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ocuments\PATRICIA\IDPC 2020\RESPUESTAS_VARIOS_2020\PUBLICACION OAP_MAY 13\6.3 PROGRAMAS Y PROYECTOS\"/>
    </mc:Choice>
  </mc:AlternateContent>
  <bookViews>
    <workbookView xWindow="0" yWindow="0" windowWidth="27870" windowHeight="13020"/>
  </bookViews>
  <sheets>
    <sheet name="1024" sheetId="1" r:id="rId1"/>
    <sheet name="1107" sheetId="17" r:id="rId2"/>
    <sheet name="1110" sheetId="19" r:id="rId3"/>
    <sheet name="1112" sheetId="22" r:id="rId4"/>
    <sheet name="1114" sheetId="18" r:id="rId5"/>
    <sheet name="TABLERO" sheetId="2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'1024'!$A$16:$AL$48</definedName>
    <definedName name="_xlnm._FilterDatabase" localSheetId="1" hidden="1">'1107'!$A$16:$AM$291</definedName>
    <definedName name="_xlnm._FilterDatabase" localSheetId="2" hidden="1">'1110'!$A$16:$AL$239</definedName>
    <definedName name="_xlnm._FilterDatabase" localSheetId="3" hidden="1">'1112'!$A$16:$AL$132</definedName>
    <definedName name="_xlnm._FilterDatabase" localSheetId="4" hidden="1">'1114'!$A$16:$AM$472</definedName>
    <definedName name="_xlnm.Print_Area" localSheetId="0">'1024'!$A$1:$AD$57</definedName>
    <definedName name="_xlnm.Print_Area" localSheetId="1">'1107'!$A$1:$AD$303</definedName>
    <definedName name="_xlnm.Print_Area" localSheetId="2">'1110'!$A$1:$AD$249</definedName>
    <definedName name="_xlnm.Print_Area" localSheetId="3">'1112'!$A$1:$AD$144</definedName>
    <definedName name="_xlnm.Print_Area" localSheetId="4">'1114'!$A$1:$AD$486</definedName>
    <definedName name="fuentes">[1]Listas!$I$85:$I$91</definedName>
    <definedName name="modalidad_desc">[1]Listas!$A$60:$A$73</definedName>
    <definedName name="proyecto_inv">[1]Listas!$A$108:$A$114</definedName>
    <definedName name="Responsable">[1]Listas!$A$77:$A$80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8" l="1"/>
  <c r="B17" i="18"/>
  <c r="C514" i="18"/>
  <c r="D528" i="18" l="1"/>
  <c r="C522" i="18"/>
  <c r="C524" i="18"/>
  <c r="C523" i="18"/>
  <c r="B528" i="18"/>
  <c r="B45" i="19" l="1"/>
  <c r="M27" i="19" l="1"/>
  <c r="M28" i="19"/>
  <c r="M17" i="19"/>
  <c r="AC210" i="17" l="1"/>
  <c r="AD210" i="17" s="1"/>
  <c r="AC211" i="17"/>
  <c r="AD211" i="17"/>
  <c r="AC212" i="17"/>
  <c r="AD212" i="17"/>
  <c r="AC213" i="17"/>
  <c r="AD213" i="17"/>
  <c r="AC214" i="17"/>
  <c r="AD214" i="17"/>
  <c r="AC217" i="17"/>
  <c r="AD217" i="17"/>
  <c r="AC220" i="17"/>
  <c r="AD220" i="17"/>
  <c r="AC221" i="17"/>
  <c r="AD221" i="17"/>
  <c r="AC225" i="17"/>
  <c r="AD225" i="17"/>
  <c r="AC228" i="17"/>
  <c r="AD228" i="17"/>
  <c r="AC237" i="17"/>
  <c r="AD237" i="17"/>
  <c r="AC240" i="17"/>
  <c r="AD240" i="17"/>
  <c r="AC241" i="17"/>
  <c r="AD241" i="17" s="1"/>
  <c r="AC242" i="17"/>
  <c r="AD242" i="17"/>
  <c r="AC248" i="17"/>
  <c r="AD248" i="17"/>
  <c r="AC251" i="17"/>
  <c r="AD251" i="17"/>
  <c r="AC255" i="17"/>
  <c r="AD255" i="17" s="1"/>
  <c r="AC256" i="17"/>
  <c r="AD256" i="17"/>
  <c r="AC258" i="17"/>
  <c r="AD258" i="17" s="1"/>
  <c r="AC259" i="17"/>
  <c r="AD259" i="17"/>
  <c r="AC260" i="17"/>
  <c r="AD260" i="17" s="1"/>
  <c r="AC261" i="17"/>
  <c r="AD261" i="17"/>
  <c r="AC264" i="17"/>
  <c r="AD264" i="17" s="1"/>
  <c r="AC266" i="17"/>
  <c r="AD266" i="17"/>
  <c r="AC269" i="17"/>
  <c r="AD269" i="17" s="1"/>
  <c r="AC270" i="17"/>
  <c r="AD270" i="17"/>
  <c r="AC271" i="17"/>
  <c r="AD271" i="17"/>
  <c r="AC272" i="17"/>
  <c r="AD272" i="17"/>
  <c r="AC273" i="17"/>
  <c r="AD273" i="17"/>
  <c r="AC274" i="17"/>
  <c r="AD274" i="17"/>
  <c r="AC275" i="17"/>
  <c r="AD275" i="17"/>
  <c r="AC276" i="17"/>
  <c r="AD276" i="17"/>
  <c r="AC277" i="17"/>
  <c r="AD277" i="17"/>
  <c r="AC278" i="17"/>
  <c r="AD278" i="17"/>
  <c r="AC279" i="17"/>
  <c r="AD279" i="17" s="1"/>
  <c r="AC280" i="17"/>
  <c r="AD280" i="17"/>
  <c r="AC281" i="17"/>
  <c r="AD281" i="17" s="1"/>
  <c r="AC282" i="17"/>
  <c r="AD282" i="17"/>
  <c r="AC283" i="17"/>
  <c r="AD283" i="17" s="1"/>
  <c r="AC284" i="17"/>
  <c r="AD284" i="17"/>
  <c r="AC285" i="17"/>
  <c r="AD285" i="17" s="1"/>
  <c r="AC286" i="17"/>
  <c r="AD286" i="17"/>
  <c r="AC147" i="17"/>
  <c r="AD147" i="17" s="1"/>
  <c r="AC148" i="17"/>
  <c r="AD148" i="17"/>
  <c r="AC149" i="17"/>
  <c r="AD149" i="17" s="1"/>
  <c r="AC150" i="17"/>
  <c r="AD150" i="17"/>
  <c r="AC151" i="17"/>
  <c r="AD151" i="17" s="1"/>
  <c r="AC152" i="17"/>
  <c r="AD152" i="17"/>
  <c r="AC153" i="17"/>
  <c r="AD153" i="17" s="1"/>
  <c r="AC154" i="17"/>
  <c r="AD154" i="17"/>
  <c r="AC155" i="17"/>
  <c r="AD155" i="17" s="1"/>
  <c r="AC156" i="17"/>
  <c r="AD156" i="17"/>
  <c r="AC157" i="17"/>
  <c r="AD157" i="17" s="1"/>
  <c r="AC158" i="17"/>
  <c r="AD158" i="17"/>
  <c r="AC159" i="17"/>
  <c r="AD159" i="17" s="1"/>
  <c r="AC160" i="17"/>
  <c r="AD160" i="17"/>
  <c r="AC161" i="17"/>
  <c r="AD161" i="17" s="1"/>
  <c r="AC162" i="17"/>
  <c r="AD162" i="17"/>
  <c r="AC163" i="17"/>
  <c r="AD163" i="17" s="1"/>
  <c r="AC164" i="17"/>
  <c r="AD164" i="17"/>
  <c r="AC165" i="17"/>
  <c r="AD165" i="17" s="1"/>
  <c r="AC166" i="17"/>
  <c r="AD166" i="17"/>
  <c r="AC167" i="17"/>
  <c r="AD167" i="17" s="1"/>
  <c r="AC168" i="17"/>
  <c r="AD168" i="17"/>
  <c r="AC169" i="17"/>
  <c r="AD169" i="17"/>
  <c r="AC170" i="17"/>
  <c r="AD170" i="17"/>
  <c r="AC171" i="17"/>
  <c r="AD171" i="17"/>
  <c r="AC172" i="17"/>
  <c r="AD172" i="17"/>
  <c r="AC173" i="17"/>
  <c r="AD173" i="17" s="1"/>
  <c r="AC174" i="17"/>
  <c r="AD174" i="17"/>
  <c r="AC175" i="17"/>
  <c r="AD175" i="17" s="1"/>
  <c r="AC176" i="17"/>
  <c r="AD176" i="17"/>
  <c r="AC177" i="17"/>
  <c r="AD177" i="17" s="1"/>
  <c r="AC178" i="17"/>
  <c r="AD178" i="17"/>
  <c r="AC179" i="17"/>
  <c r="AD179" i="17" s="1"/>
  <c r="AC180" i="17"/>
  <c r="AD180" i="17" s="1"/>
  <c r="AC181" i="17"/>
  <c r="AD181" i="17" s="1"/>
  <c r="AC182" i="17"/>
  <c r="AD182" i="17" s="1"/>
  <c r="AC183" i="17"/>
  <c r="AD183" i="17" s="1"/>
  <c r="AC184" i="17"/>
  <c r="AD184" i="17"/>
  <c r="AC185" i="17"/>
  <c r="AD185" i="17" s="1"/>
  <c r="AC186" i="17"/>
  <c r="AD186" i="17" s="1"/>
  <c r="AC187" i="17"/>
  <c r="AD187" i="17" s="1"/>
  <c r="AC188" i="17"/>
  <c r="AD188" i="17" s="1"/>
  <c r="AC189" i="17"/>
  <c r="AD189" i="17" s="1"/>
  <c r="AC190" i="17"/>
  <c r="AD190" i="17"/>
  <c r="AC191" i="17"/>
  <c r="AD191" i="17" s="1"/>
  <c r="AC192" i="17"/>
  <c r="AD192" i="17"/>
  <c r="AC193" i="17"/>
  <c r="AD193" i="17" s="1"/>
  <c r="AC194" i="17"/>
  <c r="AD194" i="17" s="1"/>
  <c r="AC195" i="17"/>
  <c r="AD195" i="17" s="1"/>
  <c r="AC196" i="17"/>
  <c r="AD196" i="17" s="1"/>
  <c r="AC197" i="17"/>
  <c r="AD197" i="17" s="1"/>
  <c r="AC198" i="17"/>
  <c r="AD198" i="17"/>
  <c r="AC200" i="17"/>
  <c r="AD200" i="17" s="1"/>
  <c r="AC201" i="17"/>
  <c r="AD201" i="17" s="1"/>
  <c r="AC202" i="17"/>
  <c r="AD202" i="17" s="1"/>
  <c r="AC203" i="17"/>
  <c r="AD203" i="17" s="1"/>
  <c r="AC204" i="17"/>
  <c r="AD204" i="17"/>
  <c r="AC141" i="17"/>
  <c r="AD141" i="17" s="1"/>
  <c r="AC142" i="17"/>
  <c r="AD142" i="17"/>
  <c r="AC143" i="17"/>
  <c r="AD143" i="17" s="1"/>
  <c r="AC137" i="17"/>
  <c r="AD137" i="17" s="1"/>
  <c r="AC132" i="17"/>
  <c r="AD132" i="17"/>
  <c r="AC133" i="17"/>
  <c r="AD133" i="17" s="1"/>
  <c r="AC20" i="17"/>
  <c r="AD20" i="17" s="1"/>
  <c r="AC21" i="17"/>
  <c r="AD21" i="17" s="1"/>
  <c r="AC22" i="17"/>
  <c r="AD22" i="17" s="1"/>
  <c r="AC26" i="17"/>
  <c r="AD26" i="17" s="1"/>
  <c r="AC27" i="17"/>
  <c r="AD27" i="17" s="1"/>
  <c r="AC28" i="17"/>
  <c r="AD28" i="17" s="1"/>
  <c r="AC29" i="17"/>
  <c r="AD29" i="17"/>
  <c r="AC31" i="17"/>
  <c r="AD31" i="17"/>
  <c r="AC32" i="17"/>
  <c r="AD32" i="17" s="1"/>
  <c r="AC33" i="17"/>
  <c r="AD33" i="17" s="1"/>
  <c r="AC36" i="17"/>
  <c r="AD36" i="17" s="1"/>
  <c r="AC37" i="17"/>
  <c r="AD37" i="17"/>
  <c r="AC38" i="17"/>
  <c r="AD38" i="17" s="1"/>
  <c r="AC41" i="17"/>
  <c r="AD41" i="17" s="1"/>
  <c r="AC47" i="17"/>
  <c r="AD47" i="17" s="1"/>
  <c r="AC50" i="17"/>
  <c r="AD50" i="17" s="1"/>
  <c r="AC52" i="17"/>
  <c r="AD52" i="17" s="1"/>
  <c r="AC56" i="17"/>
  <c r="AD56" i="17" s="1"/>
  <c r="AC57" i="17"/>
  <c r="AD57" i="17" s="1"/>
  <c r="AC58" i="17"/>
  <c r="AD58" i="17" s="1"/>
  <c r="AC60" i="17"/>
  <c r="AD60" i="17" s="1"/>
  <c r="AC62" i="17"/>
  <c r="AD62" i="17" s="1"/>
  <c r="AC63" i="17"/>
  <c r="AD63" i="17" s="1"/>
  <c r="AC64" i="17"/>
  <c r="AD64" i="17" s="1"/>
  <c r="AC65" i="17"/>
  <c r="AD65" i="17" s="1"/>
  <c r="AC66" i="17"/>
  <c r="AD66" i="17" s="1"/>
  <c r="AC67" i="17"/>
  <c r="AD67" i="17"/>
  <c r="AC68" i="17"/>
  <c r="AD68" i="17" s="1"/>
  <c r="AC69" i="17"/>
  <c r="AD69" i="17" s="1"/>
  <c r="AC70" i="17"/>
  <c r="AD70" i="17" s="1"/>
  <c r="AC71" i="17"/>
  <c r="AD71" i="17" s="1"/>
  <c r="AC72" i="17"/>
  <c r="AD72" i="17" s="1"/>
  <c r="AC73" i="17"/>
  <c r="AD73" i="17" s="1"/>
  <c r="AC74" i="17"/>
  <c r="AD74" i="17" s="1"/>
  <c r="AC75" i="17"/>
  <c r="AD75" i="17" s="1"/>
  <c r="AC76" i="17"/>
  <c r="AD76" i="17" s="1"/>
  <c r="AC77" i="17"/>
  <c r="AD77" i="17"/>
  <c r="AC78" i="17"/>
  <c r="AD78" i="17" s="1"/>
  <c r="AC79" i="17"/>
  <c r="AD79" i="17" s="1"/>
  <c r="AC80" i="17"/>
  <c r="AD80" i="17" s="1"/>
  <c r="AC81" i="17"/>
  <c r="AD81" i="17" s="1"/>
  <c r="AC82" i="17"/>
  <c r="AD82" i="17" s="1"/>
  <c r="AC83" i="17"/>
  <c r="AD83" i="17"/>
  <c r="AC84" i="17"/>
  <c r="AD84" i="17" s="1"/>
  <c r="AC85" i="17"/>
  <c r="AD85" i="17" s="1"/>
  <c r="AC86" i="17"/>
  <c r="AD86" i="17" s="1"/>
  <c r="AC87" i="17"/>
  <c r="AD87" i="17" s="1"/>
  <c r="AC88" i="17"/>
  <c r="AD88" i="17" s="1"/>
  <c r="AC89" i="17"/>
  <c r="AD89" i="17" s="1"/>
  <c r="AC90" i="17"/>
  <c r="AD90" i="17" s="1"/>
  <c r="AC91" i="17"/>
  <c r="AD91" i="17" s="1"/>
  <c r="AC92" i="17"/>
  <c r="AD92" i="17" s="1"/>
  <c r="AC93" i="17"/>
  <c r="AD93" i="17"/>
  <c r="AC94" i="17"/>
  <c r="AD94" i="17" s="1"/>
  <c r="AC95" i="17"/>
  <c r="AD95" i="17" s="1"/>
  <c r="AC96" i="17"/>
  <c r="AD96" i="17" s="1"/>
  <c r="AC97" i="17"/>
  <c r="AD97" i="17" s="1"/>
  <c r="AC98" i="17"/>
  <c r="AD98" i="17" s="1"/>
  <c r="AC99" i="17"/>
  <c r="AD99" i="17"/>
  <c r="AC100" i="17"/>
  <c r="AD100" i="17" s="1"/>
  <c r="AC101" i="17"/>
  <c r="AD101" i="17" s="1"/>
  <c r="AC102" i="17"/>
  <c r="AD102" i="17" s="1"/>
  <c r="AC103" i="17"/>
  <c r="AD103" i="17" s="1"/>
  <c r="AC104" i="17"/>
  <c r="AD104" i="17" s="1"/>
  <c r="AC105" i="17"/>
  <c r="AD105" i="17" s="1"/>
  <c r="AC106" i="17"/>
  <c r="AD106" i="17" s="1"/>
  <c r="AC107" i="17"/>
  <c r="AD107" i="17" s="1"/>
  <c r="AC108" i="17"/>
  <c r="AD108" i="17" s="1"/>
  <c r="AC109" i="17"/>
  <c r="AD109" i="17" s="1"/>
  <c r="AC110" i="17"/>
  <c r="AD110" i="17" s="1"/>
  <c r="AC111" i="17"/>
  <c r="AD111" i="17"/>
  <c r="AC112" i="17"/>
  <c r="AD112" i="17" s="1"/>
  <c r="AC113" i="17"/>
  <c r="AD113" i="17" s="1"/>
  <c r="AC114" i="17"/>
  <c r="AD114" i="17" s="1"/>
  <c r="AC115" i="17"/>
  <c r="AD115" i="17" s="1"/>
  <c r="AC116" i="17"/>
  <c r="AD116" i="17" s="1"/>
  <c r="AC117" i="17"/>
  <c r="AD117" i="17"/>
  <c r="AC118" i="17"/>
  <c r="AD118" i="17" s="1"/>
  <c r="AC119" i="17"/>
  <c r="AD119" i="17"/>
  <c r="AC120" i="17"/>
  <c r="AD120" i="17" s="1"/>
  <c r="AC121" i="17"/>
  <c r="AD121" i="17" s="1"/>
  <c r="AC122" i="17"/>
  <c r="AD122" i="17" s="1"/>
  <c r="AC123" i="17"/>
  <c r="AD123" i="17"/>
  <c r="AC124" i="17"/>
  <c r="AD124" i="17" s="1"/>
  <c r="AC125" i="17"/>
  <c r="AD125" i="17"/>
  <c r="AC126" i="17"/>
  <c r="AD126" i="17" s="1"/>
  <c r="AC127" i="17"/>
  <c r="AD127" i="17" s="1"/>
  <c r="AC128" i="17"/>
  <c r="AD128" i="17" s="1"/>
  <c r="AD42" i="1"/>
  <c r="AD41" i="1"/>
  <c r="O43" i="1"/>
  <c r="AD48" i="1"/>
  <c r="AC46" i="1"/>
  <c r="AD46" i="1" s="1"/>
  <c r="AC47" i="1"/>
  <c r="AD47" i="1"/>
  <c r="AC45" i="1"/>
  <c r="AC41" i="1"/>
  <c r="AC39" i="1"/>
  <c r="AC20" i="1"/>
  <c r="AD20" i="1"/>
  <c r="AC22" i="1"/>
  <c r="AD22" i="1"/>
  <c r="AC23" i="1"/>
  <c r="AD23" i="1"/>
  <c r="AC24" i="1"/>
  <c r="AD24" i="1"/>
  <c r="AC29" i="1"/>
  <c r="AD29" i="1"/>
  <c r="AC31" i="1"/>
  <c r="AD31" i="1"/>
  <c r="C149" i="22" l="1"/>
  <c r="C148" i="22"/>
  <c r="C150" i="22" s="1"/>
  <c r="C499" i="18"/>
  <c r="C500" i="18"/>
  <c r="C501" i="18"/>
  <c r="C502" i="18"/>
  <c r="C503" i="18"/>
  <c r="C504" i="18"/>
  <c r="C505" i="18"/>
  <c r="C506" i="18"/>
  <c r="C507" i="18"/>
  <c r="C508" i="18"/>
  <c r="C509" i="18"/>
  <c r="C510" i="18"/>
  <c r="M48" i="19" l="1"/>
  <c r="AK363" i="18" l="1"/>
  <c r="AK364" i="18"/>
  <c r="AK365" i="18"/>
  <c r="AK366" i="18"/>
  <c r="AK367" i="18"/>
  <c r="AK368" i="18"/>
  <c r="AK369" i="18"/>
  <c r="AK370" i="18"/>
  <c r="AK371" i="18"/>
  <c r="AK372" i="18"/>
  <c r="AK373" i="18"/>
  <c r="AK374" i="18"/>
  <c r="AK375" i="18"/>
  <c r="AK376" i="18"/>
  <c r="AK377" i="18"/>
  <c r="AK378" i="18"/>
  <c r="AK379" i="18"/>
  <c r="AK380" i="18"/>
  <c r="AK381" i="18"/>
  <c r="AK382" i="18"/>
  <c r="AK383" i="18"/>
  <c r="AK384" i="18"/>
  <c r="AK385" i="18"/>
  <c r="AK386" i="18"/>
  <c r="AK387" i="18"/>
  <c r="AK388" i="18"/>
  <c r="AK389" i="18"/>
  <c r="AK390" i="18"/>
  <c r="AK391" i="18"/>
  <c r="AK392" i="18"/>
  <c r="AK393" i="18"/>
  <c r="AK394" i="18"/>
  <c r="AK395" i="18"/>
  <c r="AK396" i="18"/>
  <c r="AK397" i="18"/>
  <c r="AK398" i="18"/>
  <c r="AK399" i="18"/>
  <c r="AK400" i="18"/>
  <c r="AK401" i="18"/>
  <c r="AK402" i="18"/>
  <c r="AK403" i="18"/>
  <c r="AK404" i="18"/>
  <c r="AK405" i="18"/>
  <c r="AK406" i="18"/>
  <c r="AK407" i="18"/>
  <c r="AK408" i="18"/>
  <c r="AK409" i="18"/>
  <c r="AK410" i="18"/>
  <c r="AK411" i="18"/>
  <c r="AK412" i="18"/>
  <c r="AK413" i="18"/>
  <c r="AK414" i="18"/>
  <c r="AK415" i="18"/>
  <c r="AK416" i="18"/>
  <c r="AK417" i="18"/>
  <c r="AK418" i="18"/>
  <c r="AK419" i="18"/>
  <c r="AK420" i="18"/>
  <c r="AK421" i="18"/>
  <c r="AK422" i="18"/>
  <c r="AK423" i="18"/>
  <c r="AK424" i="18"/>
  <c r="AK425" i="18"/>
  <c r="AK426" i="18"/>
  <c r="AK427" i="18"/>
  <c r="AK428" i="18"/>
  <c r="AK429" i="18"/>
  <c r="AK430" i="18"/>
  <c r="AK431" i="18"/>
  <c r="AK432" i="18"/>
  <c r="AK433" i="18"/>
  <c r="AK434" i="18"/>
  <c r="AK435" i="18"/>
  <c r="AK436" i="18"/>
  <c r="AK437" i="18"/>
  <c r="AK438" i="18"/>
  <c r="AK439" i="18"/>
  <c r="AK440" i="18"/>
  <c r="AK441" i="18"/>
  <c r="AK442" i="18"/>
  <c r="AK443" i="18"/>
  <c r="AK444" i="18"/>
  <c r="AK445" i="18"/>
  <c r="AK446" i="18"/>
  <c r="AK447" i="18"/>
  <c r="AK448" i="18"/>
  <c r="AK449" i="18"/>
  <c r="AK450" i="18"/>
  <c r="AK451" i="18"/>
  <c r="AK452" i="18"/>
  <c r="AK453" i="18"/>
  <c r="AK454" i="18"/>
  <c r="AK455" i="18"/>
  <c r="AK456" i="18"/>
  <c r="AK457" i="18"/>
  <c r="AK458" i="18"/>
  <c r="AK459" i="18"/>
  <c r="AK287" i="18"/>
  <c r="AK288" i="18"/>
  <c r="AK289" i="18"/>
  <c r="AK290" i="18"/>
  <c r="AK291" i="18"/>
  <c r="AK292" i="18"/>
  <c r="AK293" i="18"/>
  <c r="AK294" i="18"/>
  <c r="AK295" i="18"/>
  <c r="AK296" i="18"/>
  <c r="AK297" i="18"/>
  <c r="AK298" i="18"/>
  <c r="AK299" i="18"/>
  <c r="AK300" i="18"/>
  <c r="AK301" i="18"/>
  <c r="AK302" i="18"/>
  <c r="AK303" i="18"/>
  <c r="AK304" i="18"/>
  <c r="AK305" i="18"/>
  <c r="AK306" i="18"/>
  <c r="AK307" i="18"/>
  <c r="AK308" i="18"/>
  <c r="AK309" i="18"/>
  <c r="AK310" i="18"/>
  <c r="AK311" i="18"/>
  <c r="AK312" i="18"/>
  <c r="AK313" i="18"/>
  <c r="AK314" i="18"/>
  <c r="AK315" i="18"/>
  <c r="AK316" i="18"/>
  <c r="AK317" i="18"/>
  <c r="AK318" i="18"/>
  <c r="AK319" i="18"/>
  <c r="AK320" i="18"/>
  <c r="AK321" i="18"/>
  <c r="AK322" i="18"/>
  <c r="AK323" i="18"/>
  <c r="AK324" i="18"/>
  <c r="AK325" i="18"/>
  <c r="AK326" i="18"/>
  <c r="AK327" i="18"/>
  <c r="AK328" i="18"/>
  <c r="AK329" i="18"/>
  <c r="AK330" i="18"/>
  <c r="AK331" i="18"/>
  <c r="AK332" i="18"/>
  <c r="AK216" i="18"/>
  <c r="AK217" i="18"/>
  <c r="AK218" i="18"/>
  <c r="AK219" i="18"/>
  <c r="AK220" i="18"/>
  <c r="AK221" i="18"/>
  <c r="AK222" i="18"/>
  <c r="AK223" i="18"/>
  <c r="AK224" i="18"/>
  <c r="AK225" i="18"/>
  <c r="AK226" i="18"/>
  <c r="AK227" i="18"/>
  <c r="AK228" i="18"/>
  <c r="AK229" i="18"/>
  <c r="AK230" i="18"/>
  <c r="AK231" i="18"/>
  <c r="AK232" i="18"/>
  <c r="AK233" i="18"/>
  <c r="AK234" i="18"/>
  <c r="AK235" i="18"/>
  <c r="AK236" i="18"/>
  <c r="AK237" i="18"/>
  <c r="AK238" i="18"/>
  <c r="AK239" i="18"/>
  <c r="AK240" i="18"/>
  <c r="AK241" i="18"/>
  <c r="AK242" i="18"/>
  <c r="AK243" i="18"/>
  <c r="AK244" i="18"/>
  <c r="AK245" i="18"/>
  <c r="AK246" i="18"/>
  <c r="AK247" i="18"/>
  <c r="AK248" i="18"/>
  <c r="AK249" i="18"/>
  <c r="AK250" i="18"/>
  <c r="AK251" i="18"/>
  <c r="AK252" i="18"/>
  <c r="AK253" i="18"/>
  <c r="AK254" i="18"/>
  <c r="AK255" i="18"/>
  <c r="AK256" i="18"/>
  <c r="AK257" i="18"/>
  <c r="AK258" i="18"/>
  <c r="AK259" i="18"/>
  <c r="AK260" i="18"/>
  <c r="AK261" i="18"/>
  <c r="AK262" i="18"/>
  <c r="AK263" i="18"/>
  <c r="AK264" i="18"/>
  <c r="AK265" i="18"/>
  <c r="AK266" i="18"/>
  <c r="AK267" i="18"/>
  <c r="AK268" i="18"/>
  <c r="AK269" i="18"/>
  <c r="AK156" i="18"/>
  <c r="AK157" i="18"/>
  <c r="AK158" i="18"/>
  <c r="AK159" i="18"/>
  <c r="AK160" i="18"/>
  <c r="AK161" i="18"/>
  <c r="AK162" i="18"/>
  <c r="AK163" i="18"/>
  <c r="AK164" i="18"/>
  <c r="AK165" i="18"/>
  <c r="AK166" i="18"/>
  <c r="AK167" i="18"/>
  <c r="AK168" i="18"/>
  <c r="AK169" i="18"/>
  <c r="AK170" i="18"/>
  <c r="AK171" i="18"/>
  <c r="AK172" i="18"/>
  <c r="AK173" i="18"/>
  <c r="AK174" i="18"/>
  <c r="AK175" i="18"/>
  <c r="AK176" i="18"/>
  <c r="AK177" i="18"/>
  <c r="AK178" i="18"/>
  <c r="AK179" i="18"/>
  <c r="AK180" i="18"/>
  <c r="AK181" i="18"/>
  <c r="AK182" i="18"/>
  <c r="AK183" i="18"/>
  <c r="AK184" i="18"/>
  <c r="AK185" i="18"/>
  <c r="AK186" i="18"/>
  <c r="AK187" i="18"/>
  <c r="AK188" i="18"/>
  <c r="AK189" i="18"/>
  <c r="AK190" i="18"/>
  <c r="AK191" i="18"/>
  <c r="AK192" i="18"/>
  <c r="AK193" i="18"/>
  <c r="AK194" i="18"/>
  <c r="AK195" i="18"/>
  <c r="AK196" i="18"/>
  <c r="AK197" i="18"/>
  <c r="AK198" i="18"/>
  <c r="AK199" i="18"/>
  <c r="AK200" i="18"/>
  <c r="AK201" i="18"/>
  <c r="AK202" i="18"/>
  <c r="AK203" i="18"/>
  <c r="AK204" i="18"/>
  <c r="AK205" i="18"/>
  <c r="AK206" i="18"/>
  <c r="AK207" i="18"/>
  <c r="AK208" i="18"/>
  <c r="AK209" i="18"/>
  <c r="AK210" i="18"/>
  <c r="AK211" i="18"/>
  <c r="AK95" i="18"/>
  <c r="AM41" i="18"/>
  <c r="AM37" i="18"/>
  <c r="AM22" i="18"/>
  <c r="AM23" i="18"/>
  <c r="AC358" i="18"/>
  <c r="AD358" i="18" s="1"/>
  <c r="AC464" i="18"/>
  <c r="AD464" i="18" s="1"/>
  <c r="AC466" i="18"/>
  <c r="AD466" i="18" s="1"/>
  <c r="AC467" i="18"/>
  <c r="AD467" i="18" s="1"/>
  <c r="AC468" i="18"/>
  <c r="AD468" i="18"/>
  <c r="AC363" i="18"/>
  <c r="AD363" i="18" s="1"/>
  <c r="AC365" i="18"/>
  <c r="AD365" i="18" s="1"/>
  <c r="AC366" i="18"/>
  <c r="AD366" i="18"/>
  <c r="AC368" i="18"/>
  <c r="AD368" i="18" s="1"/>
  <c r="AC369" i="18"/>
  <c r="AD369" i="18" s="1"/>
  <c r="AC371" i="18"/>
  <c r="AD371" i="18" s="1"/>
  <c r="AC372" i="18"/>
  <c r="AD372" i="18" s="1"/>
  <c r="AC373" i="18"/>
  <c r="AD373" i="18" s="1"/>
  <c r="AC374" i="18"/>
  <c r="AD374" i="18" s="1"/>
  <c r="AC375" i="18"/>
  <c r="AD375" i="18" s="1"/>
  <c r="AC376" i="18"/>
  <c r="AD376" i="18" s="1"/>
  <c r="AC377" i="18"/>
  <c r="AD377" i="18" s="1"/>
  <c r="AC379" i="18"/>
  <c r="AD379" i="18" s="1"/>
  <c r="AC381" i="18"/>
  <c r="AD381" i="18" s="1"/>
  <c r="AC383" i="18"/>
  <c r="AD383" i="18" s="1"/>
  <c r="AC384" i="18"/>
  <c r="AD384" i="18" s="1"/>
  <c r="AC385" i="18"/>
  <c r="AD385" i="18" s="1"/>
  <c r="AC386" i="18"/>
  <c r="AD386" i="18" s="1"/>
  <c r="AC388" i="18"/>
  <c r="AD388" i="18" s="1"/>
  <c r="AC390" i="18"/>
  <c r="AD390" i="18" s="1"/>
  <c r="AC391" i="18"/>
  <c r="AD391" i="18" s="1"/>
  <c r="AC393" i="18"/>
  <c r="AD393" i="18" s="1"/>
  <c r="AC394" i="18"/>
  <c r="AD394" i="18" s="1"/>
  <c r="AC396" i="18"/>
  <c r="AD396" i="18" s="1"/>
  <c r="AC397" i="18"/>
  <c r="AD397" i="18" s="1"/>
  <c r="AC399" i="18"/>
  <c r="AD399" i="18" s="1"/>
  <c r="AC401" i="18"/>
  <c r="AD401" i="18" s="1"/>
  <c r="AC402" i="18"/>
  <c r="AD402" i="18" s="1"/>
  <c r="AC403" i="18"/>
  <c r="AD403" i="18" s="1"/>
  <c r="AC404" i="18"/>
  <c r="AD404" i="18" s="1"/>
  <c r="AC405" i="18"/>
  <c r="AD405" i="18" s="1"/>
  <c r="AC406" i="18"/>
  <c r="AD406" i="18" s="1"/>
  <c r="AC408" i="18"/>
  <c r="AD408" i="18" s="1"/>
  <c r="AC410" i="18"/>
  <c r="AD410" i="18" s="1"/>
  <c r="AC411" i="18"/>
  <c r="AD411" i="18" s="1"/>
  <c r="AC414" i="18"/>
  <c r="AD414" i="18" s="1"/>
  <c r="AC416" i="18"/>
  <c r="AD416" i="18" s="1"/>
  <c r="AC417" i="18"/>
  <c r="AD417" i="18" s="1"/>
  <c r="AC419" i="18"/>
  <c r="AD419" i="18" s="1"/>
  <c r="AC422" i="18"/>
  <c r="AD422" i="18" s="1"/>
  <c r="AC423" i="18"/>
  <c r="AD423" i="18" s="1"/>
  <c r="AC425" i="18"/>
  <c r="AD425" i="18" s="1"/>
  <c r="AC427" i="18"/>
  <c r="AD427" i="18" s="1"/>
  <c r="AC429" i="18"/>
  <c r="AD429" i="18" s="1"/>
  <c r="AC430" i="18"/>
  <c r="AD430" i="18"/>
  <c r="AC431" i="18"/>
  <c r="AD431" i="18" s="1"/>
  <c r="AC432" i="18"/>
  <c r="AD432" i="18" s="1"/>
  <c r="AC433" i="18"/>
  <c r="AD433" i="18" s="1"/>
  <c r="AC434" i="18"/>
  <c r="AD434" i="18" s="1"/>
  <c r="AC435" i="18"/>
  <c r="AD435" i="18" s="1"/>
  <c r="AC436" i="18"/>
  <c r="AD436" i="18" s="1"/>
  <c r="AC437" i="18"/>
  <c r="AD437" i="18" s="1"/>
  <c r="AC438" i="18"/>
  <c r="AD438" i="18" s="1"/>
  <c r="AC439" i="18"/>
  <c r="AD439" i="18" s="1"/>
  <c r="AC441" i="18"/>
  <c r="AD441" i="18" s="1"/>
  <c r="AC442" i="18"/>
  <c r="AD442" i="18"/>
  <c r="AC444" i="18"/>
  <c r="AD444" i="18" s="1"/>
  <c r="AC446" i="18"/>
  <c r="AD446" i="18" s="1"/>
  <c r="AC447" i="18"/>
  <c r="AD447" i="18" s="1"/>
  <c r="AC448" i="18"/>
  <c r="AD448" i="18" s="1"/>
  <c r="AC449" i="18"/>
  <c r="AD449" i="18" s="1"/>
  <c r="AC450" i="18"/>
  <c r="AD450" i="18" s="1"/>
  <c r="AC451" i="18"/>
  <c r="AD451" i="18" s="1"/>
  <c r="AC452" i="18"/>
  <c r="AD452" i="18" s="1"/>
  <c r="AC453" i="18"/>
  <c r="AD453" i="18" s="1"/>
  <c r="AC454" i="18"/>
  <c r="AD454" i="18" s="1"/>
  <c r="AC455" i="18"/>
  <c r="AD455" i="18" s="1"/>
  <c r="AC456" i="18"/>
  <c r="AD456" i="18" s="1"/>
  <c r="AC457" i="18"/>
  <c r="AD457" i="18" s="1"/>
  <c r="AC458" i="18"/>
  <c r="AD458" i="18" s="1"/>
  <c r="AC459" i="18"/>
  <c r="AD459" i="18" s="1"/>
  <c r="AC460" i="18"/>
  <c r="AD460" i="18" s="1"/>
  <c r="AC342" i="18"/>
  <c r="AD342" i="18" s="1"/>
  <c r="AC343" i="18"/>
  <c r="AD343" i="18" s="1"/>
  <c r="AC344" i="18"/>
  <c r="AD344" i="18" s="1"/>
  <c r="AC345" i="18"/>
  <c r="AD345" i="18" s="1"/>
  <c r="AC346" i="18"/>
  <c r="AD346" i="18" s="1"/>
  <c r="AC347" i="18"/>
  <c r="AD347" i="18" s="1"/>
  <c r="AC287" i="18"/>
  <c r="AD287" i="18" s="1"/>
  <c r="AC289" i="18"/>
  <c r="AD289" i="18" s="1"/>
  <c r="AC291" i="18"/>
  <c r="AD291" i="18" s="1"/>
  <c r="AC293" i="18"/>
  <c r="AD293" i="18" s="1"/>
  <c r="AC295" i="18"/>
  <c r="AD295" i="18" s="1"/>
  <c r="AC297" i="18"/>
  <c r="AD297" i="18" s="1"/>
  <c r="AC299" i="18"/>
  <c r="AD299" i="18" s="1"/>
  <c r="AC300" i="18"/>
  <c r="AD300" i="18" s="1"/>
  <c r="AC302" i="18"/>
  <c r="AD302" i="18" s="1"/>
  <c r="AC304" i="18"/>
  <c r="AD304" i="18" s="1"/>
  <c r="AC305" i="18"/>
  <c r="AD305" i="18" s="1"/>
  <c r="AC306" i="18"/>
  <c r="AD306" i="18" s="1"/>
  <c r="AC308" i="18"/>
  <c r="AD308" i="18" s="1"/>
  <c r="AC309" i="18"/>
  <c r="AD309" i="18" s="1"/>
  <c r="AC312" i="18"/>
  <c r="AD312" i="18" s="1"/>
  <c r="AC314" i="18"/>
  <c r="AD314" i="18" s="1"/>
  <c r="AC315" i="18"/>
  <c r="AD315" i="18" s="1"/>
  <c r="AC316" i="18"/>
  <c r="AD316" i="18" s="1"/>
  <c r="AC317" i="18"/>
  <c r="AD317" i="18" s="1"/>
  <c r="AC318" i="18"/>
  <c r="AD318" i="18" s="1"/>
  <c r="AC319" i="18"/>
  <c r="AD319" i="18" s="1"/>
  <c r="AC320" i="18"/>
  <c r="AD320" i="18" s="1"/>
  <c r="AC321" i="18"/>
  <c r="AD321" i="18" s="1"/>
  <c r="AC322" i="18"/>
  <c r="AD322" i="18" s="1"/>
  <c r="AC323" i="18"/>
  <c r="AD323" i="18"/>
  <c r="AC324" i="18"/>
  <c r="AD324" i="18" s="1"/>
  <c r="AC325" i="18"/>
  <c r="AD325" i="18" s="1"/>
  <c r="AC326" i="18"/>
  <c r="AD326" i="18" s="1"/>
  <c r="AC327" i="18"/>
  <c r="AD327" i="18" s="1"/>
  <c r="AC328" i="18"/>
  <c r="AD328" i="18" s="1"/>
  <c r="AC329" i="18"/>
  <c r="AD329" i="18" s="1"/>
  <c r="AC330" i="18"/>
  <c r="AD330" i="18" s="1"/>
  <c r="AC331" i="18"/>
  <c r="AD331" i="18"/>
  <c r="AC332" i="18"/>
  <c r="AD332" i="18" s="1"/>
  <c r="AC216" i="18"/>
  <c r="AD216" i="18" s="1"/>
  <c r="AC219" i="18"/>
  <c r="AD219" i="18" s="1"/>
  <c r="AC228" i="18"/>
  <c r="AD228" i="18" s="1"/>
  <c r="AC229" i="18"/>
  <c r="AD229" i="18" s="1"/>
  <c r="AC230" i="18"/>
  <c r="AD230" i="18" s="1"/>
  <c r="AC232" i="18"/>
  <c r="AD232" i="18"/>
  <c r="AC234" i="18"/>
  <c r="AD234" i="18" s="1"/>
  <c r="AC237" i="18"/>
  <c r="AD237" i="18" s="1"/>
  <c r="AC239" i="18"/>
  <c r="AD239" i="18"/>
  <c r="AC242" i="18"/>
  <c r="AD242" i="18" s="1"/>
  <c r="AC243" i="18"/>
  <c r="AD243" i="18" s="1"/>
  <c r="AC244" i="18"/>
  <c r="AD244" i="18" s="1"/>
  <c r="AC245" i="18"/>
  <c r="AD245" i="18" s="1"/>
  <c r="AC246" i="18"/>
  <c r="AD246" i="18" s="1"/>
  <c r="AC247" i="18"/>
  <c r="AD247" i="18" s="1"/>
  <c r="AC248" i="18"/>
  <c r="AD248" i="18" s="1"/>
  <c r="AC249" i="18"/>
  <c r="AD249" i="18" s="1"/>
  <c r="AC250" i="18"/>
  <c r="AD250" i="18" s="1"/>
  <c r="AC251" i="18"/>
  <c r="AD251" i="18" s="1"/>
  <c r="AC252" i="18"/>
  <c r="AD252" i="18" s="1"/>
  <c r="AC253" i="18"/>
  <c r="AD253" i="18" s="1"/>
  <c r="AC254" i="18"/>
  <c r="AD254" i="18" s="1"/>
  <c r="AC255" i="18"/>
  <c r="AD255" i="18" s="1"/>
  <c r="AC256" i="18"/>
  <c r="AD256" i="18" s="1"/>
  <c r="AC257" i="18"/>
  <c r="AD257" i="18" s="1"/>
  <c r="AC258" i="18"/>
  <c r="AD258" i="18" s="1"/>
  <c r="AC259" i="18"/>
  <c r="AD259" i="18" s="1"/>
  <c r="AC260" i="18"/>
  <c r="AD260" i="18" s="1"/>
  <c r="AC261" i="18"/>
  <c r="AD261" i="18" s="1"/>
  <c r="AC262" i="18"/>
  <c r="AD262" i="18" s="1"/>
  <c r="AC263" i="18"/>
  <c r="AD263" i="18" s="1"/>
  <c r="AC264" i="18"/>
  <c r="AD264" i="18" s="1"/>
  <c r="AC265" i="18"/>
  <c r="AD265" i="18" s="1"/>
  <c r="AC266" i="18"/>
  <c r="AD266" i="18" s="1"/>
  <c r="AC267" i="18"/>
  <c r="AD267" i="18" s="1"/>
  <c r="AC268" i="18"/>
  <c r="AD268" i="18" s="1"/>
  <c r="AC156" i="18"/>
  <c r="AD156" i="18" s="1"/>
  <c r="AC157" i="18"/>
  <c r="AD157" i="18" s="1"/>
  <c r="AC160" i="18"/>
  <c r="AD160" i="18" s="1"/>
  <c r="AC161" i="18"/>
  <c r="AD161" i="18" s="1"/>
  <c r="AC162" i="18"/>
  <c r="AD162" i="18" s="1"/>
  <c r="AC164" i="18"/>
  <c r="AD164" i="18" s="1"/>
  <c r="AC165" i="18"/>
  <c r="AD165" i="18" s="1"/>
  <c r="AC167" i="18"/>
  <c r="AD167" i="18" s="1"/>
  <c r="AC169" i="18"/>
  <c r="AD169" i="18" s="1"/>
  <c r="AC170" i="18"/>
  <c r="AD170" i="18" s="1"/>
  <c r="AC171" i="18"/>
  <c r="AD171" i="18" s="1"/>
  <c r="AC173" i="18"/>
  <c r="AD173" i="18" s="1"/>
  <c r="AC174" i="18"/>
  <c r="AD174" i="18" s="1"/>
  <c r="AC176" i="18"/>
  <c r="AD176" i="18" s="1"/>
  <c r="AC178" i="18"/>
  <c r="AD178" i="18" s="1"/>
  <c r="AC181" i="18"/>
  <c r="AD181" i="18" s="1"/>
  <c r="AC183" i="18"/>
  <c r="AD183" i="18" s="1"/>
  <c r="AC185" i="18"/>
  <c r="AD185" i="18" s="1"/>
  <c r="AC186" i="18"/>
  <c r="AD186" i="18" s="1"/>
  <c r="AC188" i="18"/>
  <c r="AD188" i="18" s="1"/>
  <c r="AC189" i="18"/>
  <c r="AD189" i="18" s="1"/>
  <c r="AC192" i="18"/>
  <c r="AD192" i="18" s="1"/>
  <c r="AC193" i="18"/>
  <c r="AD193" i="18" s="1"/>
  <c r="AC194" i="18"/>
  <c r="AD194" i="18" s="1"/>
  <c r="AC195" i="18"/>
  <c r="AD195" i="18" s="1"/>
  <c r="AC196" i="18"/>
  <c r="AD196" i="18" s="1"/>
  <c r="AC197" i="18"/>
  <c r="AD197" i="18" s="1"/>
  <c r="AC198" i="18"/>
  <c r="AD198" i="18" s="1"/>
  <c r="AC199" i="18"/>
  <c r="AD199" i="18" s="1"/>
  <c r="AC200" i="18"/>
  <c r="AD200" i="18" s="1"/>
  <c r="AC201" i="18"/>
  <c r="AD201" i="18" s="1"/>
  <c r="AC202" i="18"/>
  <c r="AD202" i="18" s="1"/>
  <c r="AC203" i="18"/>
  <c r="AD203" i="18" s="1"/>
  <c r="AC204" i="18"/>
  <c r="AD204" i="18" s="1"/>
  <c r="AC205" i="18"/>
  <c r="AD205" i="18" s="1"/>
  <c r="AC206" i="18"/>
  <c r="AD206" i="18" s="1"/>
  <c r="AC207" i="18"/>
  <c r="AD207" i="18" s="1"/>
  <c r="AC208" i="18"/>
  <c r="AD208" i="18" s="1"/>
  <c r="AC209" i="18"/>
  <c r="AD209" i="18" s="1"/>
  <c r="AC210" i="18"/>
  <c r="AD210" i="18" s="1"/>
  <c r="AC211" i="18"/>
  <c r="AD211" i="18" s="1"/>
  <c r="AC138" i="18"/>
  <c r="AD138" i="18" s="1"/>
  <c r="AC139" i="18"/>
  <c r="AD139" i="18" s="1"/>
  <c r="AC140" i="18"/>
  <c r="AD140" i="18" s="1"/>
  <c r="AC129" i="22" l="1"/>
  <c r="AD129" i="22" s="1"/>
  <c r="AC131" i="22"/>
  <c r="AD131" i="22" s="1"/>
  <c r="AC101" i="22"/>
  <c r="AD101" i="22" s="1"/>
  <c r="AC102" i="22"/>
  <c r="AD102" i="22" s="1"/>
  <c r="AC104" i="22"/>
  <c r="AD104" i="22" s="1"/>
  <c r="AC105" i="22"/>
  <c r="AD105" i="22" s="1"/>
  <c r="AC111" i="22"/>
  <c r="AD111" i="22" s="1"/>
  <c r="AC112" i="22"/>
  <c r="AD112" i="22" s="1"/>
  <c r="AC120" i="22"/>
  <c r="AD120" i="22" s="1"/>
  <c r="AC122" i="22"/>
  <c r="AD122" i="22" s="1"/>
  <c r="AC123" i="22"/>
  <c r="AD123" i="22" s="1"/>
  <c r="AC93" i="22"/>
  <c r="AD93" i="22" s="1"/>
  <c r="AC94" i="22"/>
  <c r="AD94" i="22" s="1"/>
  <c r="AC23" i="22"/>
  <c r="AD23" i="22" s="1"/>
  <c r="AC24" i="22"/>
  <c r="AC25" i="22"/>
  <c r="AD25" i="22" s="1"/>
  <c r="AC29" i="22"/>
  <c r="AD29" i="22" s="1"/>
  <c r="AC35" i="22"/>
  <c r="AD35" i="22" s="1"/>
  <c r="AC38" i="22"/>
  <c r="AD38" i="22" s="1"/>
  <c r="AC41" i="22"/>
  <c r="AD41" i="22" s="1"/>
  <c r="AC42" i="22"/>
  <c r="AC45" i="22"/>
  <c r="AD45" i="22" s="1"/>
  <c r="AC46" i="22"/>
  <c r="AD46" i="22" s="1"/>
  <c r="AC47" i="22"/>
  <c r="AD47" i="22" s="1"/>
  <c r="AC48" i="22"/>
  <c r="AC53" i="22"/>
  <c r="AD53" i="22" s="1"/>
  <c r="AC54" i="22"/>
  <c r="AD54" i="22" s="1"/>
  <c r="AC55" i="22"/>
  <c r="AD55" i="22" s="1"/>
  <c r="AC56" i="22"/>
  <c r="AC57" i="22"/>
  <c r="AD57" i="22" s="1"/>
  <c r="AC58" i="22"/>
  <c r="AD58" i="22" s="1"/>
  <c r="AC59" i="22"/>
  <c r="AD59" i="22" s="1"/>
  <c r="AC61" i="22"/>
  <c r="AC62" i="22"/>
  <c r="AD62" i="22" s="1"/>
  <c r="AC63" i="22"/>
  <c r="AD63" i="22" s="1"/>
  <c r="AC64" i="22"/>
  <c r="AD64" i="22" s="1"/>
  <c r="AC65" i="22"/>
  <c r="AD65" i="22" s="1"/>
  <c r="AC66" i="22"/>
  <c r="AD66" i="22" s="1"/>
  <c r="AC67" i="22"/>
  <c r="AC68" i="22"/>
  <c r="AD68" i="22" s="1"/>
  <c r="AC69" i="22"/>
  <c r="AC71" i="22"/>
  <c r="AD71" i="22" s="1"/>
  <c r="AC77" i="22"/>
  <c r="AD77" i="22" s="1"/>
  <c r="AC79" i="22"/>
  <c r="AD79" i="22" s="1"/>
  <c r="AC80" i="22"/>
  <c r="AD80" i="22" s="1"/>
  <c r="AC81" i="22"/>
  <c r="AD81" i="22"/>
  <c r="AC82" i="22"/>
  <c r="AD82" i="22" s="1"/>
  <c r="AC85" i="22"/>
  <c r="AD85" i="22" s="1"/>
  <c r="AC86" i="22"/>
  <c r="AD86" i="22" s="1"/>
  <c r="AC87" i="22"/>
  <c r="AD87" i="22" s="1"/>
  <c r="D97" i="23" l="1"/>
  <c r="O116" i="22"/>
  <c r="O114" i="22"/>
  <c r="O130" i="22"/>
  <c r="M117" i="18" l="1"/>
  <c r="M480" i="18"/>
  <c r="M408" i="18"/>
  <c r="M390" i="18"/>
  <c r="M148" i="18"/>
  <c r="M149" i="18"/>
  <c r="M345" i="18"/>
  <c r="M371" i="18"/>
  <c r="M273" i="18"/>
  <c r="M330" i="18"/>
  <c r="M246" i="18"/>
  <c r="M93" i="18"/>
  <c r="M29" i="18"/>
  <c r="M118" i="18"/>
  <c r="M357" i="18"/>
  <c r="M358" i="18"/>
  <c r="M471" i="18"/>
  <c r="M331" i="18"/>
  <c r="M289" i="18"/>
  <c r="M464" i="18"/>
  <c r="M394" i="18"/>
  <c r="M397" i="18"/>
  <c r="M447" i="18"/>
  <c r="E15" i="17"/>
  <c r="K133" i="17"/>
  <c r="B130" i="17"/>
  <c r="E15" i="18"/>
  <c r="AJ80" i="18"/>
  <c r="B80" i="18"/>
  <c r="M80" i="18"/>
  <c r="M140" i="18"/>
  <c r="M417" i="18"/>
  <c r="M95" i="18"/>
  <c r="M114" i="22"/>
  <c r="M116" i="22"/>
  <c r="M130" i="22"/>
  <c r="M42" i="19"/>
  <c r="M114" i="17"/>
  <c r="B14" i="17"/>
  <c r="B15" i="17"/>
  <c r="M133" i="17"/>
  <c r="M117" i="17"/>
  <c r="K179" i="19" l="1"/>
  <c r="M64" i="19" l="1"/>
  <c r="M128" i="19"/>
  <c r="M232" i="19"/>
  <c r="M130" i="19"/>
  <c r="M120" i="17"/>
  <c r="M107" i="17"/>
  <c r="M242" i="17"/>
  <c r="M266" i="17"/>
  <c r="M240" i="17"/>
  <c r="M67" i="17"/>
  <c r="M42" i="1"/>
  <c r="AB203" i="19" l="1"/>
  <c r="AB274" i="17" l="1"/>
  <c r="AB211" i="17"/>
  <c r="AB20" i="17"/>
  <c r="AB267" i="17"/>
  <c r="AB455" i="18" l="1"/>
  <c r="M20" i="1" l="1"/>
  <c r="AB31" i="22" l="1"/>
  <c r="AC31" i="22" s="1"/>
  <c r="AD31" i="22" s="1"/>
  <c r="AB33" i="22"/>
  <c r="AC33" i="22" s="1"/>
  <c r="AD33" i="22" s="1"/>
  <c r="AB37" i="22"/>
  <c r="AB75" i="22"/>
  <c r="AB91" i="22"/>
  <c r="AC91" i="22" s="1"/>
  <c r="AD91" i="22" s="1"/>
  <c r="AB92" i="22"/>
  <c r="AC92" i="22" s="1"/>
  <c r="AD92" i="22" s="1"/>
  <c r="AB97" i="22"/>
  <c r="AB106" i="22"/>
  <c r="AB115" i="22"/>
  <c r="AC115" i="22" s="1"/>
  <c r="AD115" i="22" s="1"/>
  <c r="AB119" i="22"/>
  <c r="AC119" i="22" s="1"/>
  <c r="AD119" i="22" s="1"/>
  <c r="AB52" i="22"/>
  <c r="AC52" i="22" s="1"/>
  <c r="AD52" i="22" s="1"/>
  <c r="AB83" i="22"/>
  <c r="AC83" i="22" s="1"/>
  <c r="AD83" i="22" s="1"/>
  <c r="AB84" i="22"/>
  <c r="AC84" i="22" s="1"/>
  <c r="AD84" i="22" s="1"/>
  <c r="AB121" i="22"/>
  <c r="AC121" i="22" s="1"/>
  <c r="AD121" i="22" s="1"/>
  <c r="AB116" i="22"/>
  <c r="AC116" i="22" s="1"/>
  <c r="AD116" i="22" s="1"/>
  <c r="AB49" i="22"/>
  <c r="AC49" i="22" s="1"/>
  <c r="AD49" i="22" s="1"/>
  <c r="AB117" i="22"/>
  <c r="AC117" i="22" s="1"/>
  <c r="AD117" i="22" s="1"/>
  <c r="AB118" i="22"/>
  <c r="AC118" i="22" s="1"/>
  <c r="AD118" i="22" s="1"/>
  <c r="AB74" i="22"/>
  <c r="AC74" i="22" s="1"/>
  <c r="AD74" i="22" s="1"/>
  <c r="AB21" i="22"/>
  <c r="AC21" i="22" s="1"/>
  <c r="AD21" i="22" s="1"/>
  <c r="AB70" i="22"/>
  <c r="AC70" i="22" s="1"/>
  <c r="AD70" i="22" s="1"/>
  <c r="AB51" i="22"/>
  <c r="AC51" i="22" s="1"/>
  <c r="AD51" i="22" s="1"/>
  <c r="AB114" i="22"/>
  <c r="AC114" i="22" s="1"/>
  <c r="AD114" i="22" s="1"/>
  <c r="AB109" i="22"/>
  <c r="AC109" i="22" s="1"/>
  <c r="AD109" i="22" s="1"/>
  <c r="AB99" i="22"/>
  <c r="AC99" i="22" s="1"/>
  <c r="AD99" i="22" s="1"/>
  <c r="AB18" i="22"/>
  <c r="AB19" i="22"/>
  <c r="AC19" i="22" s="1"/>
  <c r="AD19" i="22" s="1"/>
  <c r="AB50" i="22"/>
  <c r="AC50" i="22" s="1"/>
  <c r="AB100" i="22"/>
  <c r="AC100" i="22" s="1"/>
  <c r="AB103" i="22"/>
  <c r="AC103" i="22" s="1"/>
  <c r="AD103" i="22" s="1"/>
  <c r="AB113" i="22"/>
  <c r="AC113" i="22" s="1"/>
  <c r="AD113" i="22" s="1"/>
  <c r="AB130" i="22"/>
  <c r="AC130" i="22" s="1"/>
  <c r="AD130" i="22" s="1"/>
  <c r="AB98" i="22"/>
  <c r="AC98" i="22" s="1"/>
  <c r="AD98" i="22" s="1"/>
  <c r="AB110" i="22"/>
  <c r="AC110" i="22" s="1"/>
  <c r="AD110" i="22" s="1"/>
  <c r="AA127" i="22"/>
  <c r="AB127" i="22"/>
  <c r="AB27" i="1" l="1"/>
  <c r="AB19" i="1"/>
  <c r="AB20" i="1"/>
  <c r="AB33" i="1"/>
  <c r="AB32" i="1"/>
  <c r="AB23" i="1"/>
  <c r="AB30" i="1"/>
  <c r="AB41" i="1"/>
  <c r="AB28" i="1"/>
  <c r="AB34" i="1"/>
  <c r="AB21" i="1"/>
  <c r="AB25" i="1"/>
  <c r="AB26" i="1"/>
  <c r="AB35" i="1"/>
  <c r="AB18" i="1"/>
  <c r="AB47" i="1"/>
  <c r="AB273" i="17" l="1"/>
  <c r="AB226" i="17"/>
  <c r="AB238" i="17"/>
  <c r="AB233" i="17"/>
  <c r="AB223" i="17"/>
  <c r="AB225" i="17"/>
  <c r="AB123" i="17"/>
  <c r="AB106" i="17"/>
  <c r="AB281" i="17"/>
  <c r="AB275" i="17"/>
  <c r="AB97" i="17"/>
  <c r="AB90" i="17"/>
  <c r="AB95" i="17"/>
  <c r="AB91" i="17"/>
  <c r="AB137" i="17"/>
  <c r="AB93" i="17"/>
  <c r="AB80" i="17"/>
  <c r="AB75" i="17"/>
  <c r="AB251" i="17"/>
  <c r="AB245" i="17"/>
  <c r="AB268" i="17"/>
  <c r="AB247" i="17"/>
  <c r="AB252" i="17"/>
  <c r="AB263" i="17"/>
  <c r="AB239" i="17"/>
  <c r="AB222" i="17"/>
  <c r="AB209" i="17"/>
  <c r="AB227" i="17"/>
  <c r="AB244" i="17"/>
  <c r="AB236" i="17"/>
  <c r="AB218" i="17"/>
  <c r="AB216" i="17"/>
  <c r="AB146" i="17"/>
  <c r="AB265" i="17"/>
  <c r="AB279" i="17"/>
  <c r="AB277" i="17"/>
  <c r="AB122" i="17"/>
  <c r="AB116" i="17"/>
  <c r="AB121" i="17"/>
  <c r="AB112" i="17"/>
  <c r="AB108" i="17"/>
  <c r="AB119" i="17"/>
  <c r="AB104" i="17"/>
  <c r="AB103" i="17"/>
  <c r="AB77" i="17"/>
  <c r="AB98" i="17"/>
  <c r="AB79" i="17"/>
  <c r="AB74" i="17"/>
  <c r="AB224" i="17"/>
  <c r="AB215" i="17"/>
  <c r="AB246" i="17"/>
  <c r="AB205" i="19" l="1"/>
  <c r="AB221" i="19"/>
  <c r="AB102" i="19"/>
  <c r="AB112" i="19"/>
  <c r="AB214" i="19"/>
  <c r="AB124" i="19"/>
  <c r="AB99" i="19"/>
  <c r="AB94" i="19"/>
  <c r="AB195" i="19"/>
  <c r="AB19" i="19"/>
  <c r="AB192" i="19"/>
  <c r="AB191" i="19"/>
  <c r="AB236" i="19"/>
  <c r="AB196" i="19"/>
  <c r="AB207" i="19"/>
  <c r="AB150" i="19"/>
  <c r="AB76" i="19"/>
  <c r="AB173" i="19"/>
  <c r="AB231" i="19"/>
  <c r="AB190" i="19"/>
  <c r="AB152" i="19"/>
  <c r="AB131" i="19"/>
  <c r="AB206" i="19"/>
  <c r="AB83" i="19"/>
  <c r="AB197" i="19"/>
  <c r="AB89" i="19"/>
  <c r="AB79" i="19"/>
  <c r="AB103" i="19"/>
  <c r="AB107" i="19"/>
  <c r="AB184" i="19"/>
  <c r="AB135" i="19"/>
  <c r="AB105" i="19"/>
  <c r="AB144" i="19"/>
  <c r="AB77" i="19"/>
  <c r="AB110" i="19"/>
  <c r="AB133" i="19"/>
  <c r="AB81" i="19"/>
  <c r="AB180" i="19"/>
  <c r="AB148" i="19"/>
  <c r="AB165" i="19"/>
  <c r="AB101" i="19"/>
  <c r="AB108" i="19"/>
  <c r="AB163" i="19"/>
  <c r="AB182" i="19"/>
  <c r="AB233" i="19"/>
  <c r="AB141" i="19"/>
  <c r="AB160" i="19"/>
  <c r="AB229" i="19"/>
  <c r="AB91" i="19"/>
  <c r="AB176" i="19"/>
  <c r="AB146" i="19"/>
  <c r="AB139" i="19"/>
  <c r="AB193" i="19"/>
  <c r="AB188" i="19"/>
  <c r="AB186" i="19"/>
  <c r="AB125" i="19"/>
  <c r="AB201" i="19"/>
  <c r="AB199" i="19"/>
  <c r="AB119" i="19"/>
  <c r="AB157" i="19"/>
  <c r="AB154" i="19"/>
  <c r="O20" i="1" l="1"/>
  <c r="O205" i="19"/>
  <c r="M205" i="19"/>
  <c r="O273" i="17"/>
  <c r="O467" i="18"/>
  <c r="O316" i="18"/>
  <c r="O242" i="18"/>
  <c r="O134" i="18"/>
  <c r="AB449" i="18" l="1"/>
  <c r="AB459" i="18"/>
  <c r="AB388" i="18"/>
  <c r="AB261" i="18"/>
  <c r="AB171" i="18"/>
  <c r="AB410" i="18"/>
  <c r="AB312" i="18"/>
  <c r="AB297" i="18"/>
  <c r="AB373" i="18"/>
  <c r="AB365" i="18"/>
  <c r="AB466" i="18"/>
  <c r="AB293" i="18"/>
  <c r="AB299" i="18"/>
  <c r="AB206" i="18"/>
  <c r="AB295" i="18"/>
  <c r="AB291" i="18"/>
  <c r="AB164" i="18"/>
  <c r="AB441" i="18"/>
  <c r="AB452" i="18"/>
  <c r="AB209" i="18"/>
  <c r="AB167" i="18"/>
  <c r="AB169" i="18"/>
  <c r="AB207" i="18"/>
  <c r="AB148" i="18"/>
  <c r="AB149" i="18"/>
  <c r="AB162" i="18"/>
  <c r="AB246" i="18"/>
  <c r="AB405" i="18"/>
  <c r="AB385" i="18"/>
  <c r="AB436" i="18"/>
  <c r="AB434" i="18"/>
  <c r="AB178" i="18"/>
  <c r="AB188" i="18"/>
  <c r="AB458" i="18"/>
  <c r="AB264" i="18"/>
  <c r="AB266" i="18"/>
  <c r="AB263" i="18"/>
  <c r="AB457" i="18"/>
  <c r="AB265" i="18"/>
  <c r="AB446" i="18"/>
  <c r="AB379" i="18"/>
  <c r="AB429" i="18"/>
  <c r="AB414" i="18"/>
  <c r="AB427" i="18"/>
  <c r="AB396" i="18"/>
  <c r="AB399" i="18"/>
  <c r="AB416" i="18"/>
  <c r="AB381" i="18"/>
  <c r="AB425" i="18"/>
  <c r="AB371" i="18"/>
  <c r="AB444" i="18"/>
  <c r="AB383" i="18"/>
  <c r="AB419" i="18"/>
  <c r="AB390" i="18"/>
  <c r="AB408" i="18"/>
  <c r="AB393" i="18"/>
  <c r="AB247" i="18"/>
  <c r="AB150" i="18"/>
  <c r="AB204" i="18"/>
  <c r="AB318" i="18"/>
  <c r="AB139" i="18"/>
  <c r="AB137" i="18"/>
  <c r="AB450" i="18"/>
  <c r="AB205" i="18"/>
  <c r="AB256" i="18"/>
  <c r="AB250" i="18"/>
  <c r="AB248" i="18"/>
  <c r="AB254" i="18"/>
  <c r="AB454" i="18"/>
  <c r="AB173" i="18"/>
  <c r="AB203" i="18"/>
  <c r="AB185" i="18"/>
  <c r="AB65" i="18"/>
  <c r="AB201" i="18"/>
  <c r="AB199" i="18"/>
  <c r="AB197" i="18"/>
  <c r="AB305" i="18"/>
  <c r="AB195" i="18"/>
  <c r="AB176" i="18"/>
  <c r="AB375" i="18"/>
  <c r="AB228" i="18"/>
  <c r="AB157" i="18"/>
  <c r="AB432" i="18"/>
  <c r="AB300" i="18"/>
  <c r="AB189" i="18"/>
  <c r="AB230" i="18"/>
  <c r="AB430" i="18"/>
  <c r="AB367" i="18"/>
  <c r="AB301" i="18"/>
  <c r="AB313" i="18"/>
  <c r="AB288" i="18"/>
  <c r="AB463" i="18"/>
  <c r="AB421" i="18"/>
  <c r="AB241" i="18"/>
  <c r="AB172" i="18"/>
  <c r="AB221" i="18"/>
  <c r="AB223" i="18"/>
  <c r="AB222" i="18"/>
  <c r="AB226" i="18"/>
  <c r="AB227" i="18"/>
  <c r="AB224" i="18"/>
  <c r="AB225" i="18"/>
  <c r="AB217" i="18"/>
  <c r="AB236" i="18"/>
  <c r="AB220" i="18"/>
  <c r="AB235" i="18"/>
  <c r="AB218" i="18"/>
  <c r="AB233" i="18"/>
  <c r="AB159" i="18"/>
  <c r="AB240" i="18"/>
  <c r="AB362" i="18"/>
  <c r="AB231" i="18"/>
  <c r="AB238" i="18"/>
  <c r="AB175" i="18"/>
  <c r="AB191" i="18"/>
  <c r="AB155" i="18"/>
  <c r="AB182" i="18"/>
  <c r="AB467" i="18"/>
  <c r="AB316" i="18"/>
  <c r="AB242" i="18"/>
  <c r="AB134" i="18"/>
  <c r="AB108" i="22" l="1"/>
  <c r="AB60" i="22"/>
  <c r="AC60" i="22" s="1"/>
  <c r="AD60" i="22" s="1"/>
  <c r="AB107" i="22"/>
  <c r="AC107" i="22" s="1"/>
  <c r="AD107" i="22" s="1"/>
  <c r="AB126" i="22"/>
  <c r="AB235" i="19" l="1"/>
  <c r="AB178" i="19"/>
  <c r="AB232" i="17" l="1"/>
  <c r="AB235" i="17"/>
  <c r="AB148" i="17"/>
  <c r="AB205" i="17" s="1"/>
  <c r="AB262" i="17"/>
  <c r="AB257" i="17"/>
  <c r="AB230" i="17"/>
  <c r="AB231" i="17"/>
  <c r="AB243" i="17"/>
  <c r="AB83" i="17"/>
  <c r="AB136" i="17"/>
  <c r="AB260" i="17"/>
  <c r="AB84" i="17"/>
  <c r="AB88" i="17"/>
  <c r="AB78" i="17"/>
  <c r="AB142" i="17"/>
  <c r="AB283" i="17"/>
  <c r="AB280" i="17"/>
  <c r="AB111" i="17"/>
  <c r="AB255" i="17"/>
  <c r="AB144" i="17"/>
  <c r="AB138" i="17"/>
  <c r="AB287" i="17" l="1"/>
  <c r="AB129" i="17"/>
  <c r="O62" i="18" l="1"/>
  <c r="O149" i="19"/>
  <c r="O28" i="19"/>
  <c r="M273" i="17" l="1"/>
  <c r="K273" i="17"/>
  <c r="K20" i="1"/>
  <c r="M242" i="18" l="1"/>
  <c r="AJ345" i="18"/>
  <c r="AK345" i="18" s="1"/>
  <c r="B344" i="18"/>
  <c r="B345" i="18"/>
  <c r="B346" i="18"/>
  <c r="AM344" i="18"/>
  <c r="AM345" i="18"/>
  <c r="AK344" i="18"/>
  <c r="AI344" i="18"/>
  <c r="AJ343" i="18"/>
  <c r="AJ93" i="22" l="1"/>
  <c r="AJ90" i="22"/>
  <c r="M90" i="22"/>
  <c r="M129" i="17"/>
  <c r="M134" i="17"/>
  <c r="M138" i="17"/>
  <c r="M144" i="17"/>
  <c r="M205" i="17"/>
  <c r="M287" i="17"/>
  <c r="K242" i="18" l="1"/>
  <c r="K205" i="19" l="1"/>
  <c r="M388" i="18" l="1"/>
  <c r="M134" i="18"/>
  <c r="K134" i="18"/>
  <c r="M232" i="18"/>
  <c r="K232" i="18"/>
  <c r="B442" i="18"/>
  <c r="AM442" i="18"/>
  <c r="AI442" i="18"/>
  <c r="AJ460" i="18"/>
  <c r="AJ388" i="18"/>
  <c r="K467" i="18"/>
  <c r="K316" i="18"/>
  <c r="M467" i="18"/>
  <c r="M316" i="18"/>
  <c r="AM386" i="18" l="1"/>
  <c r="AM394" i="18"/>
  <c r="AK187" i="19"/>
  <c r="B207" i="17" l="1"/>
  <c r="B18" i="17"/>
  <c r="B96" i="22"/>
  <c r="B17" i="22"/>
  <c r="B18" i="19" l="1"/>
  <c r="B18" i="18"/>
  <c r="B26" i="18"/>
  <c r="B60" i="18"/>
  <c r="B92" i="18"/>
  <c r="B133" i="18"/>
  <c r="B154" i="18"/>
  <c r="B214" i="18"/>
  <c r="B271" i="18"/>
  <c r="B285" i="18"/>
  <c r="B340" i="18"/>
  <c r="B361" i="18"/>
  <c r="B462" i="18"/>
  <c r="B228" i="19" l="1"/>
  <c r="B118" i="19"/>
  <c r="B46" i="19"/>
  <c r="B71" i="22" l="1"/>
  <c r="AJ123" i="22" l="1"/>
  <c r="AM71" i="22"/>
  <c r="AK71" i="22"/>
  <c r="AI71" i="22"/>
  <c r="B269" i="17" l="1"/>
  <c r="B270" i="17"/>
  <c r="M50" i="22" l="1"/>
  <c r="O50" i="22"/>
  <c r="AD50" i="22" s="1"/>
  <c r="M97" i="22"/>
  <c r="O97" i="22"/>
  <c r="O100" i="22" l="1"/>
  <c r="AD100" i="22" s="1"/>
  <c r="M100" i="22"/>
  <c r="AJ97" i="22"/>
  <c r="AJ100" i="22"/>
  <c r="AJ50" i="22"/>
  <c r="AJ128" i="17" l="1"/>
  <c r="AM269" i="17"/>
  <c r="AK269" i="17"/>
  <c r="AI269" i="17"/>
  <c r="B234" i="19" l="1"/>
  <c r="AM234" i="19" l="1"/>
  <c r="AK234" i="19"/>
  <c r="AC234" i="19"/>
  <c r="AD234" i="19" s="1"/>
  <c r="AI234" i="19"/>
  <c r="AJ48" i="19"/>
  <c r="AJ28" i="19"/>
  <c r="AM28" i="19" s="1"/>
  <c r="AJ33" i="19"/>
  <c r="B156" i="19"/>
  <c r="AM156" i="19"/>
  <c r="AM157" i="19"/>
  <c r="AK156" i="19"/>
  <c r="AC156" i="19"/>
  <c r="AD156" i="19" s="1"/>
  <c r="AI156" i="19"/>
  <c r="B126" i="19"/>
  <c r="AM126" i="19"/>
  <c r="AK126" i="19"/>
  <c r="AC126" i="19"/>
  <c r="AD126" i="19" s="1"/>
  <c r="AI126" i="19"/>
  <c r="AJ179" i="19"/>
  <c r="AM346" i="18" l="1"/>
  <c r="AK346" i="18"/>
  <c r="AI346" i="18"/>
  <c r="AJ467" i="18"/>
  <c r="AJ316" i="18"/>
  <c r="AJ242" i="18"/>
  <c r="AJ134" i="18"/>
  <c r="B237" i="18"/>
  <c r="AM237" i="18"/>
  <c r="AI237" i="18"/>
  <c r="B196" i="18"/>
  <c r="AM196" i="18"/>
  <c r="AI196" i="18"/>
  <c r="B306" i="18"/>
  <c r="AM306" i="18"/>
  <c r="AI306" i="18"/>
  <c r="AJ331" i="18"/>
  <c r="AJ287" i="18"/>
  <c r="AJ273" i="18"/>
  <c r="AJ244" i="18"/>
  <c r="B95" i="18"/>
  <c r="AI95" i="18"/>
  <c r="AC95" i="18"/>
  <c r="AD95" i="18" s="1"/>
  <c r="AJ94" i="18"/>
  <c r="AJ96" i="18"/>
  <c r="AJ93" i="18"/>
  <c r="AJ239" i="18"/>
  <c r="AJ232" i="18"/>
  <c r="AJ377" i="18"/>
  <c r="AJ417" i="18"/>
  <c r="AJ437" i="18"/>
  <c r="AJ459" i="18"/>
  <c r="AJ403" i="18"/>
  <c r="AJ401" i="18"/>
  <c r="B208" i="18"/>
  <c r="AM208" i="18"/>
  <c r="AI208" i="18"/>
  <c r="AJ207" i="18"/>
  <c r="AJ62" i="18"/>
  <c r="AJ28" i="18"/>
  <c r="AJ23" i="18"/>
  <c r="M423" i="18"/>
  <c r="M207" i="18"/>
  <c r="M459" i="18"/>
  <c r="M28" i="18"/>
  <c r="M401" i="18"/>
  <c r="M229" i="18"/>
  <c r="K130" i="19" l="1"/>
  <c r="B75" i="19" l="1"/>
  <c r="AJ237" i="19"/>
  <c r="M237" i="19"/>
  <c r="K237" i="19"/>
  <c r="AK109" i="19"/>
  <c r="AM109" i="19"/>
  <c r="B109" i="19"/>
  <c r="B110" i="19"/>
  <c r="AC109" i="19"/>
  <c r="AD109" i="19" s="1"/>
  <c r="AI109" i="19"/>
  <c r="M149" i="19" l="1"/>
  <c r="K149" i="19"/>
  <c r="M26" i="19"/>
  <c r="AJ26" i="19"/>
  <c r="AN48" i="19" l="1"/>
  <c r="O26" i="19"/>
  <c r="AB39" i="22" l="1"/>
  <c r="AC39" i="22" s="1"/>
  <c r="AB26" i="22"/>
  <c r="AB212" i="18" l="1"/>
  <c r="AB270" i="18"/>
  <c r="AB333" i="18"/>
  <c r="AB461" i="18"/>
  <c r="AB469" i="18"/>
  <c r="O210" i="19" l="1"/>
  <c r="M210" i="19" l="1"/>
  <c r="S197" i="19"/>
  <c r="M43" i="1" l="1"/>
  <c r="AJ223" i="19" l="1"/>
  <c r="B179" i="19" l="1"/>
  <c r="B198" i="19"/>
  <c r="AM198" i="19"/>
  <c r="AK198" i="19"/>
  <c r="AC198" i="19"/>
  <c r="AD198" i="19" s="1"/>
  <c r="AI198" i="19"/>
  <c r="AI179" i="19"/>
  <c r="AM179" i="19"/>
  <c r="AK179" i="19"/>
  <c r="AC179" i="19"/>
  <c r="AD179" i="19" s="1"/>
  <c r="B164" i="19"/>
  <c r="AM164" i="19"/>
  <c r="AK164" i="19"/>
  <c r="AC164" i="19"/>
  <c r="AD164" i="19" s="1"/>
  <c r="AI164" i="19"/>
  <c r="AJ149" i="19"/>
  <c r="AK149" i="19" s="1"/>
  <c r="B166" i="19"/>
  <c r="AM166" i="19"/>
  <c r="AK166" i="19"/>
  <c r="AC166" i="19"/>
  <c r="AD166" i="19" s="1"/>
  <c r="AI166" i="19"/>
  <c r="AJ210" i="19"/>
  <c r="AJ80" i="19"/>
  <c r="AJ130" i="19"/>
  <c r="AM230" i="19"/>
  <c r="AM149" i="19" l="1"/>
  <c r="AJ117" i="17"/>
  <c r="AB224" i="19"/>
  <c r="AB34" i="19"/>
  <c r="N231" i="19"/>
  <c r="T231" i="19" s="1"/>
  <c r="AC231" i="19" s="1"/>
  <c r="N207" i="19"/>
  <c r="T207" i="19" s="1"/>
  <c r="AC207" i="19" s="1"/>
  <c r="AD207" i="19" s="1"/>
  <c r="N190" i="19"/>
  <c r="T190" i="19" s="1"/>
  <c r="AC190" i="19" s="1"/>
  <c r="AD190" i="19" s="1"/>
  <c r="N173" i="19"/>
  <c r="T173" i="19" s="1"/>
  <c r="AC173" i="19" s="1"/>
  <c r="AD173" i="19" s="1"/>
  <c r="N228" i="17"/>
  <c r="N219" i="17"/>
  <c r="N211" i="17"/>
  <c r="M165" i="18"/>
  <c r="B165" i="18" s="1"/>
  <c r="M173" i="18"/>
  <c r="M179" i="18"/>
  <c r="M180" i="18"/>
  <c r="B180" i="18" s="1"/>
  <c r="M184" i="18"/>
  <c r="AM184" i="18" s="1"/>
  <c r="M185" i="18"/>
  <c r="M189" i="18"/>
  <c r="M190" i="18"/>
  <c r="B190" i="18" s="1"/>
  <c r="M197" i="18"/>
  <c r="B197" i="18" s="1"/>
  <c r="M203" i="18"/>
  <c r="M204" i="18"/>
  <c r="M393" i="18"/>
  <c r="M396" i="18"/>
  <c r="B396" i="18" s="1"/>
  <c r="M403" i="18"/>
  <c r="M412" i="18"/>
  <c r="B412" i="18" s="1"/>
  <c r="M422" i="18"/>
  <c r="M432" i="18"/>
  <c r="B432" i="18" s="1"/>
  <c r="M446" i="18"/>
  <c r="M450" i="18"/>
  <c r="B450" i="18" s="1"/>
  <c r="M455" i="18"/>
  <c r="M457" i="18"/>
  <c r="AM457" i="18" s="1"/>
  <c r="M458" i="18"/>
  <c r="M19" i="18"/>
  <c r="M24" i="18" s="1"/>
  <c r="M27" i="18"/>
  <c r="M34" i="18"/>
  <c r="C52" i="23" s="1"/>
  <c r="M38" i="18"/>
  <c r="M42" i="18"/>
  <c r="M46" i="18"/>
  <c r="D502" i="18" s="1"/>
  <c r="M50" i="18"/>
  <c r="D505" i="18" s="1"/>
  <c r="M54" i="18"/>
  <c r="M58" i="18"/>
  <c r="M62" i="18"/>
  <c r="M65" i="18"/>
  <c r="M67" i="18" s="1"/>
  <c r="M66" i="18"/>
  <c r="M70" i="18"/>
  <c r="M73" i="18"/>
  <c r="M76" i="18"/>
  <c r="M79" i="18"/>
  <c r="M82" i="18"/>
  <c r="M85" i="18"/>
  <c r="M88" i="18"/>
  <c r="M91" i="18"/>
  <c r="C54" i="23" s="1"/>
  <c r="M98" i="18"/>
  <c r="C55" i="23" s="1"/>
  <c r="M100" i="18"/>
  <c r="M102" i="18"/>
  <c r="M106" i="18" s="1"/>
  <c r="C56" i="23" s="1"/>
  <c r="M103" i="18"/>
  <c r="M115" i="18"/>
  <c r="C57" i="23" s="1"/>
  <c r="M122" i="18"/>
  <c r="M127" i="18"/>
  <c r="C59" i="23" s="1"/>
  <c r="M132" i="18"/>
  <c r="C60" i="23" s="1"/>
  <c r="M135" i="18"/>
  <c r="M137" i="18"/>
  <c r="M139" i="18"/>
  <c r="M146" i="18"/>
  <c r="M153" i="18"/>
  <c r="C62" i="23" s="1"/>
  <c r="M235" i="18"/>
  <c r="M236" i="18"/>
  <c r="B236" i="18" s="1"/>
  <c r="M243" i="18"/>
  <c r="M247" i="18"/>
  <c r="M262" i="18"/>
  <c r="B262" i="18" s="1"/>
  <c r="M263" i="18"/>
  <c r="B263" i="18" s="1"/>
  <c r="M264" i="18"/>
  <c r="B264" i="18" s="1"/>
  <c r="M265" i="18"/>
  <c r="M266" i="18"/>
  <c r="B266" i="18" s="1"/>
  <c r="M275" i="18"/>
  <c r="C73" i="23" s="1"/>
  <c r="M279" i="18"/>
  <c r="M283" i="18"/>
  <c r="M284" i="18" s="1"/>
  <c r="M304" i="18"/>
  <c r="M305" i="18"/>
  <c r="M307" i="18"/>
  <c r="M309" i="18"/>
  <c r="M310" i="18"/>
  <c r="M328" i="18"/>
  <c r="B328" i="18" s="1"/>
  <c r="M336" i="18"/>
  <c r="M339" i="18" s="1"/>
  <c r="C67" i="23" s="1"/>
  <c r="M342" i="18"/>
  <c r="M348" i="18" s="1"/>
  <c r="C68" i="23" s="1"/>
  <c r="M351" i="18"/>
  <c r="C69" i="23" s="1"/>
  <c r="M353" i="18"/>
  <c r="B353" i="18" s="1"/>
  <c r="M354" i="18"/>
  <c r="M359" i="18"/>
  <c r="M469" i="18"/>
  <c r="M472" i="18"/>
  <c r="D504" i="18" s="1"/>
  <c r="K102" i="19"/>
  <c r="M227" i="19"/>
  <c r="D259" i="19" s="1"/>
  <c r="AJ56" i="17"/>
  <c r="AK28" i="18"/>
  <c r="AM28" i="18"/>
  <c r="B239" i="18"/>
  <c r="AM239" i="18"/>
  <c r="AM240" i="18"/>
  <c r="AI239" i="18"/>
  <c r="B417" i="18"/>
  <c r="B377" i="18"/>
  <c r="AM377" i="18"/>
  <c r="AI377" i="18"/>
  <c r="AM417" i="18"/>
  <c r="AM418" i="18"/>
  <c r="AI417" i="18"/>
  <c r="B437" i="18"/>
  <c r="B438" i="18"/>
  <c r="AM437" i="18"/>
  <c r="AI437" i="18"/>
  <c r="AJ139" i="18"/>
  <c r="AJ141" i="18" s="1"/>
  <c r="AL141" i="18" s="1"/>
  <c r="AJ137" i="18"/>
  <c r="D15" i="18"/>
  <c r="B138" i="18"/>
  <c r="AM133" i="17"/>
  <c r="AK133" i="17"/>
  <c r="AI133" i="17"/>
  <c r="AJ132" i="17"/>
  <c r="AK132" i="17" s="1"/>
  <c r="AJ131" i="17"/>
  <c r="AK131" i="17" s="1"/>
  <c r="B133" i="17"/>
  <c r="B68" i="18"/>
  <c r="B71" i="18"/>
  <c r="B74" i="18"/>
  <c r="B77" i="18"/>
  <c r="B83" i="18"/>
  <c r="B86" i="18"/>
  <c r="B89" i="18"/>
  <c r="B54" i="23" s="1"/>
  <c r="B99" i="18"/>
  <c r="B107" i="18"/>
  <c r="B116" i="18"/>
  <c r="B123" i="18"/>
  <c r="B59" i="23" s="1"/>
  <c r="B136" i="18"/>
  <c r="B147" i="18"/>
  <c r="B276" i="18"/>
  <c r="B213" i="18" s="1"/>
  <c r="C525" i="18" s="1"/>
  <c r="B281" i="18"/>
  <c r="B65" i="23" s="1"/>
  <c r="B334" i="18"/>
  <c r="B349" i="18"/>
  <c r="B356" i="18"/>
  <c r="B360" i="18"/>
  <c r="C515" i="18" s="1"/>
  <c r="AM138" i="18"/>
  <c r="AK138" i="18"/>
  <c r="AI138" i="18"/>
  <c r="M212" i="19"/>
  <c r="B212" i="19" s="1"/>
  <c r="B117" i="17"/>
  <c r="AI117" i="17"/>
  <c r="AM117" i="17"/>
  <c r="AK117" i="17"/>
  <c r="B67" i="17"/>
  <c r="AM66" i="17"/>
  <c r="AM67" i="17"/>
  <c r="AM68" i="17"/>
  <c r="AK67" i="17"/>
  <c r="AI67" i="17"/>
  <c r="B29" i="17"/>
  <c r="AK29" i="17"/>
  <c r="AM29" i="17"/>
  <c r="AI29" i="17"/>
  <c r="AA154" i="19"/>
  <c r="AA162" i="19"/>
  <c r="AA26" i="1"/>
  <c r="AK467" i="18"/>
  <c r="O228" i="17"/>
  <c r="O37" i="17"/>
  <c r="AM267" i="18"/>
  <c r="AM268" i="18"/>
  <c r="M95" i="22"/>
  <c r="M231" i="19"/>
  <c r="M239" i="19" s="1"/>
  <c r="C28" i="23" s="1"/>
  <c r="M102" i="19"/>
  <c r="B102" i="19" s="1"/>
  <c r="M99" i="19"/>
  <c r="B99" i="19" s="1"/>
  <c r="M70" i="19"/>
  <c r="M69" i="19"/>
  <c r="B69" i="19" s="1"/>
  <c r="M68" i="19"/>
  <c r="M63" i="19"/>
  <c r="B63" i="19" s="1"/>
  <c r="M62" i="19"/>
  <c r="M61" i="19"/>
  <c r="M60" i="19"/>
  <c r="M50" i="19"/>
  <c r="B50" i="19" s="1"/>
  <c r="M31" i="19"/>
  <c r="M24" i="19"/>
  <c r="B24" i="19" s="1"/>
  <c r="M228" i="17"/>
  <c r="AM228" i="17" s="1"/>
  <c r="M37" i="17"/>
  <c r="B241" i="17"/>
  <c r="K401" i="18"/>
  <c r="AJ25" i="19"/>
  <c r="B88" i="19"/>
  <c r="B26" i="23" s="1"/>
  <c r="B67" i="19"/>
  <c r="B30" i="23" s="1"/>
  <c r="B44" i="1"/>
  <c r="B38" i="1"/>
  <c r="B17" i="1"/>
  <c r="B464" i="18"/>
  <c r="B343" i="18"/>
  <c r="B289" i="18"/>
  <c r="B290" i="18"/>
  <c r="B291" i="18"/>
  <c r="B292" i="18"/>
  <c r="B293" i="18"/>
  <c r="B294" i="18"/>
  <c r="B295" i="18"/>
  <c r="B296" i="18"/>
  <c r="B297" i="18"/>
  <c r="B298" i="18"/>
  <c r="B299" i="18"/>
  <c r="B300" i="18"/>
  <c r="B301" i="18"/>
  <c r="B302" i="18"/>
  <c r="B303" i="18"/>
  <c r="B304" i="18"/>
  <c r="B308" i="18"/>
  <c r="B309" i="18"/>
  <c r="B311" i="18"/>
  <c r="B312" i="18"/>
  <c r="B313" i="18"/>
  <c r="B314" i="18"/>
  <c r="B315" i="18"/>
  <c r="B317" i="18"/>
  <c r="B318" i="18"/>
  <c r="B319" i="18"/>
  <c r="B320" i="18"/>
  <c r="B321" i="18"/>
  <c r="B322" i="18"/>
  <c r="B323" i="18"/>
  <c r="B324" i="18"/>
  <c r="B325" i="18"/>
  <c r="B326" i="18"/>
  <c r="B327" i="18"/>
  <c r="B329" i="18"/>
  <c r="B330" i="18"/>
  <c r="B331" i="18"/>
  <c r="B332" i="18"/>
  <c r="B219" i="18"/>
  <c r="B220" i="18"/>
  <c r="B221" i="18"/>
  <c r="B222" i="18"/>
  <c r="B223" i="18"/>
  <c r="B224" i="18"/>
  <c r="B225" i="18"/>
  <c r="B226" i="18"/>
  <c r="B227" i="18"/>
  <c r="B228" i="18"/>
  <c r="B229" i="18"/>
  <c r="B230" i="18"/>
  <c r="B231" i="18"/>
  <c r="B232" i="18"/>
  <c r="B233" i="18"/>
  <c r="B234" i="18"/>
  <c r="B238" i="18"/>
  <c r="B240" i="18"/>
  <c r="B241" i="18"/>
  <c r="B244" i="18"/>
  <c r="B245" i="18"/>
  <c r="B246" i="18"/>
  <c r="B248" i="18"/>
  <c r="B249" i="18"/>
  <c r="B250" i="18"/>
  <c r="B251" i="18"/>
  <c r="B252" i="18"/>
  <c r="B253" i="18"/>
  <c r="B254" i="18"/>
  <c r="B255" i="18"/>
  <c r="B256" i="18"/>
  <c r="B257" i="18"/>
  <c r="B258" i="18"/>
  <c r="B259" i="18"/>
  <c r="B260" i="18"/>
  <c r="B261" i="18"/>
  <c r="B265" i="18"/>
  <c r="B267" i="18"/>
  <c r="B268" i="18"/>
  <c r="B269" i="18"/>
  <c r="B156" i="18"/>
  <c r="B157" i="18"/>
  <c r="B158" i="18"/>
  <c r="B159" i="18"/>
  <c r="B160" i="18"/>
  <c r="B161" i="18"/>
  <c r="B162" i="18"/>
  <c r="B163" i="18"/>
  <c r="B164" i="18"/>
  <c r="B166" i="18"/>
  <c r="B167" i="18"/>
  <c r="B168" i="18"/>
  <c r="B169" i="18"/>
  <c r="B170" i="18"/>
  <c r="B171" i="18"/>
  <c r="B172" i="18"/>
  <c r="B174" i="18"/>
  <c r="B175" i="18"/>
  <c r="B176" i="18"/>
  <c r="B177" i="18"/>
  <c r="B178" i="18"/>
  <c r="B181" i="18"/>
  <c r="B182" i="18"/>
  <c r="B183" i="18"/>
  <c r="B186" i="18"/>
  <c r="B187" i="18"/>
  <c r="B188" i="18"/>
  <c r="B191" i="18"/>
  <c r="B192" i="18"/>
  <c r="B193" i="18"/>
  <c r="B194" i="18"/>
  <c r="B195" i="18"/>
  <c r="B198" i="18"/>
  <c r="B199" i="18"/>
  <c r="B200" i="18"/>
  <c r="B201" i="18"/>
  <c r="B202" i="18"/>
  <c r="B205" i="18"/>
  <c r="B206" i="18"/>
  <c r="B207" i="18"/>
  <c r="B209" i="18"/>
  <c r="B210" i="18"/>
  <c r="B211" i="18"/>
  <c r="B363" i="18"/>
  <c r="B364" i="18"/>
  <c r="B365" i="18"/>
  <c r="B366" i="18"/>
  <c r="B367" i="18"/>
  <c r="B368" i="18"/>
  <c r="B369" i="18"/>
  <c r="B370" i="18"/>
  <c r="B371" i="18"/>
  <c r="B372" i="18"/>
  <c r="B373" i="18"/>
  <c r="B374" i="18"/>
  <c r="B375" i="18"/>
  <c r="B376" i="18"/>
  <c r="B378" i="18"/>
  <c r="B379" i="18"/>
  <c r="B380" i="18"/>
  <c r="B381" i="18"/>
  <c r="B382" i="18"/>
  <c r="B383" i="18"/>
  <c r="B384" i="18"/>
  <c r="B385" i="18"/>
  <c r="B386" i="18"/>
  <c r="B387" i="18"/>
  <c r="B388" i="18"/>
  <c r="B389" i="18"/>
  <c r="B390" i="18"/>
  <c r="B391" i="18"/>
  <c r="B392" i="18"/>
  <c r="B394" i="18"/>
  <c r="B395" i="18"/>
  <c r="B397" i="18"/>
  <c r="B398" i="18"/>
  <c r="B399" i="18"/>
  <c r="B400" i="18"/>
  <c r="B401" i="18"/>
  <c r="B402" i="18"/>
  <c r="B404" i="18"/>
  <c r="B405" i="18"/>
  <c r="B406" i="18"/>
  <c r="B407" i="18"/>
  <c r="B408" i="18"/>
  <c r="B409" i="18"/>
  <c r="B410" i="18"/>
  <c r="B411" i="18"/>
  <c r="B413" i="18"/>
  <c r="B414" i="18"/>
  <c r="B415" i="18"/>
  <c r="B416" i="18"/>
  <c r="B418" i="18"/>
  <c r="B419" i="18"/>
  <c r="B420" i="18"/>
  <c r="B421" i="18"/>
  <c r="B423" i="18"/>
  <c r="B424" i="18"/>
  <c r="B425" i="18"/>
  <c r="B426" i="18"/>
  <c r="B427" i="18"/>
  <c r="B428" i="18"/>
  <c r="B429" i="18"/>
  <c r="B430" i="18"/>
  <c r="B431" i="18"/>
  <c r="B433" i="18"/>
  <c r="B434" i="18"/>
  <c r="B435" i="18"/>
  <c r="B436" i="18"/>
  <c r="B439" i="18"/>
  <c r="B440" i="18"/>
  <c r="B441" i="18"/>
  <c r="B443" i="18"/>
  <c r="B444" i="18"/>
  <c r="B445" i="18"/>
  <c r="B446" i="18"/>
  <c r="B447" i="18"/>
  <c r="B448" i="18"/>
  <c r="B449" i="18"/>
  <c r="B451" i="18"/>
  <c r="B452" i="18"/>
  <c r="B453" i="18"/>
  <c r="B454" i="18"/>
  <c r="B456" i="18"/>
  <c r="B458" i="18"/>
  <c r="B459" i="18"/>
  <c r="B460" i="18"/>
  <c r="B463" i="18"/>
  <c r="B465" i="18"/>
  <c r="B466" i="18"/>
  <c r="B468" i="18"/>
  <c r="AJ216" i="19"/>
  <c r="AM216" i="19" s="1"/>
  <c r="AJ201" i="19"/>
  <c r="AK201" i="19" s="1"/>
  <c r="AJ111" i="22"/>
  <c r="AK111" i="22" s="1"/>
  <c r="AJ104" i="22"/>
  <c r="AK104" i="22" s="1"/>
  <c r="AJ19" i="22"/>
  <c r="AM464" i="18"/>
  <c r="AK464" i="18"/>
  <c r="AK465" i="18"/>
  <c r="AI464" i="18"/>
  <c r="AJ163" i="17"/>
  <c r="AJ286" i="17"/>
  <c r="AM286" i="17" s="1"/>
  <c r="AJ127" i="17"/>
  <c r="AF125" i="17"/>
  <c r="AJ264" i="17"/>
  <c r="AK241" i="17"/>
  <c r="AM241" i="17"/>
  <c r="AI241" i="17"/>
  <c r="AJ147" i="17"/>
  <c r="AJ99" i="17"/>
  <c r="AM99" i="17" s="1"/>
  <c r="AJ276" i="17"/>
  <c r="AJ248" i="17"/>
  <c r="AM248" i="17" s="1"/>
  <c r="AJ212" i="17"/>
  <c r="AJ237" i="17"/>
  <c r="AJ287" i="17" s="1"/>
  <c r="AL287" i="17" s="1"/>
  <c r="AJ105" i="17"/>
  <c r="AJ82" i="17"/>
  <c r="AM82" i="17" s="1"/>
  <c r="AJ87" i="17"/>
  <c r="AJ96" i="17"/>
  <c r="AM96" i="17" s="1"/>
  <c r="AJ92" i="17"/>
  <c r="AJ94" i="17"/>
  <c r="AK94" i="17" s="1"/>
  <c r="AJ36" i="1"/>
  <c r="AJ31" i="1"/>
  <c r="AJ29" i="1"/>
  <c r="AJ47" i="1"/>
  <c r="AJ45" i="1"/>
  <c r="AM42" i="1"/>
  <c r="AJ42" i="19"/>
  <c r="AM42" i="19" s="1"/>
  <c r="B403" i="18"/>
  <c r="AJ472" i="18"/>
  <c r="AL472" i="18" s="1"/>
  <c r="AJ342" i="18"/>
  <c r="AM342" i="18" s="1"/>
  <c r="AK343" i="18"/>
  <c r="AM343" i="18"/>
  <c r="AI343" i="18"/>
  <c r="AJ336" i="18"/>
  <c r="AJ329" i="18"/>
  <c r="AJ328" i="18"/>
  <c r="AJ304" i="18"/>
  <c r="AJ309" i="18"/>
  <c r="AJ322" i="18"/>
  <c r="AJ319" i="18"/>
  <c r="AJ266" i="18"/>
  <c r="AM266" i="18" s="1"/>
  <c r="AJ265" i="18"/>
  <c r="AJ264" i="18"/>
  <c r="AM264" i="18" s="1"/>
  <c r="AJ263" i="18"/>
  <c r="AJ262" i="18"/>
  <c r="AJ109" i="18"/>
  <c r="AJ103" i="18"/>
  <c r="AM103" i="18" s="1"/>
  <c r="AJ100" i="18"/>
  <c r="AJ90" i="18"/>
  <c r="AM90" i="18" s="1"/>
  <c r="AM314" i="18"/>
  <c r="AI314" i="18"/>
  <c r="AI289" i="18"/>
  <c r="AM289" i="18"/>
  <c r="AM302" i="18"/>
  <c r="AI302" i="18"/>
  <c r="AM244" i="18"/>
  <c r="AI244" i="18"/>
  <c r="AM219" i="18"/>
  <c r="AI219" i="18"/>
  <c r="AM234" i="18"/>
  <c r="AI234" i="18"/>
  <c r="AM232" i="18"/>
  <c r="AI232" i="18"/>
  <c r="AM257" i="18"/>
  <c r="AI257" i="18"/>
  <c r="AM249" i="18"/>
  <c r="AI249" i="18"/>
  <c r="AM253" i="18"/>
  <c r="AI253" i="18"/>
  <c r="AM251" i="18"/>
  <c r="AI251" i="18"/>
  <c r="AM255" i="18"/>
  <c r="AI255" i="18"/>
  <c r="AM229" i="18"/>
  <c r="AI229" i="18"/>
  <c r="AJ458" i="18"/>
  <c r="AM458" i="18" s="1"/>
  <c r="AJ457" i="18"/>
  <c r="AJ455" i="18"/>
  <c r="AJ446" i="18"/>
  <c r="AM423" i="18"/>
  <c r="AI423" i="18"/>
  <c r="AM363" i="18"/>
  <c r="AI363" i="18"/>
  <c r="AM431" i="18"/>
  <c r="AI431" i="18"/>
  <c r="AM439" i="18"/>
  <c r="AI439" i="18"/>
  <c r="AM368" i="18"/>
  <c r="AI368" i="18"/>
  <c r="AM456" i="18"/>
  <c r="AI456" i="18"/>
  <c r="AM411" i="18"/>
  <c r="AI411" i="18"/>
  <c r="AM453" i="18"/>
  <c r="AI453" i="18"/>
  <c r="AM447" i="18"/>
  <c r="AI447" i="18"/>
  <c r="AM376" i="18"/>
  <c r="AI376" i="18"/>
  <c r="AI386" i="18"/>
  <c r="AM406" i="18"/>
  <c r="AI406" i="18"/>
  <c r="AM390" i="18"/>
  <c r="AM391" i="18"/>
  <c r="AI391" i="18"/>
  <c r="AM397" i="18"/>
  <c r="AI397" i="18"/>
  <c r="AI394" i="18"/>
  <c r="AM374" i="18"/>
  <c r="AI374" i="18"/>
  <c r="AM366" i="18"/>
  <c r="AI366" i="18"/>
  <c r="AM174" i="18"/>
  <c r="AI174" i="18"/>
  <c r="AM202" i="18"/>
  <c r="AI202" i="18"/>
  <c r="AM192" i="18"/>
  <c r="AI192" i="18"/>
  <c r="AM198" i="18"/>
  <c r="AI198" i="18"/>
  <c r="AM156" i="18"/>
  <c r="AI156" i="18"/>
  <c r="AM183" i="18"/>
  <c r="AI183" i="18"/>
  <c r="AM186" i="18"/>
  <c r="AI186" i="18"/>
  <c r="AM200" i="18"/>
  <c r="AI200" i="18"/>
  <c r="AM160" i="18"/>
  <c r="AI160" i="18"/>
  <c r="AJ212" i="19"/>
  <c r="AM212" i="19" s="1"/>
  <c r="AJ68" i="19"/>
  <c r="AM68" i="19" s="1"/>
  <c r="AJ63" i="19"/>
  <c r="AJ24" i="19"/>
  <c r="AJ231" i="19"/>
  <c r="AM231" i="19" s="1"/>
  <c r="AJ144" i="19"/>
  <c r="AM144" i="19" s="1"/>
  <c r="AJ64" i="19"/>
  <c r="AJ86" i="19"/>
  <c r="AM86" i="19" s="1"/>
  <c r="AJ104" i="19"/>
  <c r="AK104" i="19" s="1"/>
  <c r="AJ49" i="19"/>
  <c r="AM49" i="19" s="1"/>
  <c r="AJ115" i="19"/>
  <c r="AJ60" i="19"/>
  <c r="AJ20" i="19"/>
  <c r="AK20" i="19" s="1"/>
  <c r="B220" i="19"/>
  <c r="AJ65" i="19"/>
  <c r="AJ72" i="19"/>
  <c r="AM72" i="19" s="1"/>
  <c r="AJ221" i="19"/>
  <c r="AM221" i="19" s="1"/>
  <c r="AJ62" i="19"/>
  <c r="AK62" i="19" s="1"/>
  <c r="AJ61" i="19"/>
  <c r="AJ102" i="19"/>
  <c r="AM102" i="19" s="1"/>
  <c r="AJ31" i="19"/>
  <c r="AK31" i="19" s="1"/>
  <c r="AJ50" i="19"/>
  <c r="AK50" i="19" s="1"/>
  <c r="AK71" i="19"/>
  <c r="AJ70" i="19"/>
  <c r="AM70" i="19" s="1"/>
  <c r="AJ32" i="19"/>
  <c r="AM32" i="19" s="1"/>
  <c r="AJ112" i="19"/>
  <c r="AM112" i="19" s="1"/>
  <c r="AJ236" i="19"/>
  <c r="AJ69" i="19"/>
  <c r="AK69" i="19" s="1"/>
  <c r="AJ94" i="19"/>
  <c r="AK94" i="19" s="1"/>
  <c r="AJ99" i="19"/>
  <c r="AK99" i="19" s="1"/>
  <c r="AJ173" i="19"/>
  <c r="AM173" i="19" s="1"/>
  <c r="AJ56" i="19"/>
  <c r="B25" i="19"/>
  <c r="B26" i="19"/>
  <c r="AM25" i="19"/>
  <c r="AK25" i="19"/>
  <c r="AC25" i="19"/>
  <c r="AD25" i="19" s="1"/>
  <c r="AI25" i="19"/>
  <c r="B153" i="19"/>
  <c r="AM153" i="19"/>
  <c r="AK153" i="19"/>
  <c r="AC153" i="19"/>
  <c r="AD153" i="19" s="1"/>
  <c r="AI153" i="19"/>
  <c r="B111" i="19"/>
  <c r="AM111" i="19"/>
  <c r="AK111" i="19"/>
  <c r="AC111" i="19"/>
  <c r="AD111" i="19" s="1"/>
  <c r="AI111" i="19"/>
  <c r="B130" i="19"/>
  <c r="AM130" i="19"/>
  <c r="AK130" i="19"/>
  <c r="AC130" i="19"/>
  <c r="AD130" i="19" s="1"/>
  <c r="AI130" i="19"/>
  <c r="B155" i="19"/>
  <c r="AM155" i="19"/>
  <c r="AK155" i="19"/>
  <c r="AC155" i="19"/>
  <c r="AD155" i="19" s="1"/>
  <c r="AI155" i="19"/>
  <c r="AM220" i="19"/>
  <c r="AK220" i="19"/>
  <c r="AC220" i="19"/>
  <c r="AD220" i="19" s="1"/>
  <c r="AI220" i="19"/>
  <c r="B216" i="19"/>
  <c r="AC216" i="19"/>
  <c r="AD216" i="19" s="1"/>
  <c r="AI216" i="19"/>
  <c r="B208" i="19"/>
  <c r="AM208" i="19"/>
  <c r="AK208" i="19"/>
  <c r="AC208" i="19"/>
  <c r="AD208" i="19" s="1"/>
  <c r="AI208" i="19"/>
  <c r="B151" i="19"/>
  <c r="AM151" i="19"/>
  <c r="AK151" i="19"/>
  <c r="AC151" i="19"/>
  <c r="AD151" i="19" s="1"/>
  <c r="AI151" i="19"/>
  <c r="B232" i="19"/>
  <c r="AI232" i="19"/>
  <c r="AM232" i="19"/>
  <c r="AK232" i="19"/>
  <c r="AC232" i="19"/>
  <c r="AD232" i="19" s="1"/>
  <c r="B132" i="19"/>
  <c r="AM132" i="19"/>
  <c r="AK132" i="19"/>
  <c r="AC132" i="19"/>
  <c r="AD132" i="19" s="1"/>
  <c r="AI132" i="19"/>
  <c r="B143" i="19"/>
  <c r="AM143" i="19"/>
  <c r="AK143" i="19"/>
  <c r="AC143" i="19"/>
  <c r="AD143" i="19" s="1"/>
  <c r="AI143" i="19"/>
  <c r="B90" i="19"/>
  <c r="AI90" i="19"/>
  <c r="AM90" i="19"/>
  <c r="AK90" i="19"/>
  <c r="AC90" i="19"/>
  <c r="AD90" i="19" s="1"/>
  <c r="B128" i="19"/>
  <c r="AM128" i="19"/>
  <c r="AK128" i="19"/>
  <c r="AC128" i="19"/>
  <c r="AD128" i="19" s="1"/>
  <c r="AI128" i="19"/>
  <c r="B185" i="19"/>
  <c r="AM185" i="19"/>
  <c r="AK185" i="19"/>
  <c r="AC185" i="19"/>
  <c r="AD185" i="19" s="1"/>
  <c r="AI185" i="19"/>
  <c r="B136" i="19"/>
  <c r="AM136" i="19"/>
  <c r="AK136" i="19"/>
  <c r="AC136" i="19"/>
  <c r="AD136" i="19" s="1"/>
  <c r="AI136" i="19"/>
  <c r="B134" i="19"/>
  <c r="AM134" i="19"/>
  <c r="AK134" i="19"/>
  <c r="AC134" i="19"/>
  <c r="AD134" i="19" s="1"/>
  <c r="AI134" i="19"/>
  <c r="B82" i="19"/>
  <c r="AM82" i="19"/>
  <c r="AK82" i="19"/>
  <c r="AC82" i="19"/>
  <c r="AD82" i="19" s="1"/>
  <c r="AI82" i="19"/>
  <c r="B92" i="19"/>
  <c r="B93" i="19"/>
  <c r="B183" i="19"/>
  <c r="AM183" i="19"/>
  <c r="AK183" i="19"/>
  <c r="AC183" i="19"/>
  <c r="AD183" i="19" s="1"/>
  <c r="AI183" i="19"/>
  <c r="B145" i="19"/>
  <c r="AM145" i="19"/>
  <c r="AK145" i="19"/>
  <c r="AC145" i="19"/>
  <c r="AD145" i="19" s="1"/>
  <c r="AI145" i="19"/>
  <c r="B181" i="19"/>
  <c r="AM181" i="19"/>
  <c r="AK181" i="19"/>
  <c r="AC181" i="19"/>
  <c r="AD181" i="19" s="1"/>
  <c r="AI181" i="19"/>
  <c r="B78" i="19"/>
  <c r="AI78" i="19"/>
  <c r="AM78" i="19"/>
  <c r="AK78" i="19"/>
  <c r="AC78" i="19"/>
  <c r="AD78" i="19" s="1"/>
  <c r="B149" i="19"/>
  <c r="AC149" i="19"/>
  <c r="AD149" i="19" s="1"/>
  <c r="AI149" i="19"/>
  <c r="B169" i="19"/>
  <c r="AM169" i="19"/>
  <c r="AK169" i="19"/>
  <c r="AC169" i="19"/>
  <c r="AD169" i="19" s="1"/>
  <c r="AI169" i="19"/>
  <c r="AI92" i="19"/>
  <c r="AM92" i="19"/>
  <c r="AK92" i="19"/>
  <c r="AC92" i="19"/>
  <c r="AD92" i="19" s="1"/>
  <c r="B230" i="19"/>
  <c r="AI230" i="19"/>
  <c r="AK230" i="19"/>
  <c r="AC230" i="19"/>
  <c r="AD230" i="19" s="1"/>
  <c r="K285" i="17"/>
  <c r="B161" i="19"/>
  <c r="AM161" i="19"/>
  <c r="AK161" i="19"/>
  <c r="AC161" i="19"/>
  <c r="AD161" i="19" s="1"/>
  <c r="AI161" i="19"/>
  <c r="B147" i="19"/>
  <c r="AM147" i="19"/>
  <c r="AK147" i="19"/>
  <c r="AC147" i="19"/>
  <c r="AD147" i="19" s="1"/>
  <c r="AI147" i="19"/>
  <c r="B177" i="19"/>
  <c r="AM177" i="19"/>
  <c r="AK177" i="19"/>
  <c r="AC177" i="19"/>
  <c r="AD177" i="19" s="1"/>
  <c r="AI177" i="19"/>
  <c r="B140" i="19"/>
  <c r="AM140" i="19"/>
  <c r="AK140" i="19"/>
  <c r="AC140" i="19"/>
  <c r="AD140" i="19" s="1"/>
  <c r="AI140" i="19"/>
  <c r="B194" i="19"/>
  <c r="AM194" i="19"/>
  <c r="AK194" i="19"/>
  <c r="AC194" i="19"/>
  <c r="AD194" i="19" s="1"/>
  <c r="AI194" i="19"/>
  <c r="B200" i="19"/>
  <c r="AM200" i="19"/>
  <c r="AK200" i="19"/>
  <c r="AC200" i="19"/>
  <c r="AD200" i="19" s="1"/>
  <c r="AI200" i="19"/>
  <c r="B158" i="19"/>
  <c r="AM158" i="19"/>
  <c r="AK158" i="19"/>
  <c r="AC158" i="19"/>
  <c r="AD158" i="19" s="1"/>
  <c r="AI158" i="19"/>
  <c r="B202" i="19"/>
  <c r="AM202" i="19"/>
  <c r="AK202" i="19"/>
  <c r="AC202" i="19"/>
  <c r="AD202" i="19" s="1"/>
  <c r="AI202" i="19"/>
  <c r="B204" i="19"/>
  <c r="AM204" i="19"/>
  <c r="AK204" i="19"/>
  <c r="AC204" i="19"/>
  <c r="AD204" i="19" s="1"/>
  <c r="AI204" i="19"/>
  <c r="B100" i="19"/>
  <c r="AM100" i="19"/>
  <c r="AK100" i="19"/>
  <c r="AC100" i="19"/>
  <c r="AD100" i="19" s="1"/>
  <c r="AI100" i="19"/>
  <c r="B106" i="19"/>
  <c r="AM106" i="19"/>
  <c r="AK106" i="19"/>
  <c r="AC106" i="19"/>
  <c r="AD106" i="19" s="1"/>
  <c r="AI106" i="19"/>
  <c r="B95" i="19"/>
  <c r="AM95" i="19"/>
  <c r="AK95" i="19"/>
  <c r="AC95" i="19"/>
  <c r="AD95" i="19" s="1"/>
  <c r="AI95" i="19"/>
  <c r="B189" i="19"/>
  <c r="AM189" i="19"/>
  <c r="AK189" i="19"/>
  <c r="AC189" i="19"/>
  <c r="AD189" i="19" s="1"/>
  <c r="AI189" i="19"/>
  <c r="B84" i="19"/>
  <c r="AM84" i="19"/>
  <c r="AK84" i="19"/>
  <c r="AC84" i="19"/>
  <c r="AD84" i="19" s="1"/>
  <c r="AI84" i="19"/>
  <c r="B80" i="19"/>
  <c r="AM80" i="19"/>
  <c r="AK80" i="19"/>
  <c r="AI80" i="19"/>
  <c r="AC80" i="19"/>
  <c r="AD80" i="19" s="1"/>
  <c r="B172" i="19"/>
  <c r="AM172" i="19"/>
  <c r="AK172" i="19"/>
  <c r="AI172" i="19"/>
  <c r="AC172" i="19"/>
  <c r="AD172" i="19" s="1"/>
  <c r="B187" i="19"/>
  <c r="AM187" i="19"/>
  <c r="AI187" i="19"/>
  <c r="AC187" i="19"/>
  <c r="AD187" i="19" s="1"/>
  <c r="B120" i="19"/>
  <c r="AM120" i="19"/>
  <c r="AK120" i="19"/>
  <c r="AI120" i="19"/>
  <c r="AC120" i="19"/>
  <c r="AD120" i="19" s="1"/>
  <c r="AI357" i="18"/>
  <c r="AI354" i="18"/>
  <c r="AI355" i="18" s="1"/>
  <c r="AC28" i="18"/>
  <c r="AD28" i="18" s="1"/>
  <c r="AC29" i="18"/>
  <c r="AD29" i="18" s="1"/>
  <c r="AC30" i="18"/>
  <c r="AD30" i="18" s="1"/>
  <c r="AC31" i="18"/>
  <c r="AD31" i="18" s="1"/>
  <c r="AC32" i="18"/>
  <c r="AD32" i="18" s="1"/>
  <c r="AC33" i="18"/>
  <c r="AD33" i="18" s="1"/>
  <c r="AC269" i="18"/>
  <c r="AD269" i="18" s="1"/>
  <c r="AC336" i="18"/>
  <c r="AD336" i="18" s="1"/>
  <c r="AC337" i="18"/>
  <c r="AD337" i="18" s="1"/>
  <c r="AC338" i="18"/>
  <c r="AD338" i="18" s="1"/>
  <c r="AC478" i="18"/>
  <c r="AB359" i="18"/>
  <c r="AA359" i="18"/>
  <c r="Z359" i="18"/>
  <c r="Y359" i="18"/>
  <c r="X359" i="18"/>
  <c r="W359" i="18"/>
  <c r="V359" i="18"/>
  <c r="U359" i="18"/>
  <c r="T359" i="18"/>
  <c r="S359" i="18"/>
  <c r="R359" i="18"/>
  <c r="Q359" i="18"/>
  <c r="O359" i="18"/>
  <c r="AM358" i="18"/>
  <c r="AK358" i="18"/>
  <c r="AI358" i="18"/>
  <c r="B358" i="18"/>
  <c r="AM357" i="18"/>
  <c r="AK357" i="18"/>
  <c r="AC357" i="18"/>
  <c r="AD357" i="18" s="1"/>
  <c r="AD359" i="18" s="1"/>
  <c r="B357" i="18"/>
  <c r="AJ359" i="18"/>
  <c r="AL359" i="18" s="1"/>
  <c r="AJ21" i="18"/>
  <c r="AJ19" i="18"/>
  <c r="AK19" i="18" s="1"/>
  <c r="AJ354" i="18"/>
  <c r="AJ353" i="18"/>
  <c r="AM205" i="19"/>
  <c r="AA37" i="22"/>
  <c r="AA219" i="19"/>
  <c r="AA195" i="19"/>
  <c r="AA101" i="19"/>
  <c r="AA116" i="19" s="1"/>
  <c r="AA163" i="19"/>
  <c r="AA255" i="17"/>
  <c r="AA287" i="17" s="1"/>
  <c r="AA233" i="17"/>
  <c r="B127" i="17"/>
  <c r="AK128" i="17"/>
  <c r="AI285" i="17"/>
  <c r="AI127" i="17"/>
  <c r="AM127" i="17"/>
  <c r="AK127" i="17"/>
  <c r="B85" i="22"/>
  <c r="B86" i="22"/>
  <c r="AI85" i="22"/>
  <c r="AI86" i="22"/>
  <c r="AK85" i="22"/>
  <c r="AK86" i="22"/>
  <c r="AM85" i="22"/>
  <c r="AM86" i="22"/>
  <c r="AJ87" i="22"/>
  <c r="AM87" i="22" s="1"/>
  <c r="O355" i="18"/>
  <c r="E503" i="18" s="1"/>
  <c r="O491" i="18"/>
  <c r="K29" i="22"/>
  <c r="M83" i="22"/>
  <c r="B83" i="22" s="1"/>
  <c r="B242" i="17"/>
  <c r="B467" i="18"/>
  <c r="B316" i="18"/>
  <c r="B242" i="18"/>
  <c r="B90" i="22"/>
  <c r="AM273" i="17"/>
  <c r="B145" i="17"/>
  <c r="AM297" i="18"/>
  <c r="AI297" i="18"/>
  <c r="AM299" i="18"/>
  <c r="AI299" i="18"/>
  <c r="AI304" i="18"/>
  <c r="AM312" i="18"/>
  <c r="AI312" i="18"/>
  <c r="AM293" i="18"/>
  <c r="AI293" i="18"/>
  <c r="AM291" i="18"/>
  <c r="AI291" i="18"/>
  <c r="AM295" i="18"/>
  <c r="AI295" i="18"/>
  <c r="AM171" i="18"/>
  <c r="AI171" i="18"/>
  <c r="AM164" i="18"/>
  <c r="AI164" i="18"/>
  <c r="AM449" i="18"/>
  <c r="AI449" i="18"/>
  <c r="AM410" i="18"/>
  <c r="AI410" i="18"/>
  <c r="AM466" i="18"/>
  <c r="AK466" i="18"/>
  <c r="AI466" i="18"/>
  <c r="AM373" i="18"/>
  <c r="AI373" i="18"/>
  <c r="AI365" i="18"/>
  <c r="AI367" i="18"/>
  <c r="AM365" i="18"/>
  <c r="AM401" i="18"/>
  <c r="AI401" i="18"/>
  <c r="AM441" i="18"/>
  <c r="AI441" i="18"/>
  <c r="AI125" i="17"/>
  <c r="AI126" i="17"/>
  <c r="B125" i="17"/>
  <c r="B126" i="17"/>
  <c r="AM125" i="17"/>
  <c r="AM126" i="17"/>
  <c r="AK125" i="17"/>
  <c r="AK126" i="17"/>
  <c r="AJ210" i="17"/>
  <c r="B266" i="17"/>
  <c r="B267" i="17"/>
  <c r="AM266" i="17"/>
  <c r="AK266" i="17"/>
  <c r="AI266" i="17"/>
  <c r="B284" i="17"/>
  <c r="B285" i="17"/>
  <c r="B286" i="17"/>
  <c r="AM285" i="17"/>
  <c r="AK285" i="17"/>
  <c r="AJ27" i="18"/>
  <c r="AJ34" i="18" s="1"/>
  <c r="AL34" i="18" s="1"/>
  <c r="B92" i="17"/>
  <c r="AM92" i="17"/>
  <c r="AK92" i="17"/>
  <c r="AI92" i="17"/>
  <c r="B94" i="17"/>
  <c r="AM94" i="17"/>
  <c r="AI94" i="17"/>
  <c r="B147" i="17"/>
  <c r="AM147" i="17"/>
  <c r="AK147" i="17"/>
  <c r="AI147" i="17"/>
  <c r="AI284" i="17"/>
  <c r="AM284" i="17"/>
  <c r="AK284" i="17"/>
  <c r="B264" i="17"/>
  <c r="AM261" i="17"/>
  <c r="AM262" i="17"/>
  <c r="AM264" i="17"/>
  <c r="AK264" i="17"/>
  <c r="AI264" i="17"/>
  <c r="B210" i="17"/>
  <c r="AI210" i="17"/>
  <c r="AM210" i="17"/>
  <c r="AK210" i="17"/>
  <c r="B240" i="17"/>
  <c r="AM240" i="17"/>
  <c r="AK240" i="17"/>
  <c r="AI240" i="17"/>
  <c r="B217" i="17"/>
  <c r="AM217" i="17"/>
  <c r="AK217" i="17"/>
  <c r="AI217" i="17"/>
  <c r="B276" i="17"/>
  <c r="AM276" i="17"/>
  <c r="AK276" i="17"/>
  <c r="AI276" i="17"/>
  <c r="B248" i="17"/>
  <c r="AK248" i="17"/>
  <c r="AI248" i="17"/>
  <c r="AI212" i="17"/>
  <c r="B212" i="17"/>
  <c r="AM212" i="17"/>
  <c r="AK212" i="17"/>
  <c r="B237" i="17"/>
  <c r="AK237" i="17"/>
  <c r="AI237" i="17"/>
  <c r="B99" i="17"/>
  <c r="AI99" i="17"/>
  <c r="B105" i="17"/>
  <c r="AM105" i="17"/>
  <c r="AK105" i="17"/>
  <c r="AI105" i="17"/>
  <c r="B82" i="17"/>
  <c r="AM83" i="17"/>
  <c r="AK82" i="17"/>
  <c r="AK83" i="17"/>
  <c r="AI82" i="17"/>
  <c r="B87" i="17"/>
  <c r="B88" i="17"/>
  <c r="AM87" i="17"/>
  <c r="AK87" i="17"/>
  <c r="AI87" i="17"/>
  <c r="B96" i="17"/>
  <c r="AI96" i="17"/>
  <c r="B393" i="18"/>
  <c r="AK342" i="18"/>
  <c r="B70" i="23"/>
  <c r="Z216" i="18"/>
  <c r="Z159" i="19"/>
  <c r="Z22" i="19"/>
  <c r="M123" i="17"/>
  <c r="M122" i="17"/>
  <c r="K262" i="18"/>
  <c r="K93" i="18"/>
  <c r="AJ149" i="18"/>
  <c r="AJ148" i="18"/>
  <c r="AK148" i="18" s="1"/>
  <c r="AJ152" i="18"/>
  <c r="Z108" i="22"/>
  <c r="AC108" i="22" s="1"/>
  <c r="AD108" i="22" s="1"/>
  <c r="AJ273" i="17"/>
  <c r="AJ20" i="1"/>
  <c r="Z195" i="19"/>
  <c r="Z152" i="19"/>
  <c r="Z107" i="19"/>
  <c r="Z416" i="18"/>
  <c r="Z342" i="18"/>
  <c r="Z432" i="18"/>
  <c r="Z435" i="18"/>
  <c r="Z384" i="18"/>
  <c r="Z168" i="18"/>
  <c r="Z212" i="18" s="1"/>
  <c r="K27" i="18"/>
  <c r="O264" i="18"/>
  <c r="O266" i="18"/>
  <c r="O446" i="18"/>
  <c r="K455" i="18"/>
  <c r="B455" i="18"/>
  <c r="AM392" i="18"/>
  <c r="AM393" i="18"/>
  <c r="AJ347" i="18"/>
  <c r="AJ122" i="18"/>
  <c r="B247" i="18"/>
  <c r="K247" i="18"/>
  <c r="AJ150" i="18"/>
  <c r="AM150" i="18" s="1"/>
  <c r="AM471" i="18"/>
  <c r="O307" i="18"/>
  <c r="B307" i="18"/>
  <c r="O184" i="18"/>
  <c r="O180" i="18"/>
  <c r="O179" i="18"/>
  <c r="B179" i="18"/>
  <c r="AB355" i="18"/>
  <c r="R355" i="18"/>
  <c r="S355" i="18"/>
  <c r="T355" i="18"/>
  <c r="U355" i="18"/>
  <c r="V355" i="18"/>
  <c r="W355" i="18"/>
  <c r="X355" i="18"/>
  <c r="Y355" i="18"/>
  <c r="Z355" i="18"/>
  <c r="AA355" i="18"/>
  <c r="Q355" i="18"/>
  <c r="AC353" i="18"/>
  <c r="AD353" i="18" s="1"/>
  <c r="AK354" i="18"/>
  <c r="AI353" i="18"/>
  <c r="AH355" i="18"/>
  <c r="AG355" i="18"/>
  <c r="AC354" i="18"/>
  <c r="AJ69" i="18"/>
  <c r="AJ115" i="17"/>
  <c r="AK115" i="17" s="1"/>
  <c r="AJ91" i="22"/>
  <c r="AM91" i="22" s="1"/>
  <c r="AJ75" i="18"/>
  <c r="AJ76" i="18" s="1"/>
  <c r="AJ173" i="18"/>
  <c r="AJ269" i="18"/>
  <c r="AM269" i="18" s="1"/>
  <c r="AJ211" i="18"/>
  <c r="AJ105" i="18"/>
  <c r="AK105" i="18" s="1"/>
  <c r="AJ97" i="18"/>
  <c r="O412" i="18"/>
  <c r="AM436" i="18"/>
  <c r="AI436" i="18"/>
  <c r="AM403" i="18"/>
  <c r="AI403" i="18"/>
  <c r="AM452" i="18"/>
  <c r="AI452" i="18"/>
  <c r="AM434" i="18"/>
  <c r="AI434" i="18"/>
  <c r="AM385" i="18"/>
  <c r="AI385" i="18"/>
  <c r="AM405" i="18"/>
  <c r="AM407" i="18"/>
  <c r="AI405" i="18"/>
  <c r="AM388" i="18"/>
  <c r="AM389" i="18"/>
  <c r="AI388" i="18"/>
  <c r="AM309" i="18"/>
  <c r="AI309" i="18"/>
  <c r="AM246" i="18"/>
  <c r="AI246" i="18"/>
  <c r="AM162" i="18"/>
  <c r="AI162" i="18"/>
  <c r="AM169" i="18"/>
  <c r="AI169" i="18"/>
  <c r="AM167" i="18"/>
  <c r="AI167" i="18"/>
  <c r="AM178" i="18"/>
  <c r="AI178" i="18"/>
  <c r="AM188" i="18"/>
  <c r="AM191" i="18"/>
  <c r="AM194" i="18"/>
  <c r="AM195" i="18"/>
  <c r="AM206" i="18"/>
  <c r="AM207" i="18"/>
  <c r="AM209" i="18"/>
  <c r="AM210" i="18"/>
  <c r="AI188" i="18"/>
  <c r="AM261" i="18"/>
  <c r="AI267" i="18"/>
  <c r="AI268" i="18"/>
  <c r="AI206" i="18"/>
  <c r="AI207" i="18"/>
  <c r="AI209" i="18"/>
  <c r="AI210" i="18"/>
  <c r="AH122" i="18"/>
  <c r="AG122" i="18"/>
  <c r="AB122" i="18"/>
  <c r="AA122" i="18"/>
  <c r="Z122" i="18"/>
  <c r="Y122" i="18"/>
  <c r="X122" i="18"/>
  <c r="W122" i="18"/>
  <c r="V122" i="18"/>
  <c r="U122" i="18"/>
  <c r="T122" i="18"/>
  <c r="R122" i="18"/>
  <c r="Q122" i="18"/>
  <c r="O122" i="18"/>
  <c r="D58" i="23" s="1"/>
  <c r="AM121" i="18"/>
  <c r="AK121" i="18"/>
  <c r="AI121" i="18"/>
  <c r="AC121" i="18"/>
  <c r="AD121" i="18" s="1"/>
  <c r="B121" i="18"/>
  <c r="AM120" i="18"/>
  <c r="AK120" i="18"/>
  <c r="AI120" i="18"/>
  <c r="AC120" i="18"/>
  <c r="AD120" i="18" s="1"/>
  <c r="B120" i="18"/>
  <c r="AM119" i="18"/>
  <c r="AI119" i="18"/>
  <c r="S122" i="18"/>
  <c r="B119" i="18"/>
  <c r="AM118" i="18"/>
  <c r="AK118" i="18"/>
  <c r="AI118" i="18"/>
  <c r="AC118" i="18"/>
  <c r="B118" i="18"/>
  <c r="AM117" i="18"/>
  <c r="AK117" i="18"/>
  <c r="AI117" i="18"/>
  <c r="AC117" i="18"/>
  <c r="AD117" i="18" s="1"/>
  <c r="B117" i="18"/>
  <c r="AK29" i="18"/>
  <c r="AK30" i="18"/>
  <c r="AK31" i="18"/>
  <c r="AK32" i="18"/>
  <c r="AI28" i="18"/>
  <c r="AI29" i="18"/>
  <c r="AI30" i="18"/>
  <c r="AI31" i="18"/>
  <c r="AI32" i="18"/>
  <c r="AI33" i="18"/>
  <c r="AM29" i="18"/>
  <c r="AM30" i="18"/>
  <c r="AM31" i="18"/>
  <c r="AM32" i="18"/>
  <c r="AM33" i="18"/>
  <c r="AJ58" i="18"/>
  <c r="AL58" i="18" s="1"/>
  <c r="AB58" i="18"/>
  <c r="AA58" i="18"/>
  <c r="Z58" i="18"/>
  <c r="Y58" i="18"/>
  <c r="X58" i="18"/>
  <c r="W58" i="18"/>
  <c r="V58" i="18"/>
  <c r="U58" i="18"/>
  <c r="T58" i="18"/>
  <c r="S58" i="18"/>
  <c r="R58" i="18"/>
  <c r="Q58" i="18"/>
  <c r="O58" i="18"/>
  <c r="AK57" i="18"/>
  <c r="AC57" i="18"/>
  <c r="AD57" i="18" s="1"/>
  <c r="B57" i="18"/>
  <c r="AM56" i="18"/>
  <c r="AK56" i="18"/>
  <c r="AI56" i="18"/>
  <c r="AC56" i="18"/>
  <c r="AD56" i="18" s="1"/>
  <c r="B56" i="18"/>
  <c r="AJ54" i="18"/>
  <c r="AL54" i="18" s="1"/>
  <c r="AB54" i="18"/>
  <c r="AA54" i="18"/>
  <c r="Z54" i="18"/>
  <c r="Y54" i="18"/>
  <c r="X54" i="18"/>
  <c r="W54" i="18"/>
  <c r="V54" i="18"/>
  <c r="U54" i="18"/>
  <c r="T54" i="18"/>
  <c r="S54" i="18"/>
  <c r="R54" i="18"/>
  <c r="Q54" i="18"/>
  <c r="O54" i="18"/>
  <c r="AK53" i="18"/>
  <c r="AC53" i="18"/>
  <c r="B53" i="18"/>
  <c r="AM52" i="18"/>
  <c r="AK52" i="18"/>
  <c r="AI52" i="18"/>
  <c r="AC52" i="18"/>
  <c r="AD52" i="18" s="1"/>
  <c r="B52" i="18"/>
  <c r="AC119" i="18"/>
  <c r="AD119" i="18" s="1"/>
  <c r="AK119" i="18"/>
  <c r="AJ50" i="18"/>
  <c r="AL50" i="18" s="1"/>
  <c r="AB50" i="18"/>
  <c r="AA50" i="18"/>
  <c r="Z50" i="18"/>
  <c r="Y50" i="18"/>
  <c r="X50" i="18"/>
  <c r="W50" i="18"/>
  <c r="V50" i="18"/>
  <c r="U50" i="18"/>
  <c r="T50" i="18"/>
  <c r="S50" i="18"/>
  <c r="R50" i="18"/>
  <c r="Q50" i="18"/>
  <c r="O50" i="18"/>
  <c r="AK49" i="18"/>
  <c r="AC49" i="18"/>
  <c r="AD49" i="18" s="1"/>
  <c r="B49" i="18"/>
  <c r="AM48" i="18"/>
  <c r="AK48" i="18"/>
  <c r="AI48" i="18"/>
  <c r="AC48" i="18"/>
  <c r="AD48" i="18" s="1"/>
  <c r="B48" i="18"/>
  <c r="B61" i="18"/>
  <c r="AC61" i="18"/>
  <c r="AD61" i="18" s="1"/>
  <c r="AI61" i="18"/>
  <c r="AJ61" i="18"/>
  <c r="AM61" i="18" s="1"/>
  <c r="K62" i="18"/>
  <c r="B62" i="18"/>
  <c r="V62" i="18"/>
  <c r="Y62" i="18"/>
  <c r="AI62" i="18"/>
  <c r="AI37" i="18"/>
  <c r="AJ46" i="18"/>
  <c r="AL46" i="18" s="1"/>
  <c r="AB46" i="18"/>
  <c r="AA46" i="18"/>
  <c r="Z46" i="18"/>
  <c r="Y46" i="18"/>
  <c r="X46" i="18"/>
  <c r="W46" i="18"/>
  <c r="V46" i="18"/>
  <c r="U46" i="18"/>
  <c r="T46" i="18"/>
  <c r="S46" i="18"/>
  <c r="R46" i="18"/>
  <c r="Q46" i="18"/>
  <c r="O46" i="18"/>
  <c r="AK45" i="18"/>
  <c r="AC45" i="18"/>
  <c r="AD45" i="18" s="1"/>
  <c r="B45" i="18"/>
  <c r="AM44" i="18"/>
  <c r="AK44" i="18"/>
  <c r="AK46" i="18" s="1"/>
  <c r="AI44" i="18"/>
  <c r="AC44" i="18"/>
  <c r="AD44" i="18" s="1"/>
  <c r="B44" i="18"/>
  <c r="AJ42" i="18"/>
  <c r="AL42" i="18" s="1"/>
  <c r="AB42" i="18"/>
  <c r="AA42" i="18"/>
  <c r="Z42" i="18"/>
  <c r="Y42" i="18"/>
  <c r="X42" i="18"/>
  <c r="W42" i="18"/>
  <c r="V42" i="18"/>
  <c r="U42" i="18"/>
  <c r="T42" i="18"/>
  <c r="S42" i="18"/>
  <c r="R42" i="18"/>
  <c r="Q42" i="18"/>
  <c r="O42" i="18"/>
  <c r="E507" i="18" s="1"/>
  <c r="AK41" i="18"/>
  <c r="AC41" i="18"/>
  <c r="B41" i="18"/>
  <c r="AM40" i="18"/>
  <c r="AK40" i="18"/>
  <c r="AK42" i="18" s="1"/>
  <c r="AI40" i="18"/>
  <c r="AC40" i="18"/>
  <c r="AD40" i="18" s="1"/>
  <c r="B40" i="18"/>
  <c r="B28" i="18"/>
  <c r="B29" i="18"/>
  <c r="B30" i="18"/>
  <c r="B31" i="18"/>
  <c r="B32" i="18"/>
  <c r="B33" i="18"/>
  <c r="B36" i="18"/>
  <c r="AI36" i="18"/>
  <c r="AJ38" i="18"/>
  <c r="AL38" i="18" s="1"/>
  <c r="AB38" i="18"/>
  <c r="AA38" i="18"/>
  <c r="Z38" i="18"/>
  <c r="Y38" i="18"/>
  <c r="X38" i="18"/>
  <c r="W38" i="18"/>
  <c r="V38" i="18"/>
  <c r="U38" i="18"/>
  <c r="T38" i="18"/>
  <c r="S38" i="18"/>
  <c r="R38" i="18"/>
  <c r="Q38" i="18"/>
  <c r="O38" i="18"/>
  <c r="AK37" i="18"/>
  <c r="AC37" i="18"/>
  <c r="AD37" i="18" s="1"/>
  <c r="B37" i="18"/>
  <c r="AM36" i="18"/>
  <c r="AK36" i="18"/>
  <c r="AC36" i="18"/>
  <c r="AD36" i="18" s="1"/>
  <c r="AM62" i="18"/>
  <c r="AK62" i="18"/>
  <c r="AJ87" i="18"/>
  <c r="AM87" i="18" s="1"/>
  <c r="AJ84" i="18"/>
  <c r="AK84" i="18" s="1"/>
  <c r="AK85" i="18" s="1"/>
  <c r="AJ78" i="18"/>
  <c r="AJ72" i="18"/>
  <c r="AK72" i="18" s="1"/>
  <c r="AK73" i="18" s="1"/>
  <c r="AJ66" i="18"/>
  <c r="AM66" i="18" s="1"/>
  <c r="AJ65" i="18"/>
  <c r="AK65" i="18" s="1"/>
  <c r="AJ64" i="18"/>
  <c r="AJ350" i="18"/>
  <c r="AJ351" i="18" s="1"/>
  <c r="AL351" i="18" s="1"/>
  <c r="AJ305" i="18"/>
  <c r="AJ300" i="18"/>
  <c r="AJ247" i="18"/>
  <c r="AM247" i="18" s="1"/>
  <c r="AJ243" i="18"/>
  <c r="AJ228" i="18"/>
  <c r="AJ230" i="18"/>
  <c r="AJ235" i="18"/>
  <c r="AM235" i="18" s="1"/>
  <c r="AJ236" i="18"/>
  <c r="AJ204" i="18"/>
  <c r="AM204" i="18" s="1"/>
  <c r="AJ205" i="18"/>
  <c r="AM205" i="18" s="1"/>
  <c r="AJ185" i="18"/>
  <c r="AJ203" i="18"/>
  <c r="AJ199" i="18"/>
  <c r="AM199" i="18" s="1"/>
  <c r="AM175" i="18"/>
  <c r="AJ184" i="18"/>
  <c r="AJ180" i="18"/>
  <c r="AM180" i="18" s="1"/>
  <c r="AJ179" i="18"/>
  <c r="AM179" i="18" s="1"/>
  <c r="AJ307" i="18"/>
  <c r="AJ412" i="18"/>
  <c r="B213" i="17"/>
  <c r="B214" i="17"/>
  <c r="B215" i="17"/>
  <c r="B216" i="17"/>
  <c r="B107" i="17"/>
  <c r="AM107" i="17"/>
  <c r="AK107" i="17"/>
  <c r="AI107" i="17"/>
  <c r="AJ124" i="17"/>
  <c r="AK124" i="17" s="1"/>
  <c r="AJ118" i="17"/>
  <c r="AM214" i="17"/>
  <c r="AJ113" i="17"/>
  <c r="K273" i="18"/>
  <c r="AM283" i="17"/>
  <c r="AJ105" i="22"/>
  <c r="G511" i="18"/>
  <c r="B31" i="22"/>
  <c r="AM31" i="22"/>
  <c r="AK31" i="22"/>
  <c r="AI31" i="22"/>
  <c r="B35" i="22"/>
  <c r="AM35" i="22"/>
  <c r="AK35" i="22"/>
  <c r="AI35" i="22"/>
  <c r="B37" i="22"/>
  <c r="AM37" i="22"/>
  <c r="AK37" i="22"/>
  <c r="AI37" i="22"/>
  <c r="B19" i="22"/>
  <c r="AI19" i="22"/>
  <c r="AM19" i="22"/>
  <c r="AM20" i="22"/>
  <c r="AK19" i="22"/>
  <c r="AJ29" i="22"/>
  <c r="B111" i="22"/>
  <c r="AM111" i="22"/>
  <c r="AM112" i="22"/>
  <c r="AI111" i="22"/>
  <c r="B105" i="22"/>
  <c r="B106" i="22"/>
  <c r="AM105" i="22"/>
  <c r="AK105" i="22"/>
  <c r="AI105" i="22"/>
  <c r="AJ121" i="22"/>
  <c r="AJ124" i="18"/>
  <c r="AJ422" i="18"/>
  <c r="AJ450" i="18"/>
  <c r="AJ454" i="18"/>
  <c r="AM454" i="18" s="1"/>
  <c r="AM379" i="18"/>
  <c r="AM380" i="18"/>
  <c r="AM429" i="18"/>
  <c r="AI429" i="18"/>
  <c r="AI379" i="18"/>
  <c r="AM122" i="17"/>
  <c r="AM123" i="17"/>
  <c r="AM124" i="17"/>
  <c r="O116" i="17"/>
  <c r="M29" i="22"/>
  <c r="M47" i="17"/>
  <c r="M47" i="1"/>
  <c r="AK214" i="17"/>
  <c r="AI214" i="17"/>
  <c r="B261" i="17"/>
  <c r="B262" i="17"/>
  <c r="AK261" i="17"/>
  <c r="AI261" i="17"/>
  <c r="B283" i="17"/>
  <c r="AK283" i="17"/>
  <c r="AI283" i="17"/>
  <c r="AJ76" i="17"/>
  <c r="M121" i="17"/>
  <c r="AJ121" i="17"/>
  <c r="M106" i="17"/>
  <c r="AM106" i="17" s="1"/>
  <c r="AJ106" i="17"/>
  <c r="M281" i="17"/>
  <c r="AJ281" i="17"/>
  <c r="M112" i="17"/>
  <c r="AM112" i="17" s="1"/>
  <c r="AJ112" i="17"/>
  <c r="M108" i="17"/>
  <c r="AJ108" i="17"/>
  <c r="M119" i="17"/>
  <c r="AM119" i="17" s="1"/>
  <c r="AJ119" i="17"/>
  <c r="M30" i="19"/>
  <c r="B30" i="19" s="1"/>
  <c r="M116" i="17"/>
  <c r="O98" i="18"/>
  <c r="D55" i="23" s="1"/>
  <c r="O115" i="18"/>
  <c r="D57" i="23" s="1"/>
  <c r="O132" i="18"/>
  <c r="D60" i="23" s="1"/>
  <c r="O141" i="18"/>
  <c r="E508" i="18" s="1"/>
  <c r="O146" i="18"/>
  <c r="O153" i="18"/>
  <c r="D62" i="23" s="1"/>
  <c r="O275" i="18"/>
  <c r="D73" i="23" s="1"/>
  <c r="O339" i="18"/>
  <c r="D67" i="23" s="1"/>
  <c r="O348" i="18"/>
  <c r="D68" i="23" s="1"/>
  <c r="Y32" i="17"/>
  <c r="AM94" i="22"/>
  <c r="AM93" i="22"/>
  <c r="AM92" i="22"/>
  <c r="AM90" i="22"/>
  <c r="Y255" i="17"/>
  <c r="K266" i="18"/>
  <c r="K263" i="18"/>
  <c r="O34" i="19"/>
  <c r="O39" i="19"/>
  <c r="E258" i="19" s="1"/>
  <c r="O44" i="19"/>
  <c r="E260" i="19" s="1"/>
  <c r="O74" i="19"/>
  <c r="E257" i="19" s="1"/>
  <c r="O87" i="19"/>
  <c r="D29" i="23" s="1"/>
  <c r="B173" i="18"/>
  <c r="B422" i="18"/>
  <c r="B185" i="18"/>
  <c r="B204" i="18"/>
  <c r="AM203" i="18"/>
  <c r="B203" i="18"/>
  <c r="B42" i="23"/>
  <c r="M27" i="17"/>
  <c r="K271" i="17"/>
  <c r="M271" i="17"/>
  <c r="Y26" i="17"/>
  <c r="Y129" i="17" s="1"/>
  <c r="AM272" i="17"/>
  <c r="AM28" i="17"/>
  <c r="B243" i="18"/>
  <c r="B235" i="18"/>
  <c r="M72" i="22"/>
  <c r="M69" i="22"/>
  <c r="M67" i="22"/>
  <c r="B67" i="22" s="1"/>
  <c r="M56" i="22"/>
  <c r="M24" i="22"/>
  <c r="B24" i="22" s="1"/>
  <c r="M42" i="22"/>
  <c r="K84" i="22"/>
  <c r="M84" i="22"/>
  <c r="AM84" i="22" s="1"/>
  <c r="K83" i="22"/>
  <c r="AJ42" i="22"/>
  <c r="AJ56" i="22"/>
  <c r="AJ67" i="22"/>
  <c r="AJ24" i="22"/>
  <c r="AM24" i="22" s="1"/>
  <c r="AJ84" i="22"/>
  <c r="AJ83" i="22"/>
  <c r="AK83" i="22" s="1"/>
  <c r="AJ69" i="22"/>
  <c r="AM69" i="22" s="1"/>
  <c r="AJ72" i="22"/>
  <c r="AM72" i="22" s="1"/>
  <c r="AJ27" i="19"/>
  <c r="AK27" i="19" s="1"/>
  <c r="AJ85" i="19"/>
  <c r="O469" i="18"/>
  <c r="O135" i="18"/>
  <c r="O42" i="22"/>
  <c r="AD42" i="22" s="1"/>
  <c r="O67" i="22"/>
  <c r="AD67" i="22" s="1"/>
  <c r="O56" i="22"/>
  <c r="AD56" i="22" s="1"/>
  <c r="O24" i="22"/>
  <c r="AD24" i="22" s="1"/>
  <c r="O69" i="22"/>
  <c r="AD69" i="22" s="1"/>
  <c r="O72" i="22"/>
  <c r="O67" i="18"/>
  <c r="Y212" i="18"/>
  <c r="Y106" i="22"/>
  <c r="AC106" i="22" s="1"/>
  <c r="AD106" i="22" s="1"/>
  <c r="Y134" i="17"/>
  <c r="Y214" i="19"/>
  <c r="Y139" i="19"/>
  <c r="Y66" i="19"/>
  <c r="Q132" i="22"/>
  <c r="AC90" i="22"/>
  <c r="AI91" i="22"/>
  <c r="AI92" i="22"/>
  <c r="AI93" i="22"/>
  <c r="AI94" i="22"/>
  <c r="AI90" i="22"/>
  <c r="AK94" i="22"/>
  <c r="AK93" i="22"/>
  <c r="AK92" i="22"/>
  <c r="AK90" i="22"/>
  <c r="R95" i="22"/>
  <c r="S95" i="22"/>
  <c r="T95" i="22"/>
  <c r="U95" i="22"/>
  <c r="V95" i="22"/>
  <c r="W95" i="22"/>
  <c r="X95" i="22"/>
  <c r="Y95" i="22"/>
  <c r="Z95" i="22"/>
  <c r="AA95" i="22"/>
  <c r="AB95" i="22"/>
  <c r="Q95" i="22"/>
  <c r="O95" i="22"/>
  <c r="K95" i="22"/>
  <c r="B14" i="22"/>
  <c r="B15" i="22" s="1"/>
  <c r="B91" i="22"/>
  <c r="B92" i="22"/>
  <c r="B93" i="22"/>
  <c r="B94" i="22"/>
  <c r="O89" i="17"/>
  <c r="M89" i="17"/>
  <c r="M164" i="17"/>
  <c r="B149" i="17"/>
  <c r="AJ76" i="19"/>
  <c r="AJ87" i="19" s="1"/>
  <c r="AJ141" i="17"/>
  <c r="AM149" i="17"/>
  <c r="AK149" i="17"/>
  <c r="AI149" i="17"/>
  <c r="AJ271" i="17"/>
  <c r="B134" i="18"/>
  <c r="B135" i="18" s="1"/>
  <c r="AK199" i="19"/>
  <c r="AJ196" i="19"/>
  <c r="AM196" i="19" s="1"/>
  <c r="AJ209" i="19"/>
  <c r="AM209" i="19" s="1"/>
  <c r="AJ124" i="19"/>
  <c r="AJ214" i="19"/>
  <c r="AM214" i="19" s="1"/>
  <c r="AM210" i="19"/>
  <c r="AM211" i="19"/>
  <c r="AM222" i="19"/>
  <c r="B221" i="19"/>
  <c r="B222" i="19"/>
  <c r="B223" i="19"/>
  <c r="AI221" i="19"/>
  <c r="AI222" i="19"/>
  <c r="AI223" i="19"/>
  <c r="AK222" i="19"/>
  <c r="AK223" i="19"/>
  <c r="AC221" i="19"/>
  <c r="AD221" i="19" s="1"/>
  <c r="AC222" i="19"/>
  <c r="AD222" i="19" s="1"/>
  <c r="AC223" i="19"/>
  <c r="AD223" i="19" s="1"/>
  <c r="AI20" i="19"/>
  <c r="AC20" i="19"/>
  <c r="AD20" i="19" s="1"/>
  <c r="AC21" i="19"/>
  <c r="AD21" i="19" s="1"/>
  <c r="B20" i="19"/>
  <c r="AK22" i="19"/>
  <c r="AJ19" i="19"/>
  <c r="AK19" i="19" s="1"/>
  <c r="AM59" i="19"/>
  <c r="AM60" i="19"/>
  <c r="AM63" i="19"/>
  <c r="AM64" i="19"/>
  <c r="AJ54" i="19"/>
  <c r="AM26" i="19"/>
  <c r="AN27" i="19" s="1"/>
  <c r="AM29" i="19"/>
  <c r="AC24" i="19"/>
  <c r="AD24" i="19" s="1"/>
  <c r="AI24" i="19"/>
  <c r="AI31" i="19"/>
  <c r="B32" i="19"/>
  <c r="AC31" i="19"/>
  <c r="AD31" i="19" s="1"/>
  <c r="AJ30" i="19"/>
  <c r="AM30" i="19" s="1"/>
  <c r="AM371" i="18"/>
  <c r="AM381" i="18"/>
  <c r="AM383" i="18"/>
  <c r="AM399" i="18"/>
  <c r="AM408" i="18"/>
  <c r="AM414" i="18"/>
  <c r="AM416" i="18"/>
  <c r="AM419" i="18"/>
  <c r="AM425" i="18"/>
  <c r="AM427" i="18"/>
  <c r="AM444" i="18"/>
  <c r="AM446" i="18"/>
  <c r="AM459" i="18"/>
  <c r="AI371" i="18"/>
  <c r="AI381" i="18"/>
  <c r="AI383" i="18"/>
  <c r="AI390" i="18"/>
  <c r="AI393" i="18"/>
  <c r="AI396" i="18"/>
  <c r="AI399" i="18"/>
  <c r="AI408" i="18"/>
  <c r="AI414" i="18"/>
  <c r="AI416" i="18"/>
  <c r="AI419" i="18"/>
  <c r="AI425" i="18"/>
  <c r="AI427" i="18"/>
  <c r="AI444" i="18"/>
  <c r="AI446" i="18"/>
  <c r="AI459" i="18"/>
  <c r="AM265" i="18"/>
  <c r="B101" i="18"/>
  <c r="AM455" i="18"/>
  <c r="AJ148" i="17"/>
  <c r="AJ27" i="17"/>
  <c r="B124" i="17"/>
  <c r="B128" i="17"/>
  <c r="AI124" i="17"/>
  <c r="AJ110" i="17"/>
  <c r="AJ109" i="17"/>
  <c r="AK109" i="17" s="1"/>
  <c r="B122" i="17"/>
  <c r="B123" i="17"/>
  <c r="AK122" i="17"/>
  <c r="AK123" i="17"/>
  <c r="AI122" i="17"/>
  <c r="AI123" i="17"/>
  <c r="AI128" i="17"/>
  <c r="AJ164" i="17"/>
  <c r="AM164" i="17" s="1"/>
  <c r="AJ89" i="17"/>
  <c r="AJ114" i="17"/>
  <c r="AM114" i="17" s="1"/>
  <c r="AJ111" i="17"/>
  <c r="AM111" i="17" s="1"/>
  <c r="AJ152" i="17"/>
  <c r="AJ196" i="17"/>
  <c r="AK272" i="17"/>
  <c r="AI272" i="17"/>
  <c r="B272" i="17"/>
  <c r="B28" i="17"/>
  <c r="B30" i="17"/>
  <c r="AK28" i="17"/>
  <c r="AI28" i="17"/>
  <c r="AI101" i="18"/>
  <c r="AK101" i="18"/>
  <c r="AC101" i="18"/>
  <c r="AC102" i="18"/>
  <c r="AJ20" i="18"/>
  <c r="AM20" i="18" s="1"/>
  <c r="B210" i="19"/>
  <c r="AK210" i="19"/>
  <c r="AI210" i="19"/>
  <c r="AC210" i="19"/>
  <c r="AD210" i="19" s="1"/>
  <c r="AJ142" i="19"/>
  <c r="AK142" i="19" s="1"/>
  <c r="AC212" i="19"/>
  <c r="AD212" i="19" s="1"/>
  <c r="AC213" i="19"/>
  <c r="AD213" i="19" s="1"/>
  <c r="AC215" i="19"/>
  <c r="AD215" i="19" s="1"/>
  <c r="AC217" i="19"/>
  <c r="AD217" i="19" s="1"/>
  <c r="AC218" i="19"/>
  <c r="AD218" i="19" s="1"/>
  <c r="AC219" i="19"/>
  <c r="AD219" i="19" s="1"/>
  <c r="AI212" i="19"/>
  <c r="M253" i="17"/>
  <c r="B253" i="17" s="1"/>
  <c r="B46" i="1"/>
  <c r="B48" i="1" s="1"/>
  <c r="B47" i="1"/>
  <c r="B45" i="1"/>
  <c r="B40" i="1"/>
  <c r="B41" i="1"/>
  <c r="B43" i="1" s="1"/>
  <c r="B42" i="1"/>
  <c r="B39" i="1"/>
  <c r="M37" i="1"/>
  <c r="C6" i="23" s="1"/>
  <c r="B19" i="1"/>
  <c r="B20" i="1"/>
  <c r="B21" i="1"/>
  <c r="B22" i="1"/>
  <c r="B23" i="1"/>
  <c r="B24" i="1"/>
  <c r="B25" i="1"/>
  <c r="B26" i="1"/>
  <c r="B27" i="1"/>
  <c r="B28" i="1"/>
  <c r="B29" i="1"/>
  <c r="B30" i="1"/>
  <c r="B31" i="1"/>
  <c r="B32" i="1"/>
  <c r="B33" i="1"/>
  <c r="B34" i="1"/>
  <c r="B35" i="1"/>
  <c r="B36" i="1"/>
  <c r="B18" i="1"/>
  <c r="M96" i="19"/>
  <c r="M116" i="19" s="1"/>
  <c r="C26" i="23" s="1"/>
  <c r="AI263" i="18"/>
  <c r="AI264" i="18"/>
  <c r="AI265" i="18"/>
  <c r="AI266" i="18"/>
  <c r="AI455" i="18"/>
  <c r="AI457" i="18"/>
  <c r="AI458" i="18"/>
  <c r="O281" i="17"/>
  <c r="O76" i="17"/>
  <c r="AK76" i="17" s="1"/>
  <c r="M76" i="17"/>
  <c r="X214" i="19"/>
  <c r="AC109" i="18"/>
  <c r="AD109" i="18" s="1"/>
  <c r="AC111" i="18"/>
  <c r="AD111" i="18" s="1"/>
  <c r="AC112" i="18"/>
  <c r="AD112" i="18" s="1"/>
  <c r="AC113" i="18"/>
  <c r="AD113" i="18" s="1"/>
  <c r="AC114" i="18"/>
  <c r="AD114" i="18" s="1"/>
  <c r="AC64" i="18"/>
  <c r="AD64" i="18" s="1"/>
  <c r="AC65" i="18"/>
  <c r="AD65" i="18" s="1"/>
  <c r="AC66" i="18"/>
  <c r="AD66" i="18" s="1"/>
  <c r="X28" i="19"/>
  <c r="X34" i="19" s="1"/>
  <c r="AI59" i="19"/>
  <c r="AI60" i="19"/>
  <c r="AI61" i="19"/>
  <c r="AI62" i="19"/>
  <c r="AI63" i="19"/>
  <c r="AK59" i="19"/>
  <c r="AK60" i="19"/>
  <c r="AK61" i="19"/>
  <c r="AK63" i="19"/>
  <c r="AK64" i="19"/>
  <c r="AC59" i="19"/>
  <c r="AD59" i="19" s="1"/>
  <c r="AC60" i="19"/>
  <c r="AD60" i="19" s="1"/>
  <c r="AC61" i="19"/>
  <c r="AD61" i="19" s="1"/>
  <c r="AC62" i="19"/>
  <c r="AD62" i="19" s="1"/>
  <c r="AC63" i="19"/>
  <c r="AD63" i="19" s="1"/>
  <c r="AC64" i="19"/>
  <c r="AD64" i="19" s="1"/>
  <c r="B59" i="19"/>
  <c r="B60" i="19"/>
  <c r="B62" i="19"/>
  <c r="B64" i="19"/>
  <c r="AJ51" i="19"/>
  <c r="M43" i="22"/>
  <c r="B43" i="22" s="1"/>
  <c r="O43" i="22"/>
  <c r="AM130" i="22"/>
  <c r="AM129" i="22"/>
  <c r="AM127" i="22"/>
  <c r="AM126" i="22"/>
  <c r="AM122" i="22"/>
  <c r="AM121" i="22"/>
  <c r="AM113" i="22"/>
  <c r="AM110" i="22"/>
  <c r="AM108" i="22"/>
  <c r="AM107" i="22"/>
  <c r="AM104" i="22"/>
  <c r="AM103" i="22"/>
  <c r="AM22" i="22"/>
  <c r="AM23" i="22"/>
  <c r="AM28" i="22"/>
  <c r="AM29" i="22"/>
  <c r="AM30" i="22"/>
  <c r="AM32" i="22"/>
  <c r="AM33" i="22"/>
  <c r="AM34" i="22"/>
  <c r="AM36" i="22"/>
  <c r="AM40" i="22"/>
  <c r="AM41" i="22"/>
  <c r="AM42" i="22"/>
  <c r="AM44" i="22"/>
  <c r="AM45" i="22"/>
  <c r="AM50" i="22"/>
  <c r="AM53" i="22"/>
  <c r="AM54" i="22"/>
  <c r="AM55" i="22"/>
  <c r="AM57" i="22"/>
  <c r="AM58" i="22"/>
  <c r="AM59" i="22"/>
  <c r="AM60" i="22"/>
  <c r="AM62" i="22"/>
  <c r="AM63" i="22"/>
  <c r="AM64" i="22"/>
  <c r="AM65" i="22"/>
  <c r="AM66" i="22"/>
  <c r="AM68" i="22"/>
  <c r="AM75" i="22"/>
  <c r="AM76" i="22"/>
  <c r="AM79" i="22"/>
  <c r="AM80" i="22"/>
  <c r="AM81" i="22"/>
  <c r="AM238" i="19"/>
  <c r="AM237" i="19"/>
  <c r="AM236" i="19"/>
  <c r="AM235" i="19"/>
  <c r="AM233" i="19"/>
  <c r="AM229" i="19"/>
  <c r="AM219" i="19"/>
  <c r="AM218" i="19"/>
  <c r="AM215" i="19"/>
  <c r="AM213" i="19"/>
  <c r="AM207" i="19"/>
  <c r="AM206" i="19"/>
  <c r="AM203" i="19"/>
  <c r="AM199" i="19"/>
  <c r="AM197" i="19"/>
  <c r="AM195" i="19"/>
  <c r="AM193" i="19"/>
  <c r="AM190" i="19"/>
  <c r="AM188" i="19"/>
  <c r="AM186" i="19"/>
  <c r="AM184" i="19"/>
  <c r="AM182" i="19"/>
  <c r="AM180" i="19"/>
  <c r="AM178" i="19"/>
  <c r="AM176" i="19"/>
  <c r="AM171" i="19"/>
  <c r="AM168" i="19"/>
  <c r="AM165" i="19"/>
  <c r="AM163" i="19"/>
  <c r="AM162" i="19"/>
  <c r="AM160" i="19"/>
  <c r="AM154" i="19"/>
  <c r="AM148" i="19"/>
  <c r="AM146" i="19"/>
  <c r="AM141" i="19"/>
  <c r="AM139" i="19"/>
  <c r="AM135" i="19"/>
  <c r="AM133" i="19"/>
  <c r="AM131" i="19"/>
  <c r="AM129" i="19"/>
  <c r="AM125" i="19"/>
  <c r="AM119" i="19"/>
  <c r="AM115" i="19"/>
  <c r="AM114" i="19"/>
  <c r="AM113" i="19"/>
  <c r="AM110" i="19"/>
  <c r="AM108" i="19"/>
  <c r="AM107" i="19"/>
  <c r="AM105" i="19"/>
  <c r="AM103" i="19"/>
  <c r="AM101" i="19"/>
  <c r="AM99" i="19"/>
  <c r="AM98" i="19"/>
  <c r="AM94" i="19"/>
  <c r="AM93" i="19"/>
  <c r="AM91" i="19"/>
  <c r="AM89" i="19"/>
  <c r="AM85" i="19"/>
  <c r="AM83" i="19"/>
  <c r="AM81" i="19"/>
  <c r="AM79" i="19"/>
  <c r="AM77" i="19"/>
  <c r="AM73" i="19"/>
  <c r="AM71" i="19"/>
  <c r="AM65" i="19"/>
  <c r="AM58" i="19"/>
  <c r="AM56" i="19"/>
  <c r="AM53" i="19"/>
  <c r="AM51" i="19"/>
  <c r="AM48" i="19"/>
  <c r="AM47" i="19"/>
  <c r="AM43" i="19"/>
  <c r="AM38" i="19"/>
  <c r="AM37" i="19"/>
  <c r="AM22" i="19"/>
  <c r="AM47" i="1"/>
  <c r="AM46" i="1"/>
  <c r="AM45" i="1"/>
  <c r="AM41" i="1"/>
  <c r="AM40" i="1"/>
  <c r="AM39" i="1"/>
  <c r="AM19" i="1"/>
  <c r="AM20" i="1"/>
  <c r="AM21" i="1"/>
  <c r="AM22" i="1"/>
  <c r="AM23" i="1"/>
  <c r="AM24" i="1"/>
  <c r="AM25" i="1"/>
  <c r="AM26" i="1"/>
  <c r="AM27" i="1"/>
  <c r="AM28" i="1"/>
  <c r="AM29" i="1"/>
  <c r="AM30" i="1"/>
  <c r="AM31" i="1"/>
  <c r="AM32" i="1"/>
  <c r="AM33" i="1"/>
  <c r="AM34" i="1"/>
  <c r="AM35" i="1"/>
  <c r="AM36" i="1"/>
  <c r="AM18" i="1"/>
  <c r="AM282" i="17"/>
  <c r="AM281" i="17"/>
  <c r="AM280" i="17"/>
  <c r="AM279" i="17"/>
  <c r="AM278" i="17"/>
  <c r="AM277" i="17"/>
  <c r="AM275" i="17"/>
  <c r="AM274" i="17"/>
  <c r="AM271" i="17"/>
  <c r="AM270" i="17"/>
  <c r="AM267" i="17"/>
  <c r="AM265" i="17"/>
  <c r="AM257" i="17"/>
  <c r="AM254" i="17"/>
  <c r="AM252" i="17"/>
  <c r="AM251" i="17"/>
  <c r="AM250" i="17"/>
  <c r="AM249" i="17"/>
  <c r="AM246" i="17"/>
  <c r="AM244" i="17"/>
  <c r="AM243" i="17"/>
  <c r="AM239" i="17"/>
  <c r="AM238" i="17"/>
  <c r="AM235" i="17"/>
  <c r="AM234" i="17"/>
  <c r="AM233" i="17"/>
  <c r="AM232" i="17"/>
  <c r="AM231" i="17"/>
  <c r="AM230" i="17"/>
  <c r="AM229" i="17"/>
  <c r="AM227" i="17"/>
  <c r="AM225" i="17"/>
  <c r="AM224" i="17"/>
  <c r="AM223" i="17"/>
  <c r="AM222" i="17"/>
  <c r="AM221" i="17"/>
  <c r="AM218" i="17"/>
  <c r="AM216" i="17"/>
  <c r="AM215" i="17"/>
  <c r="AM213" i="17"/>
  <c r="AM211" i="17"/>
  <c r="AM209" i="17"/>
  <c r="AM204" i="17"/>
  <c r="AM203" i="17"/>
  <c r="AM202" i="17"/>
  <c r="AM201" i="17"/>
  <c r="AM200" i="17"/>
  <c r="AM199" i="17"/>
  <c r="AM198" i="17"/>
  <c r="AM197" i="17"/>
  <c r="AM162" i="17"/>
  <c r="AM161" i="17"/>
  <c r="AM160" i="17"/>
  <c r="AM159" i="17"/>
  <c r="AM158" i="17"/>
  <c r="AM157" i="17"/>
  <c r="AM156" i="17"/>
  <c r="AM155" i="17"/>
  <c r="AM154" i="17"/>
  <c r="AM153" i="17"/>
  <c r="AM151" i="17"/>
  <c r="AM150" i="17"/>
  <c r="AM148" i="17"/>
  <c r="AM146" i="17"/>
  <c r="AM143" i="17"/>
  <c r="AM142" i="17"/>
  <c r="AM137" i="17"/>
  <c r="AM136" i="17"/>
  <c r="AM24" i="17"/>
  <c r="AM25" i="17"/>
  <c r="AM27" i="17"/>
  <c r="AM30" i="17"/>
  <c r="AM32" i="17"/>
  <c r="AM34" i="17"/>
  <c r="AM38" i="17"/>
  <c r="AM39" i="17"/>
  <c r="AM43" i="17"/>
  <c r="AM44" i="17"/>
  <c r="AM45" i="17"/>
  <c r="AM46" i="17"/>
  <c r="AM51" i="17"/>
  <c r="AM61" i="17"/>
  <c r="AM63" i="17"/>
  <c r="AM70" i="17"/>
  <c r="AM71" i="17"/>
  <c r="AM73" i="17"/>
  <c r="AM74" i="17"/>
  <c r="AM75" i="17"/>
  <c r="AM79" i="17"/>
  <c r="AM86" i="17"/>
  <c r="AM103" i="17"/>
  <c r="AM104" i="17"/>
  <c r="AM108" i="17"/>
  <c r="AM110" i="17"/>
  <c r="AM113" i="17"/>
  <c r="AM115" i="17"/>
  <c r="AM116" i="17"/>
  <c r="AM118" i="17"/>
  <c r="AM120" i="17"/>
  <c r="AM121" i="17"/>
  <c r="AM19" i="17"/>
  <c r="AM468" i="18"/>
  <c r="AM465" i="18"/>
  <c r="AM463" i="18"/>
  <c r="AM445" i="18"/>
  <c r="AM443" i="18"/>
  <c r="AM440" i="18"/>
  <c r="AM435" i="18"/>
  <c r="AM433" i="18"/>
  <c r="AM428" i="18"/>
  <c r="AM426" i="18"/>
  <c r="AM424" i="18"/>
  <c r="AM421" i="18"/>
  <c r="AM420" i="18"/>
  <c r="AM415" i="18"/>
  <c r="AM413" i="18"/>
  <c r="AM412" i="18"/>
  <c r="AM409" i="18"/>
  <c r="AM400" i="18"/>
  <c r="AM398" i="18"/>
  <c r="AM395" i="18"/>
  <c r="AM387" i="18"/>
  <c r="AM384" i="18"/>
  <c r="AM382" i="18"/>
  <c r="AM378" i="18"/>
  <c r="AM372" i="18"/>
  <c r="AM370" i="18"/>
  <c r="AM367" i="18"/>
  <c r="AM364" i="18"/>
  <c r="AM362" i="18"/>
  <c r="AM338" i="18"/>
  <c r="AM337" i="18"/>
  <c r="AM336" i="18"/>
  <c r="AM332" i="18"/>
  <c r="AM331" i="18"/>
  <c r="AM330" i="18"/>
  <c r="AM327" i="18"/>
  <c r="AM318" i="18"/>
  <c r="AM317" i="18"/>
  <c r="AM313" i="18"/>
  <c r="AM311" i="18"/>
  <c r="AM308" i="18"/>
  <c r="AM307" i="18"/>
  <c r="AM303" i="18"/>
  <c r="AM301" i="18"/>
  <c r="AM298" i="18"/>
  <c r="AM296" i="18"/>
  <c r="AM294" i="18"/>
  <c r="AM292" i="18"/>
  <c r="AM290" i="18"/>
  <c r="AM288" i="18"/>
  <c r="AM272" i="18"/>
  <c r="AM262" i="18"/>
  <c r="AM260" i="18"/>
  <c r="AM259" i="18"/>
  <c r="AM258" i="18"/>
  <c r="AM256" i="18"/>
  <c r="AM254" i="18"/>
  <c r="AM252" i="18"/>
  <c r="AM250" i="18"/>
  <c r="AM248" i="18"/>
  <c r="AM245" i="18"/>
  <c r="AM243" i="18"/>
  <c r="AM241" i="18"/>
  <c r="AM238" i="18"/>
  <c r="AM233" i="18"/>
  <c r="AM231" i="18"/>
  <c r="AM228" i="18"/>
  <c r="AM227" i="18"/>
  <c r="AM226" i="18"/>
  <c r="AM225" i="18"/>
  <c r="AM224" i="18"/>
  <c r="AM223" i="18"/>
  <c r="AM222" i="18"/>
  <c r="AM221" i="18"/>
  <c r="AM220" i="18"/>
  <c r="AM218" i="18"/>
  <c r="AM217" i="18"/>
  <c r="AM215" i="18"/>
  <c r="AM187" i="18"/>
  <c r="AM182" i="18"/>
  <c r="AM177" i="18"/>
  <c r="AM168" i="18"/>
  <c r="AM166" i="18"/>
  <c r="AM161" i="18"/>
  <c r="AM159" i="18"/>
  <c r="AM158" i="18"/>
  <c r="AM155" i="18"/>
  <c r="AM152" i="18"/>
  <c r="AM151" i="18"/>
  <c r="AM144" i="18"/>
  <c r="AM143" i="18"/>
  <c r="AM137" i="18"/>
  <c r="AM131" i="18"/>
  <c r="AM130" i="18"/>
  <c r="AM129" i="18"/>
  <c r="AM126" i="18"/>
  <c r="AM125" i="18"/>
  <c r="AM124" i="18"/>
  <c r="AM114" i="18"/>
  <c r="AM113" i="18"/>
  <c r="AM112" i="18"/>
  <c r="AM109" i="18"/>
  <c r="AM104" i="18"/>
  <c r="AM100" i="18"/>
  <c r="AM97" i="18"/>
  <c r="AM96" i="18"/>
  <c r="AM94" i="18"/>
  <c r="AM80" i="18"/>
  <c r="AM78" i="18"/>
  <c r="AM69" i="18"/>
  <c r="AM64" i="18"/>
  <c r="AM63" i="18"/>
  <c r="AM21" i="18"/>
  <c r="AM19" i="18"/>
  <c r="AM128" i="17"/>
  <c r="B121" i="17"/>
  <c r="AK121" i="17"/>
  <c r="AI121" i="17"/>
  <c r="AM76" i="17"/>
  <c r="AK84" i="22"/>
  <c r="AI84" i="22"/>
  <c r="X255" i="17"/>
  <c r="X26" i="17"/>
  <c r="AI29" i="22"/>
  <c r="AI30" i="22"/>
  <c r="AK33" i="22"/>
  <c r="AK34" i="22"/>
  <c r="AI83" i="22"/>
  <c r="AI33" i="22"/>
  <c r="AJ43" i="22"/>
  <c r="X235" i="18"/>
  <c r="X270" i="18" s="1"/>
  <c r="W287" i="17"/>
  <c r="W205" i="17"/>
  <c r="W144" i="17"/>
  <c r="W138" i="17"/>
  <c r="W134" i="17"/>
  <c r="X60" i="17"/>
  <c r="AI42" i="19"/>
  <c r="AI193" i="17"/>
  <c r="AI194" i="17"/>
  <c r="AI195" i="17"/>
  <c r="B193" i="17"/>
  <c r="B194" i="17"/>
  <c r="B195" i="17"/>
  <c r="B196" i="17"/>
  <c r="AK109" i="18"/>
  <c r="AI109" i="18"/>
  <c r="B109" i="18"/>
  <c r="B33" i="22"/>
  <c r="R48" i="1"/>
  <c r="S48" i="1"/>
  <c r="T48" i="1"/>
  <c r="U48" i="1"/>
  <c r="V48" i="1"/>
  <c r="W48" i="1"/>
  <c r="X48" i="1"/>
  <c r="Y48" i="1"/>
  <c r="Z48" i="1"/>
  <c r="AA48" i="1"/>
  <c r="AA50" i="1" s="1"/>
  <c r="AB48" i="1"/>
  <c r="Q48" i="1"/>
  <c r="O48" i="1"/>
  <c r="M48" i="1"/>
  <c r="C8" i="23" s="1"/>
  <c r="AM467" i="18"/>
  <c r="K57" i="19"/>
  <c r="AI86" i="17"/>
  <c r="AI34" i="22"/>
  <c r="X203" i="18"/>
  <c r="X469" i="18"/>
  <c r="X124" i="19"/>
  <c r="X76" i="19"/>
  <c r="X77" i="19"/>
  <c r="X87" i="19" s="1"/>
  <c r="AK160" i="17"/>
  <c r="AI160" i="17"/>
  <c r="AI161" i="17"/>
  <c r="AI162" i="17"/>
  <c r="B161" i="17"/>
  <c r="B162" i="17"/>
  <c r="AK157" i="17"/>
  <c r="AI158" i="17"/>
  <c r="AI159" i="17"/>
  <c r="B158" i="17"/>
  <c r="B159" i="17"/>
  <c r="B164" i="17"/>
  <c r="B167" i="17"/>
  <c r="B166" i="17"/>
  <c r="B165" i="17"/>
  <c r="B187" i="17"/>
  <c r="B188" i="17"/>
  <c r="B189" i="17"/>
  <c r="B190" i="17"/>
  <c r="AI187" i="17"/>
  <c r="M57" i="19"/>
  <c r="B57" i="19" s="1"/>
  <c r="O39" i="22"/>
  <c r="AD39" i="22" s="1"/>
  <c r="M39" i="22"/>
  <c r="B39" i="22" s="1"/>
  <c r="AI81" i="22"/>
  <c r="AI82" i="22"/>
  <c r="AI87" i="22"/>
  <c r="AJ39" i="22"/>
  <c r="AM39" i="22" s="1"/>
  <c r="AC103" i="18"/>
  <c r="AD103" i="18" s="1"/>
  <c r="AC104" i="18"/>
  <c r="AD104" i="18" s="1"/>
  <c r="AC105" i="18"/>
  <c r="AD105" i="18" s="1"/>
  <c r="AM319" i="18"/>
  <c r="AM242" i="18"/>
  <c r="AK143" i="18"/>
  <c r="AK137" i="18"/>
  <c r="Y348" i="18"/>
  <c r="AA348" i="18"/>
  <c r="O284" i="18"/>
  <c r="O333" i="18"/>
  <c r="O279" i="18"/>
  <c r="O127" i="18"/>
  <c r="D59" i="23" s="1"/>
  <c r="O124" i="22"/>
  <c r="D40" i="23" s="1"/>
  <c r="W132" i="22"/>
  <c r="W88" i="22"/>
  <c r="U124" i="22"/>
  <c r="V124" i="22"/>
  <c r="W124" i="22"/>
  <c r="O239" i="19"/>
  <c r="D28" i="23" s="1"/>
  <c r="AK75" i="22"/>
  <c r="AK76" i="22"/>
  <c r="AK79" i="22"/>
  <c r="AK80" i="22"/>
  <c r="AK81" i="22"/>
  <c r="B76" i="22"/>
  <c r="B77" i="22"/>
  <c r="B79" i="22"/>
  <c r="B80" i="22"/>
  <c r="B81" i="22"/>
  <c r="B82" i="22"/>
  <c r="B87" i="22"/>
  <c r="AM93" i="18"/>
  <c r="B337" i="18"/>
  <c r="B338" i="18"/>
  <c r="AK337" i="18"/>
  <c r="AK338" i="18"/>
  <c r="AI337" i="18"/>
  <c r="AI338" i="18"/>
  <c r="AI262" i="18"/>
  <c r="AI269" i="18"/>
  <c r="AJ274" i="18"/>
  <c r="AM274" i="18"/>
  <c r="AM273" i="18"/>
  <c r="AI327" i="18"/>
  <c r="AI328" i="18"/>
  <c r="AI329" i="18"/>
  <c r="AI330" i="18"/>
  <c r="AI331" i="18"/>
  <c r="AI332" i="18"/>
  <c r="AJ98" i="18"/>
  <c r="AL98" i="18" s="1"/>
  <c r="AM316" i="18"/>
  <c r="AM134" i="18"/>
  <c r="M76" i="19"/>
  <c r="M87" i="19" s="1"/>
  <c r="AI121" i="22"/>
  <c r="AI122" i="22"/>
  <c r="AI104" i="22"/>
  <c r="AJ120" i="22"/>
  <c r="AM120" i="22" s="1"/>
  <c r="AJ119" i="22"/>
  <c r="AM119" i="22" s="1"/>
  <c r="AJ118" i="22"/>
  <c r="AM118" i="22" s="1"/>
  <c r="AJ117" i="22"/>
  <c r="AM117" i="22" s="1"/>
  <c r="AJ116" i="22"/>
  <c r="AM116" i="22" s="1"/>
  <c r="AJ115" i="22"/>
  <c r="AJ57" i="19"/>
  <c r="AM57" i="19" s="1"/>
  <c r="AJ114" i="22"/>
  <c r="AM114" i="22"/>
  <c r="AJ109" i="22"/>
  <c r="AM109" i="22" s="1"/>
  <c r="AM97" i="22"/>
  <c r="AJ74" i="22"/>
  <c r="AK74" i="22" s="1"/>
  <c r="AJ49" i="22"/>
  <c r="AM49" i="22" s="1"/>
  <c r="AJ21" i="22"/>
  <c r="AM21" i="22" s="1"/>
  <c r="AJ78" i="22"/>
  <c r="AJ253" i="17"/>
  <c r="AM253" i="17" s="1"/>
  <c r="AM56" i="17"/>
  <c r="AI119" i="17"/>
  <c r="AI277" i="17"/>
  <c r="AI278" i="17"/>
  <c r="AI279" i="17"/>
  <c r="AI280" i="17"/>
  <c r="AI281" i="17"/>
  <c r="AI282" i="17"/>
  <c r="AI118" i="17"/>
  <c r="AI271" i="17"/>
  <c r="AI27" i="17"/>
  <c r="AI66" i="17"/>
  <c r="AJ47" i="17"/>
  <c r="AM47" i="17" s="1"/>
  <c r="AJ72" i="17"/>
  <c r="AK72" i="17" s="1"/>
  <c r="AJ52" i="17"/>
  <c r="AM52" i="17" s="1"/>
  <c r="AJ102" i="17"/>
  <c r="AM102" i="17"/>
  <c r="AJ97" i="17"/>
  <c r="AM97" i="17" s="1"/>
  <c r="AJ90" i="17"/>
  <c r="AJ77" i="17"/>
  <c r="AM77" i="17" s="1"/>
  <c r="AJ62" i="17"/>
  <c r="AJ100" i="17"/>
  <c r="AM100" i="17"/>
  <c r="AJ78" i="17"/>
  <c r="AM78" i="17"/>
  <c r="AJ88" i="17"/>
  <c r="AM88" i="17"/>
  <c r="AJ91" i="17"/>
  <c r="AM91" i="17"/>
  <c r="AJ93" i="17"/>
  <c r="AM93" i="17"/>
  <c r="AJ81" i="17"/>
  <c r="AM81" i="17"/>
  <c r="AJ95" i="17"/>
  <c r="AM95" i="17"/>
  <c r="AJ84" i="17"/>
  <c r="AM84" i="17"/>
  <c r="AJ98" i="17"/>
  <c r="AM98" i="17"/>
  <c r="AJ255" i="17"/>
  <c r="AJ247" i="17"/>
  <c r="AM247" i="17" s="1"/>
  <c r="AJ31" i="17"/>
  <c r="AM31" i="17" s="1"/>
  <c r="AJ37" i="1"/>
  <c r="AJ50" i="1" s="1"/>
  <c r="R37" i="1"/>
  <c r="T37" i="1"/>
  <c r="U37" i="1"/>
  <c r="V37" i="1"/>
  <c r="V50" i="1" s="1"/>
  <c r="W37" i="1"/>
  <c r="X37" i="1"/>
  <c r="Y37" i="1"/>
  <c r="Y56" i="1" s="1"/>
  <c r="Z37" i="1"/>
  <c r="AA37" i="1"/>
  <c r="AB37" i="1"/>
  <c r="Q37" i="1"/>
  <c r="O37" i="1"/>
  <c r="D6" i="23" s="1"/>
  <c r="AI36" i="1"/>
  <c r="AK36" i="1"/>
  <c r="AI47" i="1"/>
  <c r="AJ46" i="1"/>
  <c r="AJ101" i="17"/>
  <c r="W81" i="17"/>
  <c r="W129" i="17" s="1"/>
  <c r="V81" i="17"/>
  <c r="O253" i="17"/>
  <c r="B98" i="22"/>
  <c r="B99" i="22"/>
  <c r="B100" i="22"/>
  <c r="B101" i="22"/>
  <c r="B102" i="22"/>
  <c r="B103" i="22"/>
  <c r="B104" i="22"/>
  <c r="B107" i="22"/>
  <c r="B108" i="22"/>
  <c r="B109" i="22"/>
  <c r="B110" i="22"/>
  <c r="B112" i="22"/>
  <c r="B113" i="22"/>
  <c r="B114" i="22"/>
  <c r="B116" i="22"/>
  <c r="B117" i="22"/>
  <c r="B118" i="22"/>
  <c r="B119" i="22"/>
  <c r="B120" i="22"/>
  <c r="B121" i="22"/>
  <c r="B122" i="22"/>
  <c r="B123" i="22"/>
  <c r="B97" i="22"/>
  <c r="AK121" i="22"/>
  <c r="AK122" i="22"/>
  <c r="AI123" i="22"/>
  <c r="B28" i="22"/>
  <c r="B29" i="22"/>
  <c r="B30" i="22"/>
  <c r="B32" i="22"/>
  <c r="B34" i="22"/>
  <c r="B36" i="22"/>
  <c r="AK29" i="22"/>
  <c r="B271" i="17"/>
  <c r="AK271" i="17"/>
  <c r="AK273" i="17"/>
  <c r="AK278" i="17"/>
  <c r="AK279" i="17"/>
  <c r="AK280" i="17"/>
  <c r="AK281" i="17"/>
  <c r="AK282" i="17"/>
  <c r="B278" i="17"/>
  <c r="B279" i="17"/>
  <c r="B280" i="17"/>
  <c r="B118" i="17"/>
  <c r="B86" i="17"/>
  <c r="B66" i="17"/>
  <c r="B68" i="17"/>
  <c r="B27" i="17"/>
  <c r="AK27" i="17"/>
  <c r="AK118" i="17"/>
  <c r="AK119" i="17"/>
  <c r="AJ26" i="17"/>
  <c r="AM26" i="17" s="1"/>
  <c r="AK66" i="17"/>
  <c r="AK86" i="17"/>
  <c r="AJ85" i="17"/>
  <c r="AM85" i="17" s="1"/>
  <c r="B14" i="1"/>
  <c r="B15" i="1"/>
  <c r="O78" i="22"/>
  <c r="AK78" i="22" s="1"/>
  <c r="M78" i="22"/>
  <c r="M74" i="22"/>
  <c r="AM74" i="22"/>
  <c r="M115" i="22"/>
  <c r="M124" i="22" s="1"/>
  <c r="M255" i="17"/>
  <c r="AM255" i="17" s="1"/>
  <c r="M31" i="1"/>
  <c r="B115" i="22"/>
  <c r="B78" i="22"/>
  <c r="AM78" i="22"/>
  <c r="B60" i="23"/>
  <c r="AJ132" i="18"/>
  <c r="AL132" i="18" s="1"/>
  <c r="AK131" i="18"/>
  <c r="AK130" i="18"/>
  <c r="AK129" i="18"/>
  <c r="AI131" i="18"/>
  <c r="AI130" i="18"/>
  <c r="AI129" i="18"/>
  <c r="AI125" i="18"/>
  <c r="AI126" i="18"/>
  <c r="AC131" i="18"/>
  <c r="AD131" i="18" s="1"/>
  <c r="AC130" i="18"/>
  <c r="AD130" i="18" s="1"/>
  <c r="AC129" i="18"/>
  <c r="AD129" i="18" s="1"/>
  <c r="R132" i="18"/>
  <c r="S132" i="18"/>
  <c r="T132" i="18"/>
  <c r="U132" i="18"/>
  <c r="V132" i="18"/>
  <c r="W132" i="18"/>
  <c r="X132" i="18"/>
  <c r="Y132" i="18"/>
  <c r="Z132" i="18"/>
  <c r="AA132" i="18"/>
  <c r="AB132" i="18"/>
  <c r="Q132" i="18"/>
  <c r="B130" i="18"/>
  <c r="B131" i="18"/>
  <c r="B129" i="18"/>
  <c r="O102" i="18"/>
  <c r="O106" i="18" s="1"/>
  <c r="D56" i="23" s="1"/>
  <c r="AC237" i="19"/>
  <c r="AD237" i="19" s="1"/>
  <c r="AC238" i="19"/>
  <c r="AD238" i="19" s="1"/>
  <c r="AC121" i="19"/>
  <c r="AC122" i="19"/>
  <c r="AD122" i="19" s="1"/>
  <c r="AC124" i="19"/>
  <c r="AD124" i="19" s="1"/>
  <c r="AC138" i="19"/>
  <c r="AC167" i="19"/>
  <c r="AD167" i="19" s="1"/>
  <c r="AC170" i="19"/>
  <c r="AD170" i="19" s="1"/>
  <c r="AC174" i="19"/>
  <c r="AD174" i="19" s="1"/>
  <c r="AC175" i="19"/>
  <c r="AD175" i="19" s="1"/>
  <c r="AC205" i="19"/>
  <c r="AD205" i="19" s="1"/>
  <c r="AC94" i="19"/>
  <c r="AD94" i="19" s="1"/>
  <c r="AC97" i="19"/>
  <c r="AD97" i="19" s="1"/>
  <c r="AC99" i="19"/>
  <c r="AD99" i="19" s="1"/>
  <c r="AC102" i="19"/>
  <c r="AD102" i="19" s="1"/>
  <c r="AC104" i="19"/>
  <c r="AD104" i="19" s="1"/>
  <c r="AC112" i="19"/>
  <c r="AD112" i="19" s="1"/>
  <c r="AC113" i="19"/>
  <c r="AD113" i="19" s="1"/>
  <c r="AC114" i="19"/>
  <c r="AD114" i="19" s="1"/>
  <c r="AC115" i="19"/>
  <c r="AD115" i="19" s="1"/>
  <c r="AC48" i="19"/>
  <c r="AD48" i="19" s="1"/>
  <c r="AC49" i="19"/>
  <c r="AD49" i="19" s="1"/>
  <c r="AC50" i="19"/>
  <c r="AD50" i="19" s="1"/>
  <c r="AC51" i="19"/>
  <c r="AD51" i="19" s="1"/>
  <c r="AC52" i="19"/>
  <c r="AD52" i="19" s="1"/>
  <c r="AC53" i="19"/>
  <c r="AD53" i="19" s="1"/>
  <c r="AC54" i="19"/>
  <c r="AD54" i="19" s="1"/>
  <c r="AC56" i="19"/>
  <c r="AD56" i="19" s="1"/>
  <c r="AC57" i="19"/>
  <c r="AD57" i="19" s="1"/>
  <c r="AC58" i="19"/>
  <c r="AD58" i="19" s="1"/>
  <c r="AC65" i="19"/>
  <c r="AD65" i="19" s="1"/>
  <c r="AC22" i="19"/>
  <c r="AD22" i="19" s="1"/>
  <c r="AC23" i="19"/>
  <c r="AD23" i="19" s="1"/>
  <c r="AC27" i="19"/>
  <c r="AD27" i="19" s="1"/>
  <c r="AC29" i="19"/>
  <c r="AD29" i="19" s="1"/>
  <c r="AC30" i="19"/>
  <c r="AD30" i="19" s="1"/>
  <c r="AC32" i="19"/>
  <c r="AD32" i="19" s="1"/>
  <c r="AC33" i="19"/>
  <c r="AD33" i="19" s="1"/>
  <c r="W433" i="18"/>
  <c r="W235" i="18"/>
  <c r="W370" i="18"/>
  <c r="W461" i="18" s="1"/>
  <c r="W159" i="19"/>
  <c r="AJ256" i="17"/>
  <c r="AM256" i="17" s="1"/>
  <c r="M80" i="17"/>
  <c r="AM80" i="17"/>
  <c r="M41" i="19"/>
  <c r="M44" i="19" s="1"/>
  <c r="D260" i="19" s="1"/>
  <c r="M36" i="19"/>
  <c r="M39" i="19" s="1"/>
  <c r="D258" i="19" s="1"/>
  <c r="M21" i="19"/>
  <c r="B21" i="19" s="1"/>
  <c r="M64" i="17"/>
  <c r="B64" i="17" s="1"/>
  <c r="AI275" i="17"/>
  <c r="V212" i="18"/>
  <c r="AI205" i="18"/>
  <c r="B221" i="17"/>
  <c r="AJ208" i="17"/>
  <c r="AM208" i="17" s="1"/>
  <c r="AJ220" i="17"/>
  <c r="AK221" i="17"/>
  <c r="AI221" i="17"/>
  <c r="AI116" i="17"/>
  <c r="AJ64" i="17"/>
  <c r="AM64" i="17" s="1"/>
  <c r="B22" i="19"/>
  <c r="R44" i="19"/>
  <c r="S44" i="19"/>
  <c r="T44" i="19"/>
  <c r="U44" i="19"/>
  <c r="V44" i="19"/>
  <c r="W44" i="19"/>
  <c r="X44" i="19"/>
  <c r="Y44" i="19"/>
  <c r="Z44" i="19"/>
  <c r="AA44" i="19"/>
  <c r="AB44" i="19"/>
  <c r="Q44" i="19"/>
  <c r="B42" i="19"/>
  <c r="B43" i="19"/>
  <c r="AK43" i="19"/>
  <c r="AC42" i="19"/>
  <c r="AD42" i="19" s="1"/>
  <c r="AC43" i="19"/>
  <c r="AD43" i="19" s="1"/>
  <c r="AI37" i="19"/>
  <c r="AI38" i="19"/>
  <c r="AK37" i="19"/>
  <c r="AK38" i="19"/>
  <c r="AC37" i="19"/>
  <c r="AD37" i="19" s="1"/>
  <c r="AC38" i="19"/>
  <c r="AD38" i="19" s="1"/>
  <c r="R39" i="19"/>
  <c r="S39" i="19"/>
  <c r="T39" i="19"/>
  <c r="U39" i="19"/>
  <c r="V39" i="19"/>
  <c r="W39" i="19"/>
  <c r="X39" i="19"/>
  <c r="Y39" i="19"/>
  <c r="Z39" i="19"/>
  <c r="AA39" i="19"/>
  <c r="AB39" i="19"/>
  <c r="Q39" i="19"/>
  <c r="B37" i="19"/>
  <c r="B38" i="19"/>
  <c r="B36" i="19"/>
  <c r="AI22" i="19"/>
  <c r="AJ41" i="19"/>
  <c r="AK41" i="19" s="1"/>
  <c r="AJ36" i="19"/>
  <c r="AM36" i="19" s="1"/>
  <c r="AJ21" i="19"/>
  <c r="B53" i="19"/>
  <c r="AK53" i="19"/>
  <c r="AI53" i="19"/>
  <c r="AJ127" i="18"/>
  <c r="AK125" i="18"/>
  <c r="AK126" i="18"/>
  <c r="R127" i="18"/>
  <c r="S127" i="18"/>
  <c r="T127" i="18"/>
  <c r="U127" i="18"/>
  <c r="V127" i="18"/>
  <c r="W127" i="18"/>
  <c r="X127" i="18"/>
  <c r="Y127" i="18"/>
  <c r="Z127" i="18"/>
  <c r="AA127" i="18"/>
  <c r="AB127" i="18"/>
  <c r="Q127" i="18"/>
  <c r="B125" i="18"/>
  <c r="B126" i="18"/>
  <c r="AC125" i="18"/>
  <c r="AD125" i="18" s="1"/>
  <c r="AC126" i="18"/>
  <c r="AD126" i="18" s="1"/>
  <c r="B69" i="17"/>
  <c r="R287" i="17"/>
  <c r="S287" i="17"/>
  <c r="U287" i="17"/>
  <c r="V287" i="17"/>
  <c r="X287" i="17"/>
  <c r="Q287" i="17"/>
  <c r="AK68" i="17"/>
  <c r="AI68" i="17"/>
  <c r="AI286" i="17"/>
  <c r="AK274" i="17"/>
  <c r="AK275" i="17"/>
  <c r="AK277" i="17"/>
  <c r="B275" i="17"/>
  <c r="B277" i="17"/>
  <c r="B281" i="17"/>
  <c r="B282" i="17"/>
  <c r="V26" i="17"/>
  <c r="M137" i="19"/>
  <c r="B137" i="19" s="1"/>
  <c r="M52" i="19"/>
  <c r="B52" i="19" s="1"/>
  <c r="M138" i="19"/>
  <c r="M65" i="17"/>
  <c r="AM65" i="17" s="1"/>
  <c r="M141" i="17"/>
  <c r="AM141" i="17" s="1"/>
  <c r="M220" i="17"/>
  <c r="AM220" i="17" s="1"/>
  <c r="M72" i="17"/>
  <c r="M62" i="17"/>
  <c r="AM62" i="17" s="1"/>
  <c r="M45" i="1"/>
  <c r="B310" i="18"/>
  <c r="B189" i="18"/>
  <c r="M152" i="17"/>
  <c r="AM152" i="17" s="1"/>
  <c r="AC298" i="17"/>
  <c r="O137" i="19"/>
  <c r="AK137" i="19" s="1"/>
  <c r="AM223" i="19"/>
  <c r="AJ137" i="19"/>
  <c r="B47" i="19"/>
  <c r="B48" i="19"/>
  <c r="B49" i="19"/>
  <c r="B51" i="19"/>
  <c r="B56" i="19"/>
  <c r="B58" i="19"/>
  <c r="B65" i="19"/>
  <c r="AI57" i="19"/>
  <c r="AI58" i="19"/>
  <c r="AI64" i="19"/>
  <c r="AK57" i="19"/>
  <c r="AK58" i="19"/>
  <c r="AK65" i="19"/>
  <c r="AJ52" i="19"/>
  <c r="AK30" i="19"/>
  <c r="AI30" i="19"/>
  <c r="AI32" i="19"/>
  <c r="AJ217" i="19"/>
  <c r="AM217" i="19" s="1"/>
  <c r="O138" i="19"/>
  <c r="AJ138" i="19"/>
  <c r="AM138" i="19" s="1"/>
  <c r="B139" i="19"/>
  <c r="B218" i="19"/>
  <c r="B219" i="19"/>
  <c r="AK218" i="19"/>
  <c r="AK219" i="19"/>
  <c r="AI218" i="19"/>
  <c r="AI219" i="19"/>
  <c r="G99" i="23"/>
  <c r="H99" i="23" s="1"/>
  <c r="H98" i="23"/>
  <c r="H97" i="23"/>
  <c r="D312" i="17"/>
  <c r="D313" i="17"/>
  <c r="V154" i="17"/>
  <c r="AM149" i="18"/>
  <c r="AC151" i="18"/>
  <c r="AD151" i="18" s="1"/>
  <c r="AC148" i="18"/>
  <c r="AD148" i="18" s="1"/>
  <c r="AC149" i="18"/>
  <c r="AD149" i="18" s="1"/>
  <c r="AC150" i="18"/>
  <c r="AD150" i="18" s="1"/>
  <c r="AC152" i="18"/>
  <c r="AD152" i="18" s="1"/>
  <c r="R153" i="18"/>
  <c r="S153" i="18"/>
  <c r="T153" i="18"/>
  <c r="U153" i="18"/>
  <c r="V153" i="18"/>
  <c r="W153" i="18"/>
  <c r="X153" i="18"/>
  <c r="Y153" i="18"/>
  <c r="Z153" i="18"/>
  <c r="AA153" i="18"/>
  <c r="AB153" i="18"/>
  <c r="Q153" i="18"/>
  <c r="B148" i="18"/>
  <c r="B149" i="18"/>
  <c r="B150" i="18"/>
  <c r="B151" i="18"/>
  <c r="B152" i="18"/>
  <c r="AI151" i="18"/>
  <c r="AI152" i="18"/>
  <c r="AK151" i="18"/>
  <c r="AK152" i="18"/>
  <c r="AM211" i="18"/>
  <c r="T212" i="18"/>
  <c r="AI204" i="18"/>
  <c r="AJ201" i="18"/>
  <c r="AM201" i="18"/>
  <c r="AM347" i="18"/>
  <c r="AC27" i="18"/>
  <c r="AD27" i="18" s="1"/>
  <c r="O34" i="18"/>
  <c r="D52" i="23" s="1"/>
  <c r="O24" i="18"/>
  <c r="O91" i="18"/>
  <c r="D54" i="23" s="1"/>
  <c r="AK33" i="18"/>
  <c r="R34" i="18"/>
  <c r="S34" i="18"/>
  <c r="T34" i="18"/>
  <c r="U34" i="18"/>
  <c r="V34" i="18"/>
  <c r="W34" i="18"/>
  <c r="X34" i="18"/>
  <c r="Y34" i="18"/>
  <c r="Z34" i="18"/>
  <c r="AA34" i="18"/>
  <c r="AB34" i="18"/>
  <c r="Q34" i="18"/>
  <c r="AI27" i="18"/>
  <c r="AI23" i="18"/>
  <c r="B27" i="18"/>
  <c r="V27" i="22"/>
  <c r="V88" i="22"/>
  <c r="V168" i="17"/>
  <c r="V138" i="17"/>
  <c r="V134" i="17"/>
  <c r="W291" i="17"/>
  <c r="X134" i="17"/>
  <c r="X138" i="17"/>
  <c r="X144" i="17"/>
  <c r="X205" i="17"/>
  <c r="X291" i="17"/>
  <c r="Y138" i="17"/>
  <c r="Y144" i="17"/>
  <c r="Y205" i="17"/>
  <c r="Y291" i="17"/>
  <c r="Z129" i="17"/>
  <c r="Z134" i="17"/>
  <c r="Z138" i="17"/>
  <c r="Z144" i="17"/>
  <c r="Z205" i="17"/>
  <c r="Z291" i="17"/>
  <c r="AA129" i="17"/>
  <c r="AA134" i="17"/>
  <c r="AA138" i="17"/>
  <c r="AA144" i="17"/>
  <c r="AA205" i="17"/>
  <c r="AA291" i="17"/>
  <c r="AB134" i="17"/>
  <c r="AB291" i="17"/>
  <c r="V185" i="17"/>
  <c r="V144" i="17"/>
  <c r="V291" i="17"/>
  <c r="M55" i="19"/>
  <c r="B55" i="19" s="1"/>
  <c r="M291" i="17"/>
  <c r="M293" i="17" s="1"/>
  <c r="R129" i="17"/>
  <c r="S129" i="17"/>
  <c r="U129" i="17"/>
  <c r="Q129" i="17"/>
  <c r="B125" i="22"/>
  <c r="B41" i="23" s="1"/>
  <c r="AK117" i="22"/>
  <c r="AI116" i="22"/>
  <c r="AI117" i="22"/>
  <c r="AI118" i="22"/>
  <c r="AI119" i="22"/>
  <c r="AI120" i="22"/>
  <c r="AJ131" i="22"/>
  <c r="AJ101" i="22"/>
  <c r="AK101" i="22" s="1"/>
  <c r="AJ46" i="22"/>
  <c r="AM46" i="22" s="1"/>
  <c r="AJ73" i="22"/>
  <c r="V301" i="18"/>
  <c r="V333" i="18" s="1"/>
  <c r="V101" i="19"/>
  <c r="V159" i="19"/>
  <c r="O55" i="19"/>
  <c r="O66" i="19"/>
  <c r="U116" i="19"/>
  <c r="AI115" i="19"/>
  <c r="AI112" i="19"/>
  <c r="R224" i="19"/>
  <c r="Q224" i="19"/>
  <c r="AJ23" i="19"/>
  <c r="AK23" i="19" s="1"/>
  <c r="AJ174" i="19"/>
  <c r="AM174" i="19" s="1"/>
  <c r="B113" i="19"/>
  <c r="B114" i="19"/>
  <c r="AK113" i="19"/>
  <c r="AK114" i="19"/>
  <c r="AK115" i="19"/>
  <c r="AI454" i="18"/>
  <c r="AI114" i="22"/>
  <c r="AI115" i="22"/>
  <c r="AJ38" i="22"/>
  <c r="AM38" i="22" s="1"/>
  <c r="AJ82" i="22"/>
  <c r="AM82" i="22" s="1"/>
  <c r="AJ70" i="22"/>
  <c r="AK70" i="22" s="1"/>
  <c r="AJ26" i="22"/>
  <c r="AM26" i="22" s="1"/>
  <c r="AJ61" i="22"/>
  <c r="AJ48" i="22"/>
  <c r="R132" i="22"/>
  <c r="S132" i="22"/>
  <c r="U132" i="22"/>
  <c r="V132" i="22"/>
  <c r="X132" i="22"/>
  <c r="Y132" i="22"/>
  <c r="Z132" i="22"/>
  <c r="AA132" i="22"/>
  <c r="AB132" i="22"/>
  <c r="B130" i="22"/>
  <c r="B131" i="22"/>
  <c r="AI150" i="17"/>
  <c r="AI151" i="17"/>
  <c r="AI152" i="17"/>
  <c r="AI153" i="17"/>
  <c r="AI154" i="17"/>
  <c r="AI155" i="17"/>
  <c r="AI156" i="17"/>
  <c r="AI157" i="17"/>
  <c r="AI163" i="17"/>
  <c r="AI46" i="1"/>
  <c r="AI45" i="1"/>
  <c r="AJ106" i="22"/>
  <c r="AM106" i="22" s="1"/>
  <c r="AJ99" i="22"/>
  <c r="AM99" i="22" s="1"/>
  <c r="AK130" i="22"/>
  <c r="AI130" i="22"/>
  <c r="AJ128" i="22"/>
  <c r="B184" i="17"/>
  <c r="B185" i="17"/>
  <c r="B186" i="17"/>
  <c r="B191" i="17"/>
  <c r="B192" i="17"/>
  <c r="B197" i="17"/>
  <c r="AI184" i="17"/>
  <c r="AI185" i="17"/>
  <c r="AI186" i="17"/>
  <c r="AI190" i="17"/>
  <c r="AI191" i="17"/>
  <c r="AI192" i="17"/>
  <c r="U28" i="19"/>
  <c r="U34" i="19" s="1"/>
  <c r="B168" i="17"/>
  <c r="B169" i="17"/>
  <c r="B170" i="17"/>
  <c r="B171" i="17"/>
  <c r="B172" i="17"/>
  <c r="B173" i="17"/>
  <c r="B174" i="17"/>
  <c r="B175" i="17"/>
  <c r="B176" i="17"/>
  <c r="B177" i="17"/>
  <c r="B178" i="17"/>
  <c r="B179" i="17"/>
  <c r="B180" i="17"/>
  <c r="B181" i="17"/>
  <c r="B182" i="17"/>
  <c r="B183" i="17"/>
  <c r="AI173" i="17"/>
  <c r="AI174" i="17"/>
  <c r="AI175" i="17"/>
  <c r="AI176" i="17"/>
  <c r="AI177" i="17"/>
  <c r="AI178" i="17"/>
  <c r="AI179" i="17"/>
  <c r="AI180" i="17"/>
  <c r="AI181" i="17"/>
  <c r="AI182" i="17"/>
  <c r="AI183" i="17"/>
  <c r="O61" i="22"/>
  <c r="AD61" i="22" s="1"/>
  <c r="M61" i="22"/>
  <c r="B61" i="22" s="1"/>
  <c r="O128" i="22"/>
  <c r="O132" i="22" s="1"/>
  <c r="D41" i="23" s="1"/>
  <c r="M128" i="22"/>
  <c r="B128" i="22" s="1"/>
  <c r="O48" i="22"/>
  <c r="AD48" i="22" s="1"/>
  <c r="M48" i="22"/>
  <c r="M54" i="19"/>
  <c r="B54" i="19" s="1"/>
  <c r="M23" i="19"/>
  <c r="B23" i="19" s="1"/>
  <c r="M19" i="19"/>
  <c r="M142" i="19"/>
  <c r="O96" i="19"/>
  <c r="M152" i="19"/>
  <c r="B152" i="19" s="1"/>
  <c r="O205" i="17"/>
  <c r="D18" i="23" s="1"/>
  <c r="AI164" i="17"/>
  <c r="AI165" i="17"/>
  <c r="AI166" i="17"/>
  <c r="AI167" i="17"/>
  <c r="AI168" i="17"/>
  <c r="AI169" i="17"/>
  <c r="AI170" i="17"/>
  <c r="AI171" i="17"/>
  <c r="AI172" i="17"/>
  <c r="B14" i="19"/>
  <c r="B15" i="19" s="1"/>
  <c r="B14" i="18"/>
  <c r="B15" i="18" s="1"/>
  <c r="T55" i="19"/>
  <c r="AC55" i="19" s="1"/>
  <c r="AD55" i="19" s="1"/>
  <c r="U469" i="18"/>
  <c r="U212" i="18"/>
  <c r="U270" i="18"/>
  <c r="U461" i="18"/>
  <c r="U26" i="22"/>
  <c r="U142" i="19"/>
  <c r="AC142" i="19" s="1"/>
  <c r="AD142" i="19" s="1"/>
  <c r="U40" i="1"/>
  <c r="U43" i="1" s="1"/>
  <c r="B68" i="22"/>
  <c r="B69" i="22"/>
  <c r="B70" i="22"/>
  <c r="B72" i="22"/>
  <c r="B73" i="22"/>
  <c r="B112" i="19"/>
  <c r="AJ96" i="19"/>
  <c r="AJ242" i="17"/>
  <c r="Q205" i="17"/>
  <c r="B200" i="17"/>
  <c r="B201" i="17"/>
  <c r="B202" i="17"/>
  <c r="B203" i="17"/>
  <c r="B103" i="17"/>
  <c r="B104" i="17"/>
  <c r="B108" i="17"/>
  <c r="B109" i="17"/>
  <c r="B110" i="17"/>
  <c r="B111" i="17"/>
  <c r="B113" i="17"/>
  <c r="B114" i="17"/>
  <c r="B115" i="17"/>
  <c r="B116" i="17"/>
  <c r="AI200" i="17"/>
  <c r="AI201" i="17"/>
  <c r="AI202" i="17"/>
  <c r="AI203" i="17"/>
  <c r="AK200" i="17"/>
  <c r="AK201" i="17"/>
  <c r="AK202" i="17"/>
  <c r="AK203" i="17"/>
  <c r="AK204" i="17"/>
  <c r="AM163" i="17"/>
  <c r="AK56" i="17"/>
  <c r="AK103" i="17"/>
  <c r="AK104" i="17"/>
  <c r="AK106" i="17"/>
  <c r="AK108" i="17"/>
  <c r="AK110" i="17"/>
  <c r="AK112" i="17"/>
  <c r="AK113" i="17"/>
  <c r="AI103" i="17"/>
  <c r="AI104" i="17"/>
  <c r="AI106" i="17"/>
  <c r="AI108" i="17"/>
  <c r="AI109" i="17"/>
  <c r="AI110" i="17"/>
  <c r="AI111" i="17"/>
  <c r="AI112" i="17"/>
  <c r="AI113" i="17"/>
  <c r="AI114" i="17"/>
  <c r="AI115" i="17"/>
  <c r="AJ110" i="18"/>
  <c r="AM110" i="18" s="1"/>
  <c r="AJ111" i="18"/>
  <c r="AM111" i="18" s="1"/>
  <c r="AJ108" i="18"/>
  <c r="AJ321" i="18"/>
  <c r="AM321" i="18" s="1"/>
  <c r="AJ320" i="18"/>
  <c r="AM320" i="18" s="1"/>
  <c r="AJ326" i="18"/>
  <c r="AJ325" i="18"/>
  <c r="AM325" i="18" s="1"/>
  <c r="AJ324" i="18"/>
  <c r="AM324" i="18" s="1"/>
  <c r="AJ323" i="18"/>
  <c r="AM323" i="18" s="1"/>
  <c r="AJ451" i="18"/>
  <c r="AM451" i="18" s="1"/>
  <c r="AJ432" i="18"/>
  <c r="AJ430" i="18"/>
  <c r="AM430" i="18" s="1"/>
  <c r="AJ402" i="18"/>
  <c r="AM402" i="18" s="1"/>
  <c r="AJ375" i="18"/>
  <c r="AJ369" i="18"/>
  <c r="AM369" i="18" s="1"/>
  <c r="AJ286" i="18"/>
  <c r="AK286" i="18" s="1"/>
  <c r="AJ197" i="18"/>
  <c r="AJ189" i="18"/>
  <c r="AM185" i="18"/>
  <c r="AJ170" i="18"/>
  <c r="AM170" i="18"/>
  <c r="AJ165" i="18"/>
  <c r="AM165" i="18"/>
  <c r="AJ163" i="18"/>
  <c r="AM163" i="18"/>
  <c r="AJ176" i="18"/>
  <c r="AM173" i="18"/>
  <c r="AJ172" i="18"/>
  <c r="AM172" i="18"/>
  <c r="U211" i="19"/>
  <c r="AC211" i="19" s="1"/>
  <c r="AD211" i="19" s="1"/>
  <c r="U152" i="19"/>
  <c r="AM287" i="18"/>
  <c r="AJ315" i="18"/>
  <c r="AM315" i="18" s="1"/>
  <c r="U236" i="19"/>
  <c r="U239" i="19" s="1"/>
  <c r="AJ24" i="1"/>
  <c r="AI129" i="22"/>
  <c r="AK69" i="22"/>
  <c r="AI69" i="22"/>
  <c r="B45" i="22"/>
  <c r="AK45" i="22"/>
  <c r="AI45" i="22"/>
  <c r="AI24" i="22"/>
  <c r="AK24" i="22"/>
  <c r="AI67" i="22"/>
  <c r="B42" i="22"/>
  <c r="AK42" i="22"/>
  <c r="AI42" i="22"/>
  <c r="B56" i="22"/>
  <c r="B57" i="22"/>
  <c r="AK57" i="22"/>
  <c r="AI56" i="22"/>
  <c r="R124" i="22"/>
  <c r="S124" i="22"/>
  <c r="X124" i="22"/>
  <c r="Y124" i="22"/>
  <c r="AA124" i="22"/>
  <c r="AB124" i="22"/>
  <c r="Q124" i="22"/>
  <c r="AK114" i="22"/>
  <c r="AJ25" i="22"/>
  <c r="AM25" i="22" s="1"/>
  <c r="O190" i="18"/>
  <c r="O270" i="18"/>
  <c r="D72" i="23" s="1"/>
  <c r="M25" i="22"/>
  <c r="M90" i="17"/>
  <c r="B90" i="17" s="1"/>
  <c r="AI450" i="18"/>
  <c r="AI451" i="18"/>
  <c r="AI422" i="18"/>
  <c r="AI203" i="18"/>
  <c r="AI173" i="18"/>
  <c r="C313" i="17"/>
  <c r="C311" i="17"/>
  <c r="C257" i="19"/>
  <c r="C260" i="19"/>
  <c r="C259" i="19"/>
  <c r="C258" i="19"/>
  <c r="AJ18" i="22"/>
  <c r="AM18" i="22"/>
  <c r="AJ283" i="18"/>
  <c r="M101" i="17"/>
  <c r="B283" i="18"/>
  <c r="T26" i="22"/>
  <c r="AC26" i="22" s="1"/>
  <c r="AD26" i="22" s="1"/>
  <c r="T270" i="18"/>
  <c r="AK136" i="17"/>
  <c r="AK137" i="17"/>
  <c r="AK198" i="17"/>
  <c r="AK199" i="17"/>
  <c r="AK336" i="18"/>
  <c r="AK81" i="18"/>
  <c r="AK80" i="18"/>
  <c r="AJ82" i="18"/>
  <c r="AI81" i="18"/>
  <c r="AI80" i="18"/>
  <c r="AC81" i="18"/>
  <c r="AD81" i="18" s="1"/>
  <c r="AC80" i="18"/>
  <c r="AD80" i="18" s="1"/>
  <c r="R82" i="18"/>
  <c r="S82" i="18"/>
  <c r="T82" i="18"/>
  <c r="U82" i="18"/>
  <c r="V82" i="18"/>
  <c r="W82" i="18"/>
  <c r="X82" i="18"/>
  <c r="Y82" i="18"/>
  <c r="Z82" i="18"/>
  <c r="AA82" i="18"/>
  <c r="AB82" i="18"/>
  <c r="Q82" i="18"/>
  <c r="O82" i="18"/>
  <c r="B81" i="18"/>
  <c r="B82" i="18" s="1"/>
  <c r="T28" i="19"/>
  <c r="T128" i="22"/>
  <c r="AC128" i="22" s="1"/>
  <c r="AD128" i="22" s="1"/>
  <c r="T127" i="22"/>
  <c r="AC127" i="22" s="1"/>
  <c r="AD127" i="22" s="1"/>
  <c r="T126" i="22"/>
  <c r="AC126" i="22" s="1"/>
  <c r="T20" i="22"/>
  <c r="AC20" i="22" s="1"/>
  <c r="AD20" i="22" s="1"/>
  <c r="T22" i="22"/>
  <c r="AC22" i="22" s="1"/>
  <c r="AD22" i="22" s="1"/>
  <c r="T27" i="22"/>
  <c r="AC27" i="22" s="1"/>
  <c r="AD27" i="22" s="1"/>
  <c r="T28" i="22"/>
  <c r="AC28" i="22" s="1"/>
  <c r="AD28" i="22" s="1"/>
  <c r="T30" i="22"/>
  <c r="AC30" i="22" s="1"/>
  <c r="AD30" i="22" s="1"/>
  <c r="T32" i="22"/>
  <c r="AC32" i="22" s="1"/>
  <c r="AD32" i="22" s="1"/>
  <c r="T34" i="22"/>
  <c r="AC34" i="22" s="1"/>
  <c r="AD34" i="22" s="1"/>
  <c r="T36" i="22"/>
  <c r="AC36" i="22" s="1"/>
  <c r="AD36" i="22" s="1"/>
  <c r="T40" i="22"/>
  <c r="AC40" i="22" s="1"/>
  <c r="AD40" i="22" s="1"/>
  <c r="T43" i="22"/>
  <c r="AC43" i="22" s="1"/>
  <c r="AD43" i="22" s="1"/>
  <c r="T44" i="22"/>
  <c r="AC44" i="22" s="1"/>
  <c r="AD44" i="22" s="1"/>
  <c r="T72" i="22"/>
  <c r="AC72" i="22" s="1"/>
  <c r="T73" i="22"/>
  <c r="AC73" i="22" s="1"/>
  <c r="AD73" i="22" s="1"/>
  <c r="T75" i="22"/>
  <c r="T76" i="22"/>
  <c r="AC76" i="22" s="1"/>
  <c r="AD76" i="22" s="1"/>
  <c r="T78" i="22"/>
  <c r="AC78" i="22" s="1"/>
  <c r="T18" i="22"/>
  <c r="AC18" i="22" s="1"/>
  <c r="AC69" i="19"/>
  <c r="AD69" i="19" s="1"/>
  <c r="AC70" i="19"/>
  <c r="AD70" i="19" s="1"/>
  <c r="AC71" i="19"/>
  <c r="AD71" i="19" s="1"/>
  <c r="AC72" i="19"/>
  <c r="AD72" i="19" s="1"/>
  <c r="AC73" i="19"/>
  <c r="AD73" i="19" s="1"/>
  <c r="AC85" i="19"/>
  <c r="AD85" i="19" s="1"/>
  <c r="AC86" i="19"/>
  <c r="AD86" i="19" s="1"/>
  <c r="T236" i="19"/>
  <c r="T235" i="19"/>
  <c r="AC235" i="19" s="1"/>
  <c r="AD235" i="19" s="1"/>
  <c r="T233" i="19"/>
  <c r="AC233" i="19" s="1"/>
  <c r="AD233" i="19" s="1"/>
  <c r="T229" i="19"/>
  <c r="AC229" i="19" s="1"/>
  <c r="AD229" i="19" s="1"/>
  <c r="T209" i="19"/>
  <c r="AC209" i="19" s="1"/>
  <c r="AD209" i="19" s="1"/>
  <c r="T206" i="19"/>
  <c r="AC206" i="19" s="1"/>
  <c r="AD206" i="19" s="1"/>
  <c r="T203" i="19"/>
  <c r="AC203" i="19" s="1"/>
  <c r="AD203" i="19" s="1"/>
  <c r="T201" i="19"/>
  <c r="AC201" i="19" s="1"/>
  <c r="AD201" i="19" s="1"/>
  <c r="T199" i="19"/>
  <c r="AC199" i="19" s="1"/>
  <c r="AD199" i="19" s="1"/>
  <c r="T197" i="19"/>
  <c r="AC197" i="19" s="1"/>
  <c r="AD197" i="19" s="1"/>
  <c r="T196" i="19"/>
  <c r="AC196" i="19" s="1"/>
  <c r="AD196" i="19" s="1"/>
  <c r="T195" i="19"/>
  <c r="T193" i="19"/>
  <c r="AC193" i="19" s="1"/>
  <c r="AD193" i="19" s="1"/>
  <c r="T192" i="19"/>
  <c r="AC192" i="19" s="1"/>
  <c r="AD192" i="19" s="1"/>
  <c r="T191" i="19"/>
  <c r="AC191" i="19" s="1"/>
  <c r="AD191" i="19" s="1"/>
  <c r="T188" i="19"/>
  <c r="AC188" i="19" s="1"/>
  <c r="AD188" i="19" s="1"/>
  <c r="T186" i="19"/>
  <c r="AC186" i="19" s="1"/>
  <c r="AD186" i="19" s="1"/>
  <c r="T184" i="19"/>
  <c r="AC184" i="19" s="1"/>
  <c r="AD184" i="19" s="1"/>
  <c r="T182" i="19"/>
  <c r="AC182" i="19" s="1"/>
  <c r="AD182" i="19" s="1"/>
  <c r="T180" i="19"/>
  <c r="AC180" i="19" s="1"/>
  <c r="AD180" i="19" s="1"/>
  <c r="T178" i="19"/>
  <c r="AC178" i="19" s="1"/>
  <c r="AD178" i="19" s="1"/>
  <c r="T176" i="19"/>
  <c r="AC176" i="19" s="1"/>
  <c r="AD176" i="19" s="1"/>
  <c r="T171" i="19"/>
  <c r="AC171" i="19" s="1"/>
  <c r="AD171" i="19" s="1"/>
  <c r="T168" i="19"/>
  <c r="AC168" i="19" s="1"/>
  <c r="AD168" i="19" s="1"/>
  <c r="T165" i="19"/>
  <c r="AC165" i="19" s="1"/>
  <c r="AD165" i="19" s="1"/>
  <c r="T163" i="19"/>
  <c r="T162" i="19"/>
  <c r="AC162" i="19" s="1"/>
  <c r="AD162" i="19" s="1"/>
  <c r="T160" i="19"/>
  <c r="AC160" i="19" s="1"/>
  <c r="AD160" i="19" s="1"/>
  <c r="T157" i="19"/>
  <c r="AC157" i="19" s="1"/>
  <c r="AD157" i="19" s="1"/>
  <c r="T154" i="19"/>
  <c r="AC154" i="19" s="1"/>
  <c r="AD154" i="19" s="1"/>
  <c r="T148" i="19"/>
  <c r="AC148" i="19" s="1"/>
  <c r="AD148" i="19" s="1"/>
  <c r="T146" i="19"/>
  <c r="AC146" i="19" s="1"/>
  <c r="AD146" i="19" s="1"/>
  <c r="T144" i="19"/>
  <c r="AC144" i="19" s="1"/>
  <c r="AD144" i="19" s="1"/>
  <c r="T141" i="19"/>
  <c r="AC141" i="19" s="1"/>
  <c r="AD141" i="19" s="1"/>
  <c r="T139" i="19"/>
  <c r="T137" i="19"/>
  <c r="AC137" i="19" s="1"/>
  <c r="T135" i="19"/>
  <c r="AC135" i="19" s="1"/>
  <c r="AD135" i="19" s="1"/>
  <c r="T133" i="19"/>
  <c r="AC133" i="19" s="1"/>
  <c r="AD133" i="19" s="1"/>
  <c r="T131" i="19"/>
  <c r="AC131" i="19" s="1"/>
  <c r="AD131" i="19" s="1"/>
  <c r="T129" i="19"/>
  <c r="AC129" i="19" s="1"/>
  <c r="AD129" i="19" s="1"/>
  <c r="T127" i="19"/>
  <c r="AC127" i="19" s="1"/>
  <c r="AD127" i="19" s="1"/>
  <c r="T125" i="19"/>
  <c r="AC125" i="19" s="1"/>
  <c r="AD125" i="19" s="1"/>
  <c r="T123" i="19"/>
  <c r="AC123" i="19" s="1"/>
  <c r="AD123" i="19" s="1"/>
  <c r="T119" i="19"/>
  <c r="AC119" i="19" s="1"/>
  <c r="AD119" i="19" s="1"/>
  <c r="T110" i="19"/>
  <c r="AC110" i="19" s="1"/>
  <c r="T108" i="19"/>
  <c r="AC108" i="19" s="1"/>
  <c r="AD108" i="19" s="1"/>
  <c r="T107" i="19"/>
  <c r="AC107" i="19" s="1"/>
  <c r="AD107" i="19" s="1"/>
  <c r="T105" i="19"/>
  <c r="AC105" i="19" s="1"/>
  <c r="AD105" i="19" s="1"/>
  <c r="T103" i="19"/>
  <c r="AC103" i="19" s="1"/>
  <c r="AD103" i="19" s="1"/>
  <c r="T101" i="19"/>
  <c r="T98" i="19"/>
  <c r="AC98" i="19" s="1"/>
  <c r="AD98" i="19" s="1"/>
  <c r="T96" i="19"/>
  <c r="AC96" i="19" s="1"/>
  <c r="AD96" i="19" s="1"/>
  <c r="T93" i="19"/>
  <c r="AC93" i="19" s="1"/>
  <c r="AD93" i="19" s="1"/>
  <c r="T91" i="19"/>
  <c r="AC91" i="19" s="1"/>
  <c r="AD91" i="19" s="1"/>
  <c r="T89" i="19"/>
  <c r="AC89" i="19" s="1"/>
  <c r="AD89" i="19" s="1"/>
  <c r="T83" i="19"/>
  <c r="AC83" i="19" s="1"/>
  <c r="AD83" i="19" s="1"/>
  <c r="T81" i="19"/>
  <c r="AC81" i="19" s="1"/>
  <c r="AD81" i="19" s="1"/>
  <c r="T79" i="19"/>
  <c r="AC79" i="19" s="1"/>
  <c r="AD79" i="19" s="1"/>
  <c r="T77" i="19"/>
  <c r="T76" i="19"/>
  <c r="T26" i="19"/>
  <c r="AC26" i="19" s="1"/>
  <c r="AD26" i="19" s="1"/>
  <c r="T268" i="17"/>
  <c r="AC268" i="17" s="1"/>
  <c r="AD268" i="17" s="1"/>
  <c r="T267" i="17"/>
  <c r="AC267" i="17" s="1"/>
  <c r="AD267" i="17" s="1"/>
  <c r="T265" i="17"/>
  <c r="AC265" i="17" s="1"/>
  <c r="AD265" i="17" s="1"/>
  <c r="T254" i="17"/>
  <c r="AC254" i="17" s="1"/>
  <c r="AD254" i="17" s="1"/>
  <c r="T253" i="17"/>
  <c r="AC253" i="17" s="1"/>
  <c r="AD253" i="17" s="1"/>
  <c r="T252" i="17"/>
  <c r="AC252" i="17" s="1"/>
  <c r="AD252" i="17" s="1"/>
  <c r="T250" i="17"/>
  <c r="AC250" i="17" s="1"/>
  <c r="AD250" i="17" s="1"/>
  <c r="T249" i="17"/>
  <c r="AC249" i="17" s="1"/>
  <c r="AD249" i="17" s="1"/>
  <c r="T247" i="17"/>
  <c r="AC247" i="17" s="1"/>
  <c r="AD247" i="17" s="1"/>
  <c r="T246" i="17"/>
  <c r="AC246" i="17" s="1"/>
  <c r="AD246" i="17" s="1"/>
  <c r="T245" i="17"/>
  <c r="AC245" i="17" s="1"/>
  <c r="AD245" i="17" s="1"/>
  <c r="T244" i="17"/>
  <c r="AC244" i="17" s="1"/>
  <c r="AD244" i="17" s="1"/>
  <c r="T243" i="17"/>
  <c r="AC243" i="17" s="1"/>
  <c r="AD243" i="17" s="1"/>
  <c r="T239" i="17"/>
  <c r="AC239" i="17" s="1"/>
  <c r="AD239" i="17" s="1"/>
  <c r="T238" i="17"/>
  <c r="AC238" i="17" s="1"/>
  <c r="AD238" i="17" s="1"/>
  <c r="T236" i="17"/>
  <c r="AC236" i="17" s="1"/>
  <c r="AD236" i="17" s="1"/>
  <c r="T235" i="17"/>
  <c r="AC235" i="17" s="1"/>
  <c r="AD235" i="17" s="1"/>
  <c r="T234" i="17"/>
  <c r="AC234" i="17" s="1"/>
  <c r="AD234" i="17" s="1"/>
  <c r="T233" i="17"/>
  <c r="AC233" i="17" s="1"/>
  <c r="AD233" i="17" s="1"/>
  <c r="T232" i="17"/>
  <c r="AC232" i="17" s="1"/>
  <c r="AD232" i="17" s="1"/>
  <c r="T231" i="17"/>
  <c r="AC231" i="17" s="1"/>
  <c r="AD231" i="17" s="1"/>
  <c r="T230" i="17"/>
  <c r="AC230" i="17" s="1"/>
  <c r="AD230" i="17" s="1"/>
  <c r="T229" i="17"/>
  <c r="AC229" i="17" s="1"/>
  <c r="AD229" i="17" s="1"/>
  <c r="T227" i="17"/>
  <c r="AC227" i="17" s="1"/>
  <c r="AD227" i="17" s="1"/>
  <c r="T226" i="17"/>
  <c r="AC226" i="17" s="1"/>
  <c r="T224" i="17"/>
  <c r="AC224" i="17" s="1"/>
  <c r="AD224" i="17" s="1"/>
  <c r="T223" i="17"/>
  <c r="AC223" i="17" s="1"/>
  <c r="AD223" i="17" s="1"/>
  <c r="T222" i="17"/>
  <c r="AC222" i="17" s="1"/>
  <c r="AD222" i="17" s="1"/>
  <c r="T218" i="17"/>
  <c r="AC218" i="17" s="1"/>
  <c r="AD218" i="17" s="1"/>
  <c r="T216" i="17"/>
  <c r="AC216" i="17" s="1"/>
  <c r="AD216" i="17" s="1"/>
  <c r="T215" i="17"/>
  <c r="AC215" i="17" s="1"/>
  <c r="AD215" i="17" s="1"/>
  <c r="T209" i="17"/>
  <c r="AC209" i="17" s="1"/>
  <c r="AD209" i="17" s="1"/>
  <c r="T199" i="17"/>
  <c r="AC199" i="17" s="1"/>
  <c r="AD199" i="17" s="1"/>
  <c r="T23" i="17"/>
  <c r="AC23" i="17" s="1"/>
  <c r="AD23" i="17" s="1"/>
  <c r="T24" i="17"/>
  <c r="AC24" i="17" s="1"/>
  <c r="AD24" i="17" s="1"/>
  <c r="T25" i="17"/>
  <c r="AC25" i="17" s="1"/>
  <c r="AD25" i="17" s="1"/>
  <c r="T30" i="17"/>
  <c r="AC30" i="17" s="1"/>
  <c r="AD30" i="17" s="1"/>
  <c r="T35" i="17"/>
  <c r="AC35" i="17" s="1"/>
  <c r="AD35" i="17" s="1"/>
  <c r="T39" i="17"/>
  <c r="AC39" i="17" s="1"/>
  <c r="AD39" i="17" s="1"/>
  <c r="T42" i="17"/>
  <c r="AC42" i="17" s="1"/>
  <c r="AD42" i="17" s="1"/>
  <c r="T43" i="17"/>
  <c r="AC43" i="17" s="1"/>
  <c r="AD43" i="17" s="1"/>
  <c r="T44" i="17"/>
  <c r="AC44" i="17" s="1"/>
  <c r="T45" i="17"/>
  <c r="AC45" i="17" s="1"/>
  <c r="AD45" i="17" s="1"/>
  <c r="T46" i="17"/>
  <c r="AC46" i="17" s="1"/>
  <c r="T48" i="17"/>
  <c r="AC48" i="17" s="1"/>
  <c r="T49" i="17"/>
  <c r="AC49" i="17" s="1"/>
  <c r="T51" i="17"/>
  <c r="AC51" i="17" s="1"/>
  <c r="T53" i="17"/>
  <c r="AC53" i="17" s="1"/>
  <c r="AD53" i="17" s="1"/>
  <c r="T54" i="17"/>
  <c r="AC54" i="17" s="1"/>
  <c r="AD54" i="17" s="1"/>
  <c r="T55" i="17"/>
  <c r="AC55" i="17" s="1"/>
  <c r="T59" i="17"/>
  <c r="AC59" i="17" s="1"/>
  <c r="AD59" i="17" s="1"/>
  <c r="T61" i="17"/>
  <c r="AC61" i="17" s="1"/>
  <c r="AD61" i="17" s="1"/>
  <c r="T19" i="17"/>
  <c r="AC19" i="17" s="1"/>
  <c r="AD19" i="17" s="1"/>
  <c r="T124" i="22"/>
  <c r="AI198" i="17"/>
  <c r="AI199" i="17"/>
  <c r="AI204" i="17"/>
  <c r="M23" i="17"/>
  <c r="M57" i="17"/>
  <c r="B57" i="17"/>
  <c r="M58" i="17"/>
  <c r="M226" i="17"/>
  <c r="C310" i="17"/>
  <c r="B288" i="17"/>
  <c r="AK23" i="22"/>
  <c r="AI23" i="22"/>
  <c r="B23" i="22"/>
  <c r="AK66" i="22"/>
  <c r="AI66" i="22"/>
  <c r="B66" i="22"/>
  <c r="AK58" i="22"/>
  <c r="AI58" i="22"/>
  <c r="B58" i="22"/>
  <c r="AK41" i="22"/>
  <c r="AI41" i="22"/>
  <c r="B41" i="22"/>
  <c r="AK55" i="22"/>
  <c r="AI55" i="22"/>
  <c r="AI57" i="22"/>
  <c r="AI59" i="22"/>
  <c r="B55" i="22"/>
  <c r="AJ47" i="22"/>
  <c r="AK47" i="22" s="1"/>
  <c r="AI120" i="17"/>
  <c r="AI102" i="17"/>
  <c r="B139" i="17"/>
  <c r="C314" i="17" s="1"/>
  <c r="AJ140" i="17"/>
  <c r="AK140" i="17" s="1"/>
  <c r="B120" i="17"/>
  <c r="AK120" i="17"/>
  <c r="B73" i="23"/>
  <c r="AI201" i="18"/>
  <c r="AJ157" i="18"/>
  <c r="AM157" i="18" s="1"/>
  <c r="AJ181" i="18"/>
  <c r="AM181" i="18" s="1"/>
  <c r="AI199" i="18"/>
  <c r="AJ193" i="18"/>
  <c r="AM193" i="18" s="1"/>
  <c r="AJ341" i="18"/>
  <c r="AI318" i="18"/>
  <c r="AI319" i="18"/>
  <c r="AI320" i="18"/>
  <c r="AI321" i="18"/>
  <c r="AI322" i="18"/>
  <c r="AI323" i="18"/>
  <c r="AI324" i="18"/>
  <c r="AI325" i="18"/>
  <c r="AI326" i="18"/>
  <c r="AI336" i="18"/>
  <c r="R339" i="18"/>
  <c r="S339" i="18"/>
  <c r="T339" i="18"/>
  <c r="U339" i="18"/>
  <c r="V339" i="18"/>
  <c r="W339" i="18"/>
  <c r="X339" i="18"/>
  <c r="Y339" i="18"/>
  <c r="Z339" i="18"/>
  <c r="AA339" i="18"/>
  <c r="AB339" i="18"/>
  <c r="Q339" i="18"/>
  <c r="B336" i="18"/>
  <c r="AJ335" i="18"/>
  <c r="AK335" i="18" s="1"/>
  <c r="R284" i="18"/>
  <c r="R333" i="18"/>
  <c r="S284" i="18"/>
  <c r="T284" i="18"/>
  <c r="T333" i="18"/>
  <c r="U284" i="18"/>
  <c r="U333" i="18"/>
  <c r="V284" i="18"/>
  <c r="W284" i="18"/>
  <c r="W333" i="18"/>
  <c r="X284" i="18"/>
  <c r="X333" i="18"/>
  <c r="Y284" i="18"/>
  <c r="Y333" i="18"/>
  <c r="Z284" i="18"/>
  <c r="Z333" i="18"/>
  <c r="AA284" i="18"/>
  <c r="AA333" i="18"/>
  <c r="AB284" i="18"/>
  <c r="Q284" i="18"/>
  <c r="Q333" i="18"/>
  <c r="R348" i="18"/>
  <c r="S348" i="18"/>
  <c r="T348" i="18"/>
  <c r="U348" i="18"/>
  <c r="V348" i="18"/>
  <c r="W348" i="18"/>
  <c r="X348" i="18"/>
  <c r="Z348" i="18"/>
  <c r="AB348" i="18"/>
  <c r="Q348" i="18"/>
  <c r="AI342" i="18"/>
  <c r="AI345" i="18"/>
  <c r="AI347" i="18"/>
  <c r="B342" i="18"/>
  <c r="B347" i="18"/>
  <c r="AC283" i="18"/>
  <c r="AD283" i="18" s="1"/>
  <c r="AI197" i="18"/>
  <c r="AI211" i="18"/>
  <c r="AJ216" i="18"/>
  <c r="R212" i="18"/>
  <c r="W212" i="18"/>
  <c r="AA212" i="18"/>
  <c r="Q212" i="18"/>
  <c r="AJ282" i="18"/>
  <c r="AM282" i="18" s="1"/>
  <c r="AM124" i="19"/>
  <c r="AJ123" i="19"/>
  <c r="AM123" i="19" s="1"/>
  <c r="B138" i="19"/>
  <c r="AI138" i="19"/>
  <c r="AI195" i="18"/>
  <c r="AJ190" i="18"/>
  <c r="AI243" i="18"/>
  <c r="AI245" i="18"/>
  <c r="AI247" i="18"/>
  <c r="AI248" i="18"/>
  <c r="AI250" i="18"/>
  <c r="AI252" i="18"/>
  <c r="AI254" i="18"/>
  <c r="AI256" i="18"/>
  <c r="AI258" i="18"/>
  <c r="AI259" i="18"/>
  <c r="AI260" i="18"/>
  <c r="AI274" i="18"/>
  <c r="AI273" i="18"/>
  <c r="AI272" i="18"/>
  <c r="AK274" i="18"/>
  <c r="AK273" i="18"/>
  <c r="AK272" i="18"/>
  <c r="AJ275" i="18"/>
  <c r="AL275" i="18" s="1"/>
  <c r="AC274" i="18"/>
  <c r="AC273" i="18"/>
  <c r="AD273" i="18" s="1"/>
  <c r="AC272" i="18"/>
  <c r="AD272" i="18" s="1"/>
  <c r="R275" i="18"/>
  <c r="S275" i="18"/>
  <c r="T275" i="18"/>
  <c r="U275" i="18"/>
  <c r="V275" i="18"/>
  <c r="W275" i="18"/>
  <c r="X275" i="18"/>
  <c r="Y275" i="18"/>
  <c r="Z275" i="18"/>
  <c r="AA275" i="18"/>
  <c r="AB275" i="18"/>
  <c r="Q275" i="18"/>
  <c r="B273" i="18"/>
  <c r="B274" i="18"/>
  <c r="B272" i="18"/>
  <c r="AJ278" i="18"/>
  <c r="AM278" i="18" s="1"/>
  <c r="AJ277" i="18"/>
  <c r="AI150" i="18"/>
  <c r="AI149" i="18"/>
  <c r="AI148" i="18"/>
  <c r="B62" i="23"/>
  <c r="B61" i="23"/>
  <c r="AI137" i="17"/>
  <c r="AI136" i="17"/>
  <c r="AJ138" i="17"/>
  <c r="AL138" i="17" s="1"/>
  <c r="AC136" i="17"/>
  <c r="AD136" i="17" s="1"/>
  <c r="R138" i="17"/>
  <c r="S138" i="17"/>
  <c r="T138" i="17"/>
  <c r="U138" i="17"/>
  <c r="Q138" i="17"/>
  <c r="O138" i="17"/>
  <c r="E313" i="17" s="1"/>
  <c r="B137" i="17"/>
  <c r="B136" i="17"/>
  <c r="AI75" i="17"/>
  <c r="AI76" i="17"/>
  <c r="AI77" i="17"/>
  <c r="AI78" i="17"/>
  <c r="AI79" i="17"/>
  <c r="AI80" i="17"/>
  <c r="AI81" i="17"/>
  <c r="AI83" i="17"/>
  <c r="AI84" i="17"/>
  <c r="AI85" i="17"/>
  <c r="AI88" i="17"/>
  <c r="AI89" i="17"/>
  <c r="AI90" i="17"/>
  <c r="AI91" i="17"/>
  <c r="AI93" i="17"/>
  <c r="AI95" i="17"/>
  <c r="AI97" i="17"/>
  <c r="AI98" i="17"/>
  <c r="AI100" i="17"/>
  <c r="AI101" i="17"/>
  <c r="AJ69" i="17"/>
  <c r="AK69" i="17" s="1"/>
  <c r="AJ41" i="17"/>
  <c r="AI274" i="17"/>
  <c r="B274" i="17"/>
  <c r="AK100" i="17"/>
  <c r="AK101" i="17"/>
  <c r="AK102" i="17"/>
  <c r="AK116" i="17"/>
  <c r="B100" i="17"/>
  <c r="B102" i="17"/>
  <c r="AK142" i="17"/>
  <c r="AK143" i="17"/>
  <c r="AI142" i="17"/>
  <c r="AI143" i="17"/>
  <c r="R144" i="17"/>
  <c r="S144" i="17"/>
  <c r="T144" i="17"/>
  <c r="U144" i="17"/>
  <c r="Q144" i="17"/>
  <c r="O144" i="17"/>
  <c r="E314" i="17" s="1"/>
  <c r="B142" i="17"/>
  <c r="B143" i="17"/>
  <c r="AK75" i="17"/>
  <c r="AK77" i="17"/>
  <c r="AK78" i="17"/>
  <c r="AK79" i="17"/>
  <c r="AK80" i="17"/>
  <c r="AK81" i="17"/>
  <c r="AK84" i="17"/>
  <c r="AK88" i="17"/>
  <c r="AK89" i="17"/>
  <c r="AK90" i="17"/>
  <c r="AK91" i="17"/>
  <c r="AK93" i="17"/>
  <c r="AK95" i="17"/>
  <c r="AK98" i="17"/>
  <c r="B76" i="17"/>
  <c r="B77" i="17"/>
  <c r="B78" i="17"/>
  <c r="B79" i="17"/>
  <c r="B80" i="17"/>
  <c r="B81" i="17"/>
  <c r="B83" i="17"/>
  <c r="B84" i="17"/>
  <c r="B85" i="17"/>
  <c r="B91" i="17"/>
  <c r="B93" i="17"/>
  <c r="B95" i="17"/>
  <c r="B97" i="17"/>
  <c r="B98" i="17"/>
  <c r="B75" i="17"/>
  <c r="AJ40" i="17"/>
  <c r="AM40" i="17" s="1"/>
  <c r="AJ245" i="17"/>
  <c r="AK245" i="17" s="1"/>
  <c r="AJ268" i="17"/>
  <c r="AM268" i="17" s="1"/>
  <c r="AJ263" i="17"/>
  <c r="AM263" i="17"/>
  <c r="AJ23" i="17"/>
  <c r="AK23" i="17" s="1"/>
  <c r="AJ57" i="17"/>
  <c r="AM57" i="17" s="1"/>
  <c r="AJ58" i="17"/>
  <c r="AJ226" i="17"/>
  <c r="AJ36" i="17"/>
  <c r="AM36" i="17" s="1"/>
  <c r="AJ59" i="17"/>
  <c r="AJ54" i="17"/>
  <c r="AK54" i="17" s="1"/>
  <c r="AJ48" i="17"/>
  <c r="AM48" i="17" s="1"/>
  <c r="AJ219" i="17"/>
  <c r="AJ55" i="17"/>
  <c r="AM55" i="17"/>
  <c r="AJ53" i="17"/>
  <c r="AM53" i="17" s="1"/>
  <c r="AJ49" i="17"/>
  <c r="AM49" i="17"/>
  <c r="AJ42" i="17"/>
  <c r="AM42" i="17" s="1"/>
  <c r="AJ35" i="17"/>
  <c r="AJ289" i="17"/>
  <c r="AJ291" i="17" s="1"/>
  <c r="AL291" i="17" s="1"/>
  <c r="AI145" i="18"/>
  <c r="AI144" i="18"/>
  <c r="AI143" i="18"/>
  <c r="AJ146" i="18"/>
  <c r="AL146" i="18" s="1"/>
  <c r="AC145" i="18"/>
  <c r="AD145" i="18" s="1"/>
  <c r="AC144" i="18"/>
  <c r="AD144" i="18" s="1"/>
  <c r="AC143" i="18"/>
  <c r="AD143" i="18" s="1"/>
  <c r="AC137" i="18"/>
  <c r="AD137" i="18" s="1"/>
  <c r="R146" i="18"/>
  <c r="S146" i="18"/>
  <c r="T146" i="18"/>
  <c r="U146" i="18"/>
  <c r="V146" i="18"/>
  <c r="W146" i="18"/>
  <c r="X146" i="18"/>
  <c r="Y146" i="18"/>
  <c r="Z146" i="18"/>
  <c r="AA146" i="18"/>
  <c r="AB146" i="18"/>
  <c r="Q146" i="18"/>
  <c r="AK145" i="18"/>
  <c r="AK144" i="18"/>
  <c r="B144" i="18"/>
  <c r="B145" i="18"/>
  <c r="B143" i="18"/>
  <c r="AI140" i="18"/>
  <c r="AI139" i="18"/>
  <c r="AI137" i="18"/>
  <c r="AK140" i="18"/>
  <c r="R141" i="18"/>
  <c r="S141" i="18"/>
  <c r="T141" i="18"/>
  <c r="U141" i="18"/>
  <c r="V141" i="18"/>
  <c r="W141" i="18"/>
  <c r="X141" i="18"/>
  <c r="Y141" i="18"/>
  <c r="Z141" i="18"/>
  <c r="AA141" i="18"/>
  <c r="AB141" i="18"/>
  <c r="Q141" i="18"/>
  <c r="B140" i="18"/>
  <c r="B137" i="18"/>
  <c r="O121" i="19"/>
  <c r="O23" i="17"/>
  <c r="B20" i="17"/>
  <c r="B21" i="17"/>
  <c r="B22" i="17"/>
  <c r="B24" i="17"/>
  <c r="B25" i="17"/>
  <c r="B26"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8" i="17"/>
  <c r="B59" i="17"/>
  <c r="B60" i="17"/>
  <c r="B61" i="17"/>
  <c r="B63" i="17"/>
  <c r="B65" i="17"/>
  <c r="B70" i="17"/>
  <c r="B71" i="17"/>
  <c r="B72" i="17"/>
  <c r="B73" i="17"/>
  <c r="B74" i="17"/>
  <c r="C312" i="17"/>
  <c r="B131" i="17"/>
  <c r="B132" i="17"/>
  <c r="B140" i="17"/>
  <c r="B141" i="17"/>
  <c r="B146" i="17"/>
  <c r="B148" i="17"/>
  <c r="B150" i="17"/>
  <c r="B151" i="17"/>
  <c r="B153" i="17"/>
  <c r="B154" i="17"/>
  <c r="B155" i="17"/>
  <c r="B156" i="17"/>
  <c r="B157" i="17"/>
  <c r="B160" i="17"/>
  <c r="B163" i="17"/>
  <c r="B198" i="17"/>
  <c r="B199" i="17"/>
  <c r="B204" i="17"/>
  <c r="B208" i="17"/>
  <c r="B209" i="17"/>
  <c r="B211" i="17"/>
  <c r="B218" i="17"/>
  <c r="B219" i="17"/>
  <c r="B220" i="17"/>
  <c r="B222" i="17"/>
  <c r="B223" i="17"/>
  <c r="B224" i="17"/>
  <c r="B225" i="17"/>
  <c r="B227" i="17"/>
  <c r="B229" i="17"/>
  <c r="B230" i="17"/>
  <c r="B231" i="17"/>
  <c r="B232" i="17"/>
  <c r="B233" i="17"/>
  <c r="B234" i="17"/>
  <c r="B235" i="17"/>
  <c r="B236" i="17"/>
  <c r="B238" i="17"/>
  <c r="B239" i="17"/>
  <c r="B243" i="17"/>
  <c r="B244" i="17"/>
  <c r="B245" i="17"/>
  <c r="B246" i="17"/>
  <c r="B247" i="17"/>
  <c r="B249" i="17"/>
  <c r="B250" i="17"/>
  <c r="B251" i="17"/>
  <c r="B252" i="17"/>
  <c r="B254" i="17"/>
  <c r="B255" i="17"/>
  <c r="B256" i="17"/>
  <c r="B257" i="17"/>
  <c r="B258" i="17"/>
  <c r="B259" i="17"/>
  <c r="B260" i="17"/>
  <c r="B263" i="17"/>
  <c r="B265" i="17"/>
  <c r="B268" i="17"/>
  <c r="B289" i="17"/>
  <c r="B290" i="17"/>
  <c r="B19" i="17"/>
  <c r="M121" i="19"/>
  <c r="C99" i="23"/>
  <c r="D99" i="23" s="1"/>
  <c r="B99" i="23"/>
  <c r="D98" i="23"/>
  <c r="A78" i="23"/>
  <c r="B74" i="23"/>
  <c r="B72" i="23"/>
  <c r="B69" i="23"/>
  <c r="B68" i="23"/>
  <c r="B67" i="23"/>
  <c r="A64" i="23"/>
  <c r="B63" i="23"/>
  <c r="B57" i="23"/>
  <c r="B51" i="23"/>
  <c r="A50" i="23"/>
  <c r="A45" i="23"/>
  <c r="A34" i="23"/>
  <c r="B18" i="23"/>
  <c r="C516" i="18"/>
  <c r="AB472" i="18"/>
  <c r="AA472" i="18"/>
  <c r="Z472" i="18"/>
  <c r="Y472" i="18"/>
  <c r="X472" i="18"/>
  <c r="W472" i="18"/>
  <c r="V472" i="18"/>
  <c r="U472" i="18"/>
  <c r="T472" i="18"/>
  <c r="S472" i="18"/>
  <c r="R472" i="18"/>
  <c r="Q472" i="18"/>
  <c r="O472" i="18"/>
  <c r="B472" i="18"/>
  <c r="AK471" i="18"/>
  <c r="AK472" i="18" s="1"/>
  <c r="AI471" i="18"/>
  <c r="AC471" i="18"/>
  <c r="AD471" i="18" s="1"/>
  <c r="AD472" i="18" s="1"/>
  <c r="AC470" i="18"/>
  <c r="AD470" i="18" s="1"/>
  <c r="AJ469" i="18"/>
  <c r="AL469" i="18" s="1"/>
  <c r="AA469" i="18"/>
  <c r="Z469" i="18"/>
  <c r="Y469" i="18"/>
  <c r="W469" i="18"/>
  <c r="V469" i="18"/>
  <c r="T469" i="18"/>
  <c r="R469" i="18"/>
  <c r="Q469" i="18"/>
  <c r="AK468" i="18"/>
  <c r="AI468" i="18"/>
  <c r="AI467" i="18"/>
  <c r="AI465" i="18"/>
  <c r="S465" i="18"/>
  <c r="AK463" i="18"/>
  <c r="AI463" i="18"/>
  <c r="AC463" i="18"/>
  <c r="AD463" i="18" s="1"/>
  <c r="AA461" i="18"/>
  <c r="Y461" i="18"/>
  <c r="X461" i="18"/>
  <c r="V461" i="18"/>
  <c r="T461" i="18"/>
  <c r="R461" i="18"/>
  <c r="Q461" i="18"/>
  <c r="AI460" i="18"/>
  <c r="AJ448" i="18"/>
  <c r="AI448" i="18"/>
  <c r="AI445" i="18"/>
  <c r="S445" i="18"/>
  <c r="AC445" i="18" s="1"/>
  <c r="AD445" i="18" s="1"/>
  <c r="AI443" i="18"/>
  <c r="S443" i="18"/>
  <c r="AC443" i="18" s="1"/>
  <c r="AD443" i="18" s="1"/>
  <c r="AI440" i="18"/>
  <c r="S440" i="18"/>
  <c r="AC440" i="18" s="1"/>
  <c r="AD440" i="18" s="1"/>
  <c r="AJ438" i="18"/>
  <c r="AI438" i="18"/>
  <c r="AI435" i="18"/>
  <c r="AI433" i="18"/>
  <c r="AI432" i="18"/>
  <c r="AI430" i="18"/>
  <c r="AI428" i="18"/>
  <c r="S428" i="18"/>
  <c r="AC428" i="18" s="1"/>
  <c r="AD428" i="18" s="1"/>
  <c r="AI426" i="18"/>
  <c r="S426" i="18"/>
  <c r="AC426" i="18" s="1"/>
  <c r="AD426" i="18" s="1"/>
  <c r="AI424" i="18"/>
  <c r="S424" i="18"/>
  <c r="AC424" i="18" s="1"/>
  <c r="AD424" i="18" s="1"/>
  <c r="AI421" i="18"/>
  <c r="S421" i="18"/>
  <c r="AC421" i="18" s="1"/>
  <c r="AD421" i="18" s="1"/>
  <c r="AI420" i="18"/>
  <c r="S420" i="18"/>
  <c r="AC420" i="18" s="1"/>
  <c r="AD420" i="18" s="1"/>
  <c r="AI418" i="18"/>
  <c r="S418" i="18"/>
  <c r="AC418" i="18" s="1"/>
  <c r="AD418" i="18" s="1"/>
  <c r="AI415" i="18"/>
  <c r="S415" i="18"/>
  <c r="AC415" i="18" s="1"/>
  <c r="AD415" i="18" s="1"/>
  <c r="AI413" i="18"/>
  <c r="S413" i="18"/>
  <c r="AC413" i="18" s="1"/>
  <c r="AD413" i="18" s="1"/>
  <c r="AI412" i="18"/>
  <c r="S412" i="18"/>
  <c r="AC412" i="18" s="1"/>
  <c r="AD412" i="18" s="1"/>
  <c r="AI409" i="18"/>
  <c r="S409" i="18"/>
  <c r="AC409" i="18" s="1"/>
  <c r="AD409" i="18" s="1"/>
  <c r="AI407" i="18"/>
  <c r="S407" i="18"/>
  <c r="AC407" i="18" s="1"/>
  <c r="AD407" i="18" s="1"/>
  <c r="AJ404" i="18"/>
  <c r="AM404" i="18" s="1"/>
  <c r="AI404" i="18"/>
  <c r="AI402" i="18"/>
  <c r="AI400" i="18"/>
  <c r="S400" i="18"/>
  <c r="AC400" i="18" s="1"/>
  <c r="AD400" i="18" s="1"/>
  <c r="AI398" i="18"/>
  <c r="S398" i="18"/>
  <c r="AC398" i="18" s="1"/>
  <c r="AD398" i="18" s="1"/>
  <c r="AI395" i="18"/>
  <c r="S395" i="18"/>
  <c r="AC395" i="18" s="1"/>
  <c r="AD395" i="18" s="1"/>
  <c r="AI392" i="18"/>
  <c r="S392" i="18"/>
  <c r="AC392" i="18" s="1"/>
  <c r="AD392" i="18" s="1"/>
  <c r="AI389" i="18"/>
  <c r="S389" i="18"/>
  <c r="AC389" i="18" s="1"/>
  <c r="AD389" i="18" s="1"/>
  <c r="AI387" i="18"/>
  <c r="S387" i="18"/>
  <c r="AC387" i="18" s="1"/>
  <c r="AD387" i="18" s="1"/>
  <c r="AI384" i="18"/>
  <c r="AI382" i="18"/>
  <c r="S382" i="18"/>
  <c r="AC382" i="18" s="1"/>
  <c r="AD382" i="18" s="1"/>
  <c r="AI380" i="18"/>
  <c r="S380" i="18"/>
  <c r="AC380" i="18" s="1"/>
  <c r="AD380" i="18" s="1"/>
  <c r="AI378" i="18"/>
  <c r="S378" i="18"/>
  <c r="AC378" i="18" s="1"/>
  <c r="AD378" i="18" s="1"/>
  <c r="AI375" i="18"/>
  <c r="AI372" i="18"/>
  <c r="AI370" i="18"/>
  <c r="S370" i="18"/>
  <c r="AC370" i="18" s="1"/>
  <c r="AD370" i="18" s="1"/>
  <c r="AI369" i="18"/>
  <c r="S367" i="18"/>
  <c r="AC367" i="18" s="1"/>
  <c r="AD367" i="18" s="1"/>
  <c r="AI364" i="18"/>
  <c r="S364" i="18"/>
  <c r="AC364" i="18" s="1"/>
  <c r="AD364" i="18" s="1"/>
  <c r="AK362" i="18"/>
  <c r="AI362" i="18"/>
  <c r="S362" i="18"/>
  <c r="AC362" i="18" s="1"/>
  <c r="AD362" i="18" s="1"/>
  <c r="B362" i="18"/>
  <c r="AH351" i="18"/>
  <c r="AG351" i="18"/>
  <c r="AB351" i="18"/>
  <c r="AA351" i="18"/>
  <c r="Z351" i="18"/>
  <c r="Y351" i="18"/>
  <c r="X351" i="18"/>
  <c r="W351" i="18"/>
  <c r="V351" i="18"/>
  <c r="U351" i="18"/>
  <c r="T351" i="18"/>
  <c r="S351" i="18"/>
  <c r="R351" i="18"/>
  <c r="Q351" i="18"/>
  <c r="O351" i="18"/>
  <c r="D69" i="23" s="1"/>
  <c r="AI350" i="18"/>
  <c r="AI351" i="18" s="1"/>
  <c r="AC350" i="18"/>
  <c r="AD350" i="18" s="1"/>
  <c r="AD351" i="18" s="1"/>
  <c r="B350" i="18"/>
  <c r="B351" i="18" s="1"/>
  <c r="AJ70" i="18"/>
  <c r="AL70" i="18" s="1"/>
  <c r="AJ79" i="18"/>
  <c r="AL79" i="18" s="1"/>
  <c r="AJ135" i="18"/>
  <c r="AL135" i="18" s="1"/>
  <c r="AH348" i="18"/>
  <c r="AG348" i="18"/>
  <c r="AI341" i="18"/>
  <c r="AI348" i="18" s="1"/>
  <c r="AC341" i="18"/>
  <c r="AD341" i="18" s="1"/>
  <c r="B341" i="18"/>
  <c r="AH339" i="18"/>
  <c r="AG339" i="18"/>
  <c r="AI335" i="18"/>
  <c r="AI339" i="18" s="1"/>
  <c r="AC335" i="18"/>
  <c r="B335" i="18"/>
  <c r="AI317" i="18"/>
  <c r="AI316" i="18"/>
  <c r="AI315" i="18"/>
  <c r="AI313" i="18"/>
  <c r="S313" i="18"/>
  <c r="AC313" i="18" s="1"/>
  <c r="AD313" i="18" s="1"/>
  <c r="AI311" i="18"/>
  <c r="S311" i="18"/>
  <c r="AC311" i="18" s="1"/>
  <c r="AD311" i="18" s="1"/>
  <c r="AJ310" i="18"/>
  <c r="AM310" i="18" s="1"/>
  <c r="AI310" i="18"/>
  <c r="S310" i="18"/>
  <c r="AC310" i="18" s="1"/>
  <c r="AD310" i="18" s="1"/>
  <c r="AI308" i="18"/>
  <c r="AI307" i="18"/>
  <c r="S307" i="18"/>
  <c r="AC307" i="18" s="1"/>
  <c r="AD307" i="18" s="1"/>
  <c r="AI305" i="18"/>
  <c r="AI303" i="18"/>
  <c r="S303" i="18"/>
  <c r="AC303" i="18" s="1"/>
  <c r="AD303" i="18" s="1"/>
  <c r="AI301" i="18"/>
  <c r="S301" i="18"/>
  <c r="AC301" i="18" s="1"/>
  <c r="AD301" i="18" s="1"/>
  <c r="AM300" i="18"/>
  <c r="AI300" i="18"/>
  <c r="AI298" i="18"/>
  <c r="S298" i="18"/>
  <c r="AC298" i="18" s="1"/>
  <c r="AD298" i="18" s="1"/>
  <c r="AI296" i="18"/>
  <c r="S296" i="18"/>
  <c r="AC296" i="18" s="1"/>
  <c r="AD296" i="18" s="1"/>
  <c r="AI294" i="18"/>
  <c r="S294" i="18"/>
  <c r="AC294" i="18" s="1"/>
  <c r="AD294" i="18" s="1"/>
  <c r="AI292" i="18"/>
  <c r="S292" i="18"/>
  <c r="AC292" i="18" s="1"/>
  <c r="AD292" i="18" s="1"/>
  <c r="AI290" i="18"/>
  <c r="S290" i="18"/>
  <c r="AC290" i="18" s="1"/>
  <c r="AD290" i="18" s="1"/>
  <c r="AI288" i="18"/>
  <c r="S288" i="18"/>
  <c r="AC288" i="18" s="1"/>
  <c r="AD288" i="18" s="1"/>
  <c r="B288" i="18"/>
  <c r="AI287" i="18"/>
  <c r="B287" i="18"/>
  <c r="AI286" i="18"/>
  <c r="AC286" i="18"/>
  <c r="AD286" i="18" s="1"/>
  <c r="B286" i="18"/>
  <c r="AH284" i="18"/>
  <c r="AH333" i="18"/>
  <c r="AG284" i="18"/>
  <c r="AG333" i="18"/>
  <c r="AF284" i="18"/>
  <c r="AI282" i="18"/>
  <c r="AI284" i="18" s="1"/>
  <c r="AC282" i="18"/>
  <c r="AD282" i="18" s="1"/>
  <c r="B282" i="18"/>
  <c r="AB279" i="18"/>
  <c r="AA279" i="18"/>
  <c r="Z279" i="18"/>
  <c r="Y279" i="18"/>
  <c r="X279" i="18"/>
  <c r="W279" i="18"/>
  <c r="V279" i="18"/>
  <c r="U279" i="18"/>
  <c r="T279" i="18"/>
  <c r="S279" i="18"/>
  <c r="R279" i="18"/>
  <c r="Q279" i="18"/>
  <c r="AI278" i="18"/>
  <c r="AC278" i="18"/>
  <c r="AD278" i="18" s="1"/>
  <c r="B278" i="18"/>
  <c r="AI277" i="18"/>
  <c r="AC277" i="18"/>
  <c r="B277" i="18"/>
  <c r="AA270" i="18"/>
  <c r="Z270" i="18"/>
  <c r="Y270" i="18"/>
  <c r="W270" i="18"/>
  <c r="V270" i="18"/>
  <c r="R270" i="18"/>
  <c r="Q270" i="18"/>
  <c r="AI242" i="18"/>
  <c r="AI241" i="18"/>
  <c r="S241" i="18"/>
  <c r="AC241" i="18" s="1"/>
  <c r="AD241" i="18" s="1"/>
  <c r="AI240" i="18"/>
  <c r="S240" i="18"/>
  <c r="AC240" i="18" s="1"/>
  <c r="AD240" i="18" s="1"/>
  <c r="AI238" i="18"/>
  <c r="S238" i="18"/>
  <c r="AC238" i="18" s="1"/>
  <c r="AD238" i="18" s="1"/>
  <c r="AI236" i="18"/>
  <c r="S236" i="18"/>
  <c r="AC236" i="18" s="1"/>
  <c r="AD236" i="18" s="1"/>
  <c r="AI235" i="18"/>
  <c r="S235" i="18"/>
  <c r="AC235" i="18" s="1"/>
  <c r="AD235" i="18" s="1"/>
  <c r="AI233" i="18"/>
  <c r="S233" i="18"/>
  <c r="AC233" i="18" s="1"/>
  <c r="AD233" i="18" s="1"/>
  <c r="AI231" i="18"/>
  <c r="S231" i="18"/>
  <c r="AC231" i="18" s="1"/>
  <c r="AD231" i="18" s="1"/>
  <c r="AI230" i="18"/>
  <c r="AI228" i="18"/>
  <c r="AI227" i="18"/>
  <c r="S227" i="18"/>
  <c r="AC227" i="18" s="1"/>
  <c r="AD227" i="18" s="1"/>
  <c r="AI226" i="18"/>
  <c r="S226" i="18"/>
  <c r="AC226" i="18" s="1"/>
  <c r="AD226" i="18" s="1"/>
  <c r="AI225" i="18"/>
  <c r="S225" i="18"/>
  <c r="AC225" i="18" s="1"/>
  <c r="AD225" i="18" s="1"/>
  <c r="AI224" i="18"/>
  <c r="S224" i="18"/>
  <c r="AC224" i="18" s="1"/>
  <c r="AD224" i="18" s="1"/>
  <c r="AI223" i="18"/>
  <c r="S223" i="18"/>
  <c r="AC223" i="18" s="1"/>
  <c r="AD223" i="18" s="1"/>
  <c r="AI222" i="18"/>
  <c r="S222" i="18"/>
  <c r="AC222" i="18" s="1"/>
  <c r="AD222" i="18" s="1"/>
  <c r="AI221" i="18"/>
  <c r="S221" i="18"/>
  <c r="AC221" i="18" s="1"/>
  <c r="AD221" i="18" s="1"/>
  <c r="AI220" i="18"/>
  <c r="S220" i="18"/>
  <c r="AC220" i="18" s="1"/>
  <c r="AD220" i="18" s="1"/>
  <c r="AI218" i="18"/>
  <c r="S218" i="18"/>
  <c r="AC218" i="18" s="1"/>
  <c r="AD218" i="18" s="1"/>
  <c r="B218" i="18"/>
  <c r="AI217" i="18"/>
  <c r="S217" i="18"/>
  <c r="AC217" i="18" s="1"/>
  <c r="AD217" i="18" s="1"/>
  <c r="B217" i="18"/>
  <c r="AI216" i="18"/>
  <c r="B216" i="18"/>
  <c r="AK215" i="18"/>
  <c r="AI215" i="18"/>
  <c r="AC215" i="18"/>
  <c r="AD215" i="18" s="1"/>
  <c r="B215" i="18"/>
  <c r="AI194" i="18"/>
  <c r="AI193" i="18"/>
  <c r="AI191" i="18"/>
  <c r="S191" i="18"/>
  <c r="AC191" i="18" s="1"/>
  <c r="AD191" i="18" s="1"/>
  <c r="AI190" i="18"/>
  <c r="S190" i="18"/>
  <c r="AC190" i="18" s="1"/>
  <c r="AD190" i="18" s="1"/>
  <c r="AI189" i="18"/>
  <c r="AI187" i="18"/>
  <c r="S187" i="18"/>
  <c r="AC187" i="18" s="1"/>
  <c r="AD187" i="18" s="1"/>
  <c r="AI185" i="18"/>
  <c r="AI184" i="18"/>
  <c r="S184" i="18"/>
  <c r="AC184" i="18" s="1"/>
  <c r="AD184" i="18" s="1"/>
  <c r="AI182" i="18"/>
  <c r="S182" i="18"/>
  <c r="AC182" i="18" s="1"/>
  <c r="AD182" i="18" s="1"/>
  <c r="AI181" i="18"/>
  <c r="AI180" i="18"/>
  <c r="S180" i="18"/>
  <c r="AC180" i="18" s="1"/>
  <c r="AD180" i="18" s="1"/>
  <c r="AI179" i="18"/>
  <c r="S179" i="18"/>
  <c r="AC179" i="18" s="1"/>
  <c r="AD179" i="18" s="1"/>
  <c r="AI177" i="18"/>
  <c r="S177" i="18"/>
  <c r="AC177" i="18" s="1"/>
  <c r="AD177" i="18" s="1"/>
  <c r="AI176" i="18"/>
  <c r="AI175" i="18"/>
  <c r="S175" i="18"/>
  <c r="AC175" i="18" s="1"/>
  <c r="AD175" i="18" s="1"/>
  <c r="AI172" i="18"/>
  <c r="S172" i="18"/>
  <c r="AC172" i="18" s="1"/>
  <c r="AD172" i="18" s="1"/>
  <c r="AI170" i="18"/>
  <c r="AI168" i="18"/>
  <c r="S168" i="18"/>
  <c r="AC168" i="18" s="1"/>
  <c r="AD168" i="18" s="1"/>
  <c r="AI166" i="18"/>
  <c r="S166" i="18"/>
  <c r="AC166" i="18" s="1"/>
  <c r="AD166" i="18" s="1"/>
  <c r="AI165" i="18"/>
  <c r="AI163" i="18"/>
  <c r="S163" i="18"/>
  <c r="AC163" i="18" s="1"/>
  <c r="AD163" i="18" s="1"/>
  <c r="AI161" i="18"/>
  <c r="AI159" i="18"/>
  <c r="S159" i="18"/>
  <c r="AC159" i="18" s="1"/>
  <c r="AD159" i="18" s="1"/>
  <c r="AI158" i="18"/>
  <c r="S158" i="18"/>
  <c r="AC158" i="18" s="1"/>
  <c r="AD158" i="18" s="1"/>
  <c r="AI157" i="18"/>
  <c r="AK155" i="18"/>
  <c r="AI155" i="18"/>
  <c r="S155" i="18"/>
  <c r="AC155" i="18" s="1"/>
  <c r="B155" i="18"/>
  <c r="AH135" i="18"/>
  <c r="AG135" i="18"/>
  <c r="AB135" i="18"/>
  <c r="AA135" i="18"/>
  <c r="Z135" i="18"/>
  <c r="Y135" i="18"/>
  <c r="X135" i="18"/>
  <c r="W135" i="18"/>
  <c r="V135" i="18"/>
  <c r="U135" i="18"/>
  <c r="T135" i="18"/>
  <c r="S135" i="18"/>
  <c r="R135" i="18"/>
  <c r="Q135" i="18"/>
  <c r="AI134" i="18"/>
  <c r="AI135" i="18" s="1"/>
  <c r="AC134" i="18"/>
  <c r="AC135" i="18" s="1"/>
  <c r="AH127" i="18"/>
  <c r="AG127" i="18"/>
  <c r="AK124" i="18"/>
  <c r="AI124" i="18"/>
  <c r="AI127" i="18" s="1"/>
  <c r="AC124" i="18"/>
  <c r="B124" i="18"/>
  <c r="AH115" i="18"/>
  <c r="AG115" i="18"/>
  <c r="AB115" i="18"/>
  <c r="AA115" i="18"/>
  <c r="Z115" i="18"/>
  <c r="Y115" i="18"/>
  <c r="X115" i="18"/>
  <c r="W115" i="18"/>
  <c r="V115" i="18"/>
  <c r="U115" i="18"/>
  <c r="T115" i="18"/>
  <c r="R115" i="18"/>
  <c r="Q115" i="18"/>
  <c r="AK114" i="18"/>
  <c r="AI114" i="18"/>
  <c r="B114" i="18"/>
  <c r="AK113" i="18"/>
  <c r="AI113" i="18"/>
  <c r="B113" i="18"/>
  <c r="AK112" i="18"/>
  <c r="AI112" i="18"/>
  <c r="B112" i="18"/>
  <c r="AI111" i="18"/>
  <c r="B111" i="18"/>
  <c r="AI110" i="18"/>
  <c r="S110" i="18"/>
  <c r="AC110" i="18" s="1"/>
  <c r="AD110" i="18" s="1"/>
  <c r="B110" i="18"/>
  <c r="AI108" i="18"/>
  <c r="AC108" i="18"/>
  <c r="AD108" i="18" s="1"/>
  <c r="B108" i="18"/>
  <c r="AH106" i="18"/>
  <c r="AG106" i="18"/>
  <c r="AB106" i="18"/>
  <c r="AA106" i="18"/>
  <c r="Z106" i="18"/>
  <c r="Y106" i="18"/>
  <c r="X106" i="18"/>
  <c r="W106" i="18"/>
  <c r="V106" i="18"/>
  <c r="U106" i="18"/>
  <c r="T106" i="18"/>
  <c r="S106" i="18"/>
  <c r="R106" i="18"/>
  <c r="Q106" i="18"/>
  <c r="AI105" i="18"/>
  <c r="B105" i="18"/>
  <c r="AK104" i="18"/>
  <c r="AI104" i="18"/>
  <c r="B104" i="18"/>
  <c r="AI103" i="18"/>
  <c r="B103" i="18"/>
  <c r="AK102" i="18"/>
  <c r="AI102" i="18"/>
  <c r="AK100" i="18"/>
  <c r="AI100" i="18"/>
  <c r="AC100" i="18"/>
  <c r="AD100" i="18" s="1"/>
  <c r="B100" i="18"/>
  <c r="AB98" i="18"/>
  <c r="AA98" i="18"/>
  <c r="Z98" i="18"/>
  <c r="Y98" i="18"/>
  <c r="X98" i="18"/>
  <c r="W98" i="18"/>
  <c r="V98" i="18"/>
  <c r="U98" i="18"/>
  <c r="T98" i="18"/>
  <c r="S98" i="18"/>
  <c r="R98" i="18"/>
  <c r="Q98" i="18"/>
  <c r="AK97" i="18"/>
  <c r="AI97" i="18"/>
  <c r="AC97" i="18"/>
  <c r="AD97" i="18" s="1"/>
  <c r="B97" i="18"/>
  <c r="AK96" i="18"/>
  <c r="AI96" i="18"/>
  <c r="AC96" i="18"/>
  <c r="B96" i="18"/>
  <c r="AK94" i="18"/>
  <c r="AI94" i="18"/>
  <c r="AC94" i="18"/>
  <c r="AD94" i="18" s="1"/>
  <c r="B94" i="18"/>
  <c r="AK93" i="18"/>
  <c r="AI93" i="18"/>
  <c r="AC93" i="18"/>
  <c r="AD93" i="18" s="1"/>
  <c r="B93" i="18"/>
  <c r="AH91" i="18"/>
  <c r="AG91" i="18"/>
  <c r="AB91" i="18"/>
  <c r="AA91" i="18"/>
  <c r="Z91" i="18"/>
  <c r="Y91" i="18"/>
  <c r="X91" i="18"/>
  <c r="W91" i="18"/>
  <c r="V91" i="18"/>
  <c r="U91" i="18"/>
  <c r="T91" i="18"/>
  <c r="S91" i="18"/>
  <c r="R91" i="18"/>
  <c r="Q91" i="18"/>
  <c r="AI90" i="18"/>
  <c r="AI91" i="18" s="1"/>
  <c r="AC90" i="18"/>
  <c r="AC91" i="18" s="1"/>
  <c r="E54" i="23" s="1"/>
  <c r="B90" i="18"/>
  <c r="B56" i="23"/>
  <c r="AH88" i="18"/>
  <c r="AG88" i="18"/>
  <c r="AB88" i="18"/>
  <c r="AA88" i="18"/>
  <c r="Z88" i="18"/>
  <c r="Y88" i="18"/>
  <c r="X88" i="18"/>
  <c r="W88" i="18"/>
  <c r="V88" i="18"/>
  <c r="U88" i="18"/>
  <c r="T88" i="18"/>
  <c r="S88" i="18"/>
  <c r="R88" i="18"/>
  <c r="Q88" i="18"/>
  <c r="O88" i="18"/>
  <c r="AI87" i="18"/>
  <c r="AI88" i="18" s="1"/>
  <c r="AC87" i="18"/>
  <c r="AC88" i="18" s="1"/>
  <c r="B87" i="18"/>
  <c r="AH85" i="18"/>
  <c r="AG85" i="18"/>
  <c r="AB85" i="18"/>
  <c r="AA85" i="18"/>
  <c r="Z85" i="18"/>
  <c r="Y85" i="18"/>
  <c r="X85" i="18"/>
  <c r="W85" i="18"/>
  <c r="V85" i="18"/>
  <c r="U85" i="18"/>
  <c r="T85" i="18"/>
  <c r="S85" i="18"/>
  <c r="R85" i="18"/>
  <c r="Q85" i="18"/>
  <c r="O85" i="18"/>
  <c r="AI84" i="18"/>
  <c r="AI85" i="18" s="1"/>
  <c r="AC84" i="18"/>
  <c r="AC85" i="18" s="1"/>
  <c r="B84" i="18"/>
  <c r="B85" i="18" s="1"/>
  <c r="B55" i="23"/>
  <c r="AH79" i="18"/>
  <c r="AG79" i="18"/>
  <c r="AB79" i="18"/>
  <c r="AA79" i="18"/>
  <c r="Z79" i="18"/>
  <c r="Y79" i="18"/>
  <c r="X79" i="18"/>
  <c r="W79" i="18"/>
  <c r="V79" i="18"/>
  <c r="U79" i="18"/>
  <c r="T79" i="18"/>
  <c r="S79" i="18"/>
  <c r="R79" i="18"/>
  <c r="Q79" i="18"/>
  <c r="O79" i="18"/>
  <c r="AK78" i="18"/>
  <c r="AK79" i="18" s="1"/>
  <c r="AI78" i="18"/>
  <c r="AI79" i="18" s="1"/>
  <c r="AC78" i="18"/>
  <c r="AD78" i="18" s="1"/>
  <c r="AD79" i="18" s="1"/>
  <c r="B78" i="18"/>
  <c r="B79" i="18" s="1"/>
  <c r="AH76" i="18"/>
  <c r="AG76" i="18"/>
  <c r="AB76" i="18"/>
  <c r="AA76" i="18"/>
  <c r="Z76" i="18"/>
  <c r="Y76" i="18"/>
  <c r="X76" i="18"/>
  <c r="W76" i="18"/>
  <c r="V76" i="18"/>
  <c r="U76" i="18"/>
  <c r="T76" i="18"/>
  <c r="S76" i="18"/>
  <c r="R76" i="18"/>
  <c r="Q76" i="18"/>
  <c r="O76" i="18"/>
  <c r="AK75" i="18"/>
  <c r="AK76" i="18" s="1"/>
  <c r="AI75" i="18"/>
  <c r="AI76" i="18" s="1"/>
  <c r="AC75" i="18"/>
  <c r="B75" i="18"/>
  <c r="AH73" i="18"/>
  <c r="AG73" i="18"/>
  <c r="AB73" i="18"/>
  <c r="AA73" i="18"/>
  <c r="Z73" i="18"/>
  <c r="Y73" i="18"/>
  <c r="X73" i="18"/>
  <c r="W73" i="18"/>
  <c r="V73" i="18"/>
  <c r="U73" i="18"/>
  <c r="T73" i="18"/>
  <c r="S73" i="18"/>
  <c r="R73" i="18"/>
  <c r="Q73" i="18"/>
  <c r="O73" i="18"/>
  <c r="AI72" i="18"/>
  <c r="AI73" i="18" s="1"/>
  <c r="AC72" i="18"/>
  <c r="AD72" i="18" s="1"/>
  <c r="AD73" i="18" s="1"/>
  <c r="B72" i="18"/>
  <c r="B73" i="18" s="1"/>
  <c r="AH70" i="18"/>
  <c r="AG70" i="18"/>
  <c r="AB70" i="18"/>
  <c r="AA70" i="18"/>
  <c r="Z70" i="18"/>
  <c r="Y70" i="18"/>
  <c r="X70" i="18"/>
  <c r="W70" i="18"/>
  <c r="V70" i="18"/>
  <c r="U70" i="18"/>
  <c r="T70" i="18"/>
  <c r="S70" i="18"/>
  <c r="R70" i="18"/>
  <c r="Q70" i="18"/>
  <c r="O70" i="18"/>
  <c r="AK69" i="18"/>
  <c r="AK70" i="18" s="1"/>
  <c r="AI69" i="18"/>
  <c r="AI70" i="18" s="1"/>
  <c r="AC69" i="18"/>
  <c r="AC70" i="18" s="1"/>
  <c r="B69" i="18"/>
  <c r="B70" i="18" s="1"/>
  <c r="AH67" i="18"/>
  <c r="AG67" i="18"/>
  <c r="AB67" i="18"/>
  <c r="AA67" i="18"/>
  <c r="Z67" i="18"/>
  <c r="Y67" i="18"/>
  <c r="X67" i="18"/>
  <c r="W67" i="18"/>
  <c r="U67" i="18"/>
  <c r="T67" i="18"/>
  <c r="R67" i="18"/>
  <c r="Q67" i="18"/>
  <c r="AI66" i="18"/>
  <c r="AI67" i="18" s="1"/>
  <c r="B66" i="18"/>
  <c r="AI65" i="18"/>
  <c r="AK64" i="18"/>
  <c r="AI64" i="18"/>
  <c r="B64" i="18"/>
  <c r="AK63" i="18"/>
  <c r="AI63" i="18"/>
  <c r="S63" i="18"/>
  <c r="AC63" i="18" s="1"/>
  <c r="AD63" i="18" s="1"/>
  <c r="B63" i="18"/>
  <c r="AB24" i="18"/>
  <c r="AA24" i="18"/>
  <c r="Z24" i="18"/>
  <c r="Y24" i="18"/>
  <c r="X24" i="18"/>
  <c r="W24" i="18"/>
  <c r="V24" i="18"/>
  <c r="U24" i="18"/>
  <c r="T24" i="18"/>
  <c r="S24" i="18"/>
  <c r="R24" i="18"/>
  <c r="Q24" i="18"/>
  <c r="AK23" i="18"/>
  <c r="AC23" i="18"/>
  <c r="B23" i="18"/>
  <c r="AK22" i="18"/>
  <c r="AI22" i="18"/>
  <c r="AC22" i="18"/>
  <c r="AD22" i="18" s="1"/>
  <c r="B22" i="18"/>
  <c r="AK21" i="18"/>
  <c r="AI21" i="18"/>
  <c r="AC21" i="18"/>
  <c r="AD21" i="18" s="1"/>
  <c r="B21" i="18"/>
  <c r="AK20" i="18"/>
  <c r="AI20" i="18"/>
  <c r="AC20" i="18"/>
  <c r="AD20" i="18" s="1"/>
  <c r="B20" i="18"/>
  <c r="AI19" i="18"/>
  <c r="AC19" i="18"/>
  <c r="AD19" i="18" s="1"/>
  <c r="B19" i="18"/>
  <c r="AC139" i="22"/>
  <c r="AK129" i="22"/>
  <c r="B129" i="22"/>
  <c r="AI128" i="22"/>
  <c r="AK127" i="22"/>
  <c r="AI127" i="22"/>
  <c r="B127" i="22"/>
  <c r="AK126" i="22"/>
  <c r="AI126" i="22"/>
  <c r="B126" i="22"/>
  <c r="AK113" i="22"/>
  <c r="AI113" i="22"/>
  <c r="AK112" i="22"/>
  <c r="AI112" i="22"/>
  <c r="AK110" i="22"/>
  <c r="AI110" i="22"/>
  <c r="AI109" i="22"/>
  <c r="AK108" i="22"/>
  <c r="AI108" i="22"/>
  <c r="AK107" i="22"/>
  <c r="AI107" i="22"/>
  <c r="AI106" i="22"/>
  <c r="AK103" i="22"/>
  <c r="AI103" i="22"/>
  <c r="AJ102" i="22"/>
  <c r="AM102" i="22" s="1"/>
  <c r="AI102" i="22"/>
  <c r="AI101" i="22"/>
  <c r="AI100" i="22"/>
  <c r="AI99" i="22"/>
  <c r="AJ98" i="22"/>
  <c r="AM98" i="22" s="1"/>
  <c r="AI98" i="22"/>
  <c r="AK97" i="22"/>
  <c r="AI97" i="22"/>
  <c r="AC97" i="22"/>
  <c r="AB88" i="22"/>
  <c r="AA88" i="22"/>
  <c r="Z88" i="22"/>
  <c r="Y88" i="22"/>
  <c r="X88" i="22"/>
  <c r="U88" i="22"/>
  <c r="R88" i="22"/>
  <c r="Q88" i="22"/>
  <c r="AI80" i="22"/>
  <c r="AI79" i="22"/>
  <c r="AI78" i="22"/>
  <c r="AJ77" i="22"/>
  <c r="AI77" i="22"/>
  <c r="AI76" i="22"/>
  <c r="AH76" i="22"/>
  <c r="AI75" i="22"/>
  <c r="AH75" i="22"/>
  <c r="S75" i="22"/>
  <c r="S88" i="22"/>
  <c r="B75" i="22"/>
  <c r="AI74" i="22"/>
  <c r="B74" i="22"/>
  <c r="AI73" i="22"/>
  <c r="AI72" i="22"/>
  <c r="AI70" i="22"/>
  <c r="AK68" i="22"/>
  <c r="AI68" i="22"/>
  <c r="AH68" i="22"/>
  <c r="AK65" i="22"/>
  <c r="AI65" i="22"/>
  <c r="B65" i="22"/>
  <c r="AK64" i="22"/>
  <c r="AI64" i="22"/>
  <c r="AH64" i="22"/>
  <c r="B64" i="22"/>
  <c r="AK63" i="22"/>
  <c r="AI63" i="22"/>
  <c r="AH63" i="22"/>
  <c r="B63" i="22"/>
  <c r="AK62" i="22"/>
  <c r="AI62" i="22"/>
  <c r="AH62" i="22"/>
  <c r="B62" i="22"/>
  <c r="AI61" i="22"/>
  <c r="AK60" i="22"/>
  <c r="AI60" i="22"/>
  <c r="AH60" i="22"/>
  <c r="B60" i="22"/>
  <c r="AK59" i="22"/>
  <c r="AH59" i="22"/>
  <c r="B59" i="22"/>
  <c r="AK54" i="22"/>
  <c r="AI54" i="22"/>
  <c r="B54" i="22"/>
  <c r="AK53" i="22"/>
  <c r="AI53" i="22"/>
  <c r="B53" i="22"/>
  <c r="AJ52" i="22"/>
  <c r="AM52" i="22" s="1"/>
  <c r="AI52" i="22"/>
  <c r="B52" i="22"/>
  <c r="AJ51" i="22"/>
  <c r="AK51" i="22" s="1"/>
  <c r="AI51" i="22"/>
  <c r="B51" i="22"/>
  <c r="AK50" i="22"/>
  <c r="AI50" i="22"/>
  <c r="B50" i="22"/>
  <c r="AK49" i="22"/>
  <c r="AI49" i="22"/>
  <c r="B49" i="22"/>
  <c r="AI48" i="22"/>
  <c r="AH48" i="22"/>
  <c r="AI47" i="22"/>
  <c r="B47" i="22"/>
  <c r="AI46" i="22"/>
  <c r="B46" i="22"/>
  <c r="AK44" i="22"/>
  <c r="AI44" i="22"/>
  <c r="B44" i="22"/>
  <c r="AK43" i="22"/>
  <c r="AI43" i="22"/>
  <c r="AH43" i="22"/>
  <c r="AK40" i="22"/>
  <c r="AI40" i="22"/>
  <c r="B40" i="22"/>
  <c r="AI39" i="22"/>
  <c r="AI38" i="22"/>
  <c r="B38" i="22"/>
  <c r="AK36" i="22"/>
  <c r="AI36" i="22"/>
  <c r="AK32" i="22"/>
  <c r="AI32" i="22"/>
  <c r="AK30" i="22"/>
  <c r="AK28" i="22"/>
  <c r="AI28" i="22"/>
  <c r="AJ27" i="22"/>
  <c r="AK27" i="22" s="1"/>
  <c r="AI27" i="22"/>
  <c r="B27" i="22"/>
  <c r="AI26" i="22"/>
  <c r="B26" i="22"/>
  <c r="AI25" i="22"/>
  <c r="AK22" i="22"/>
  <c r="AI22" i="22"/>
  <c r="B22" i="22"/>
  <c r="AK21" i="22"/>
  <c r="AI21" i="22"/>
  <c r="B21" i="22"/>
  <c r="AK20" i="22"/>
  <c r="AI20" i="22"/>
  <c r="AH20" i="22"/>
  <c r="B20" i="22"/>
  <c r="AK18" i="22"/>
  <c r="AI18" i="22"/>
  <c r="B18" i="22"/>
  <c r="AC246" i="19"/>
  <c r="AB239" i="19"/>
  <c r="S239" i="19"/>
  <c r="R239" i="19"/>
  <c r="Q239" i="19"/>
  <c r="AK238" i="19"/>
  <c r="AI238" i="19"/>
  <c r="B238" i="19"/>
  <c r="AK237" i="19"/>
  <c r="AI237" i="19"/>
  <c r="B237" i="19"/>
  <c r="AK236" i="19"/>
  <c r="AI236" i="19"/>
  <c r="B236" i="19"/>
  <c r="AK235" i="19"/>
  <c r="AI235" i="19"/>
  <c r="B235" i="19"/>
  <c r="AK233" i="19"/>
  <c r="AI233" i="19"/>
  <c r="B233" i="19"/>
  <c r="AI231" i="19"/>
  <c r="V239" i="19"/>
  <c r="AK229" i="19"/>
  <c r="AI229" i="19"/>
  <c r="B229" i="19"/>
  <c r="B28" i="23"/>
  <c r="AJ227" i="19"/>
  <c r="AL227" i="19" s="1"/>
  <c r="AE227" i="19"/>
  <c r="AB227" i="19"/>
  <c r="AA227" i="19"/>
  <c r="Z227" i="19"/>
  <c r="Y227" i="19"/>
  <c r="X227" i="19"/>
  <c r="W227" i="19"/>
  <c r="V227" i="19"/>
  <c r="U227" i="19"/>
  <c r="T227" i="19"/>
  <c r="S227" i="19"/>
  <c r="R227" i="19"/>
  <c r="Q227" i="19"/>
  <c r="O227" i="19"/>
  <c r="E259" i="19" s="1"/>
  <c r="AK226" i="19"/>
  <c r="AK227" i="19" s="1"/>
  <c r="AI226" i="19"/>
  <c r="AC226" i="19"/>
  <c r="AD226" i="19" s="1"/>
  <c r="AD227" i="19" s="1"/>
  <c r="B226" i="19"/>
  <c r="B227" i="19" s="1"/>
  <c r="AC225" i="19"/>
  <c r="AD225" i="19" s="1"/>
  <c r="AE224" i="19"/>
  <c r="AK217" i="19"/>
  <c r="AI217" i="19"/>
  <c r="B217" i="19"/>
  <c r="AK215" i="19"/>
  <c r="AI215" i="19"/>
  <c r="B215" i="19"/>
  <c r="AI214" i="19"/>
  <c r="B214" i="19"/>
  <c r="AK213" i="19"/>
  <c r="AI213" i="19"/>
  <c r="B213" i="19"/>
  <c r="AK211" i="19"/>
  <c r="AI211" i="19"/>
  <c r="B211" i="19"/>
  <c r="AI209" i="19"/>
  <c r="B209" i="19"/>
  <c r="AK207" i="19"/>
  <c r="AI207" i="19"/>
  <c r="B207" i="19"/>
  <c r="AK206" i="19"/>
  <c r="AI206" i="19"/>
  <c r="B206" i="19"/>
  <c r="AK205" i="19"/>
  <c r="AI205" i="19"/>
  <c r="AK203" i="19"/>
  <c r="AI203" i="19"/>
  <c r="B203" i="19"/>
  <c r="AI201" i="19"/>
  <c r="B201" i="19"/>
  <c r="AI199" i="19"/>
  <c r="B199" i="19"/>
  <c r="AK197" i="19"/>
  <c r="AI197" i="19"/>
  <c r="B197" i="19"/>
  <c r="AK196" i="19"/>
  <c r="AI196" i="19"/>
  <c r="B196" i="19"/>
  <c r="AK195" i="19"/>
  <c r="AI195" i="19"/>
  <c r="B195" i="19"/>
  <c r="AK193" i="19"/>
  <c r="AI193" i="19"/>
  <c r="B193" i="19"/>
  <c r="AJ192" i="19"/>
  <c r="AM192" i="19" s="1"/>
  <c r="AI192" i="19"/>
  <c r="B192" i="19"/>
  <c r="AJ191" i="19"/>
  <c r="AK191" i="19" s="1"/>
  <c r="AI191" i="19"/>
  <c r="B191" i="19"/>
  <c r="AK190" i="19"/>
  <c r="AI190" i="19"/>
  <c r="B190" i="19"/>
  <c r="AK188" i="19"/>
  <c r="AI188" i="19"/>
  <c r="B188" i="19"/>
  <c r="AK186" i="19"/>
  <c r="AI186" i="19"/>
  <c r="B186" i="19"/>
  <c r="AK184" i="19"/>
  <c r="AI184" i="19"/>
  <c r="B184" i="19"/>
  <c r="AK182" i="19"/>
  <c r="AI182" i="19"/>
  <c r="B182" i="19"/>
  <c r="AK180" i="19"/>
  <c r="AI180" i="19"/>
  <c r="B180" i="19"/>
  <c r="AK178" i="19"/>
  <c r="AI178" i="19"/>
  <c r="B178" i="19"/>
  <c r="AK176" i="19"/>
  <c r="AI176" i="19"/>
  <c r="B176" i="19"/>
  <c r="AJ175" i="19"/>
  <c r="AM175" i="19" s="1"/>
  <c r="AI175" i="19"/>
  <c r="B175" i="19"/>
  <c r="AI174" i="19"/>
  <c r="B174" i="19"/>
  <c r="AK173" i="19"/>
  <c r="AI173" i="19"/>
  <c r="B173" i="19"/>
  <c r="AK171" i="19"/>
  <c r="AI171" i="19"/>
  <c r="B171" i="19"/>
  <c r="AJ170" i="19"/>
  <c r="AM170" i="19" s="1"/>
  <c r="AI170" i="19"/>
  <c r="B170" i="19"/>
  <c r="AK168" i="19"/>
  <c r="AI168" i="19"/>
  <c r="B168" i="19"/>
  <c r="AJ167" i="19"/>
  <c r="AI167" i="19"/>
  <c r="B167" i="19"/>
  <c r="AK165" i="19"/>
  <c r="AI165" i="19"/>
  <c r="B165" i="19"/>
  <c r="AK163" i="19"/>
  <c r="AI163" i="19"/>
  <c r="B163" i="19"/>
  <c r="AK162" i="19"/>
  <c r="AI162" i="19"/>
  <c r="B162" i="19"/>
  <c r="AK160" i="19"/>
  <c r="AI160" i="19"/>
  <c r="B160" i="19"/>
  <c r="AJ159" i="19"/>
  <c r="AM159" i="19" s="1"/>
  <c r="AI159" i="19"/>
  <c r="B159" i="19"/>
  <c r="AK157" i="19"/>
  <c r="AI157" i="19"/>
  <c r="B157" i="19"/>
  <c r="AK154" i="19"/>
  <c r="AI154" i="19"/>
  <c r="B154" i="19"/>
  <c r="AJ152" i="19"/>
  <c r="AI152" i="19"/>
  <c r="AJ150" i="19"/>
  <c r="AK150" i="19" s="1"/>
  <c r="AI150" i="19"/>
  <c r="B150" i="19"/>
  <c r="AK148" i="19"/>
  <c r="AI148" i="19"/>
  <c r="B148" i="19"/>
  <c r="AK146" i="19"/>
  <c r="AI146" i="19"/>
  <c r="B146" i="19"/>
  <c r="AI144" i="19"/>
  <c r="B144" i="19"/>
  <c r="AI142" i="19"/>
  <c r="AK141" i="19"/>
  <c r="AI141" i="19"/>
  <c r="B141" i="19"/>
  <c r="AK139" i="19"/>
  <c r="AI139" i="19"/>
  <c r="S139" i="19"/>
  <c r="S224" i="19" s="1"/>
  <c r="AI137" i="19"/>
  <c r="AK135" i="19"/>
  <c r="AI135" i="19"/>
  <c r="B135" i="19"/>
  <c r="AK133" i="19"/>
  <c r="AI133" i="19"/>
  <c r="B133" i="19"/>
  <c r="AK131" i="19"/>
  <c r="AI131" i="19"/>
  <c r="B131" i="19"/>
  <c r="AK129" i="19"/>
  <c r="AI129" i="19"/>
  <c r="B129" i="19"/>
  <c r="AJ127" i="19"/>
  <c r="AM127" i="19" s="1"/>
  <c r="AI127" i="19"/>
  <c r="B127" i="19"/>
  <c r="AK125" i="19"/>
  <c r="AI125" i="19"/>
  <c r="B125" i="19"/>
  <c r="AK124" i="19"/>
  <c r="AI124" i="19"/>
  <c r="B124" i="19"/>
  <c r="AI123" i="19"/>
  <c r="B123" i="19"/>
  <c r="AJ122" i="19"/>
  <c r="AM122" i="19" s="1"/>
  <c r="AI122" i="19"/>
  <c r="B122" i="19"/>
  <c r="AJ121" i="19"/>
  <c r="AI121" i="19"/>
  <c r="B121" i="19"/>
  <c r="AK119" i="19"/>
  <c r="AI119" i="19"/>
  <c r="B119" i="19"/>
  <c r="AC118" i="19"/>
  <c r="AD118" i="19" s="1"/>
  <c r="B117" i="19"/>
  <c r="B27" i="23" s="1"/>
  <c r="AB116" i="19"/>
  <c r="Z116" i="19"/>
  <c r="Y116" i="19"/>
  <c r="X116" i="19"/>
  <c r="W116" i="19"/>
  <c r="V116" i="19"/>
  <c r="S116" i="19"/>
  <c r="R116" i="19"/>
  <c r="Q116" i="19"/>
  <c r="B115" i="19"/>
  <c r="AK110" i="19"/>
  <c r="AI110" i="19"/>
  <c r="AK108" i="19"/>
  <c r="AI108" i="19"/>
  <c r="B108" i="19"/>
  <c r="AK107" i="19"/>
  <c r="AI107" i="19"/>
  <c r="B107" i="19"/>
  <c r="AK105" i="19"/>
  <c r="AI105" i="19"/>
  <c r="B105" i="19"/>
  <c r="AI104" i="19"/>
  <c r="B104" i="19"/>
  <c r="AK103" i="19"/>
  <c r="AI103" i="19"/>
  <c r="B103" i="19"/>
  <c r="AI102" i="19"/>
  <c r="AK101" i="19"/>
  <c r="AI101" i="19"/>
  <c r="B101" i="19"/>
  <c r="AI99" i="19"/>
  <c r="AK98" i="19"/>
  <c r="AI98" i="19"/>
  <c r="B98" i="19"/>
  <c r="AJ97" i="19"/>
  <c r="AK97" i="19" s="1"/>
  <c r="AI97" i="19"/>
  <c r="B97" i="19"/>
  <c r="AI96" i="19"/>
  <c r="AI94" i="19"/>
  <c r="B94" i="19"/>
  <c r="AK93" i="19"/>
  <c r="AI93" i="19"/>
  <c r="AK91" i="19"/>
  <c r="AI91" i="19"/>
  <c r="B91" i="19"/>
  <c r="AK89" i="19"/>
  <c r="AI89" i="19"/>
  <c r="B89" i="19"/>
  <c r="AB87" i="19"/>
  <c r="AA87" i="19"/>
  <c r="Z87" i="19"/>
  <c r="Y87" i="19"/>
  <c r="W87" i="19"/>
  <c r="V87" i="19"/>
  <c r="U87" i="19"/>
  <c r="S87" i="19"/>
  <c r="R87" i="19"/>
  <c r="Q87" i="19"/>
  <c r="AI86" i="19"/>
  <c r="B86" i="19"/>
  <c r="AK85" i="19"/>
  <c r="AI85" i="19"/>
  <c r="B85" i="19"/>
  <c r="AK83" i="19"/>
  <c r="AI83" i="19"/>
  <c r="B83" i="19"/>
  <c r="AK81" i="19"/>
  <c r="AI81" i="19"/>
  <c r="B81" i="19"/>
  <c r="AK79" i="19"/>
  <c r="AI79" i="19"/>
  <c r="B79" i="19"/>
  <c r="AK77" i="19"/>
  <c r="AI77" i="19"/>
  <c r="B77" i="19"/>
  <c r="AI76" i="19"/>
  <c r="AB74" i="19"/>
  <c r="AA74" i="19"/>
  <c r="Z74" i="19"/>
  <c r="Y74" i="19"/>
  <c r="X74" i="19"/>
  <c r="W74" i="19"/>
  <c r="V74" i="19"/>
  <c r="U74" i="19"/>
  <c r="T74" i="19"/>
  <c r="S74" i="19"/>
  <c r="R74" i="19"/>
  <c r="Q74" i="19"/>
  <c r="AK73" i="19"/>
  <c r="AI73" i="19"/>
  <c r="B73" i="19"/>
  <c r="AI72" i="19"/>
  <c r="B72" i="19"/>
  <c r="AI71" i="19"/>
  <c r="B71" i="19"/>
  <c r="AI70" i="19"/>
  <c r="B70" i="19"/>
  <c r="AI69" i="19"/>
  <c r="AI68" i="19"/>
  <c r="AC68" i="19"/>
  <c r="AD68" i="19" s="1"/>
  <c r="AB66" i="19"/>
  <c r="AA66" i="19"/>
  <c r="Z66" i="19"/>
  <c r="X66" i="19"/>
  <c r="W66" i="19"/>
  <c r="V66" i="19"/>
  <c r="U66" i="19"/>
  <c r="S66" i="19"/>
  <c r="R66" i="19"/>
  <c r="Q66" i="19"/>
  <c r="AI65" i="19"/>
  <c r="AK56" i="19"/>
  <c r="AI56" i="19"/>
  <c r="AJ55" i="19"/>
  <c r="AI55" i="19"/>
  <c r="AK54" i="19"/>
  <c r="AI54" i="19"/>
  <c r="AI52" i="19"/>
  <c r="AK51" i="19"/>
  <c r="AI51" i="19"/>
  <c r="AI50" i="19"/>
  <c r="AK49" i="19"/>
  <c r="AI49" i="19"/>
  <c r="AK48" i="19"/>
  <c r="AI48" i="19"/>
  <c r="AK47" i="19"/>
  <c r="AI47" i="19"/>
  <c r="AC47" i="19"/>
  <c r="AD47" i="19" s="1"/>
  <c r="AC46" i="19"/>
  <c r="AD46" i="19" s="1"/>
  <c r="C255" i="19"/>
  <c r="AI41" i="19"/>
  <c r="AC41" i="19"/>
  <c r="AD41" i="19" s="1"/>
  <c r="AC40" i="19"/>
  <c r="AD40" i="19" s="1"/>
  <c r="AI36" i="19"/>
  <c r="AC36" i="19"/>
  <c r="AD36" i="19" s="1"/>
  <c r="AA34" i="19"/>
  <c r="Z34" i="19"/>
  <c r="Y34" i="19"/>
  <c r="W34" i="19"/>
  <c r="V34" i="19"/>
  <c r="S34" i="19"/>
  <c r="R34" i="19"/>
  <c r="Q34" i="19"/>
  <c r="AI33" i="19"/>
  <c r="B33" i="19"/>
  <c r="AK29" i="19"/>
  <c r="AI29" i="19"/>
  <c r="B29" i="19"/>
  <c r="AK28" i="19"/>
  <c r="AI28" i="19"/>
  <c r="B28" i="19"/>
  <c r="AI27" i="19"/>
  <c r="B27" i="19"/>
  <c r="AK26" i="19"/>
  <c r="AI26" i="19"/>
  <c r="AI23" i="19"/>
  <c r="AK21" i="19"/>
  <c r="AI21" i="19"/>
  <c r="AI19" i="19"/>
  <c r="AC19" i="19"/>
  <c r="AD19" i="19" s="1"/>
  <c r="B19" i="19"/>
  <c r="C254" i="19"/>
  <c r="B322" i="17"/>
  <c r="U291" i="17"/>
  <c r="T291" i="17"/>
  <c r="S291" i="17"/>
  <c r="R291" i="17"/>
  <c r="Q291" i="17"/>
  <c r="O291" i="17"/>
  <c r="AI290" i="17"/>
  <c r="AC290" i="17"/>
  <c r="AD290" i="17" s="1"/>
  <c r="AI289" i="17"/>
  <c r="AC289" i="17"/>
  <c r="AD289" i="17" s="1"/>
  <c r="AK270" i="17"/>
  <c r="AI270" i="17"/>
  <c r="AI268" i="17"/>
  <c r="AK267" i="17"/>
  <c r="AI267" i="17"/>
  <c r="AH267" i="17"/>
  <c r="AK265" i="17"/>
  <c r="AI265" i="17"/>
  <c r="AI263" i="17"/>
  <c r="T263" i="17"/>
  <c r="AC263" i="17" s="1"/>
  <c r="AD263" i="17" s="1"/>
  <c r="AK262" i="17"/>
  <c r="AI262" i="17"/>
  <c r="T262" i="17"/>
  <c r="AC262" i="17" s="1"/>
  <c r="AD262" i="17" s="1"/>
  <c r="AJ260" i="17"/>
  <c r="AI260" i="17"/>
  <c r="AJ259" i="17"/>
  <c r="AI259" i="17"/>
  <c r="AJ258" i="17"/>
  <c r="AI258" i="17"/>
  <c r="AK257" i="17"/>
  <c r="AI257" i="17"/>
  <c r="T257" i="17"/>
  <c r="AC257" i="17" s="1"/>
  <c r="AD257" i="17" s="1"/>
  <c r="AK256" i="17"/>
  <c r="AI256" i="17"/>
  <c r="AK255" i="17"/>
  <c r="AI255" i="17"/>
  <c r="AK254" i="17"/>
  <c r="AI254" i="17"/>
  <c r="AI253" i="17"/>
  <c r="AK252" i="17"/>
  <c r="AI252" i="17"/>
  <c r="AK251" i="17"/>
  <c r="AI251" i="17"/>
  <c r="AK250" i="17"/>
  <c r="AI250" i="17"/>
  <c r="AK249" i="17"/>
  <c r="AI249" i="17"/>
  <c r="AK247" i="17"/>
  <c r="AI247" i="17"/>
  <c r="AK246" i="17"/>
  <c r="AI246" i="17"/>
  <c r="AH246" i="17"/>
  <c r="AI245" i="17"/>
  <c r="AK244" i="17"/>
  <c r="AI244" i="17"/>
  <c r="AH244" i="17"/>
  <c r="AK243" i="17"/>
  <c r="AI243" i="17"/>
  <c r="AK242" i="17"/>
  <c r="AI242" i="17"/>
  <c r="AK239" i="17"/>
  <c r="AI239" i="17"/>
  <c r="AK238" i="17"/>
  <c r="AI238" i="17"/>
  <c r="AH238" i="17"/>
  <c r="AJ236" i="17"/>
  <c r="AM236" i="17" s="1"/>
  <c r="AI236" i="17"/>
  <c r="AK235" i="17"/>
  <c r="AI235" i="17"/>
  <c r="AH235" i="17"/>
  <c r="AK234" i="17"/>
  <c r="AI234" i="17"/>
  <c r="AK233" i="17"/>
  <c r="AI233" i="17"/>
  <c r="AH233" i="17"/>
  <c r="AK232" i="17"/>
  <c r="AI232" i="17"/>
  <c r="AH232" i="17"/>
  <c r="AK231" i="17"/>
  <c r="AI231" i="17"/>
  <c r="AK230" i="17"/>
  <c r="AI230" i="17"/>
  <c r="AK229" i="17"/>
  <c r="AI229" i="17"/>
  <c r="AK228" i="17"/>
  <c r="AI228" i="17"/>
  <c r="AK227" i="17"/>
  <c r="AI227" i="17"/>
  <c r="AH227" i="17"/>
  <c r="AI226" i="17"/>
  <c r="O226" i="17"/>
  <c r="AK225" i="17"/>
  <c r="AI225" i="17"/>
  <c r="AK224" i="17"/>
  <c r="AI224" i="17"/>
  <c r="AH224" i="17"/>
  <c r="AK223" i="17"/>
  <c r="AI223" i="17"/>
  <c r="AH223" i="17"/>
  <c r="AK222" i="17"/>
  <c r="AI222" i="17"/>
  <c r="AH222" i="17"/>
  <c r="AK220" i="17"/>
  <c r="AI220" i="17"/>
  <c r="AI219" i="17"/>
  <c r="AK218" i="17"/>
  <c r="AI218" i="17"/>
  <c r="AH218" i="17"/>
  <c r="AK216" i="17"/>
  <c r="AI216" i="17"/>
  <c r="AK215" i="17"/>
  <c r="AI215" i="17"/>
  <c r="AK213" i="17"/>
  <c r="AI213" i="17"/>
  <c r="AK211" i="17"/>
  <c r="AI211" i="17"/>
  <c r="AK209" i="17"/>
  <c r="AI209" i="17"/>
  <c r="AK208" i="17"/>
  <c r="AI208" i="17"/>
  <c r="AC208" i="17"/>
  <c r="AD208" i="17" s="1"/>
  <c r="AC207" i="17"/>
  <c r="U205" i="17"/>
  <c r="S205" i="17"/>
  <c r="R205" i="17"/>
  <c r="AK197" i="17"/>
  <c r="AI197" i="17"/>
  <c r="AI196" i="17"/>
  <c r="AK156" i="17"/>
  <c r="AK155" i="17"/>
  <c r="AK154" i="17"/>
  <c r="AK153" i="17"/>
  <c r="AK152" i="17"/>
  <c r="AK151" i="17"/>
  <c r="AK150" i="17"/>
  <c r="AK148" i="17"/>
  <c r="AI148" i="17"/>
  <c r="AK146" i="17"/>
  <c r="AI146" i="17"/>
  <c r="AC146" i="17"/>
  <c r="AD146" i="17" s="1"/>
  <c r="AK141" i="17"/>
  <c r="AI141" i="17"/>
  <c r="AI140" i="17"/>
  <c r="AC140" i="17"/>
  <c r="AD140" i="17" s="1"/>
  <c r="AC139" i="17"/>
  <c r="AD139" i="17" s="1"/>
  <c r="U134" i="17"/>
  <c r="T134" i="17"/>
  <c r="S134" i="17"/>
  <c r="R134" i="17"/>
  <c r="Q134" i="17"/>
  <c r="O134" i="17"/>
  <c r="E312" i="17" s="1"/>
  <c r="AI132" i="17"/>
  <c r="AI131" i="17"/>
  <c r="AC131" i="17"/>
  <c r="AK74" i="17"/>
  <c r="AI74" i="17"/>
  <c r="AK73" i="17"/>
  <c r="AI73" i="17"/>
  <c r="AI72" i="17"/>
  <c r="AK71" i="17"/>
  <c r="AI71" i="17"/>
  <c r="AK70" i="17"/>
  <c r="AI70" i="17"/>
  <c r="AI69" i="17"/>
  <c r="AK65" i="17"/>
  <c r="AI65" i="17"/>
  <c r="AK64" i="17"/>
  <c r="AI64" i="17"/>
  <c r="AK63" i="17"/>
  <c r="AI63" i="17"/>
  <c r="AK62" i="17"/>
  <c r="AI62" i="17"/>
  <c r="AK61" i="17"/>
  <c r="AI61" i="17"/>
  <c r="AH61" i="17"/>
  <c r="AJ60" i="17"/>
  <c r="AM60" i="17" s="1"/>
  <c r="AI60" i="17"/>
  <c r="AI59" i="17"/>
  <c r="AH59" i="17"/>
  <c r="AI58" i="17"/>
  <c r="AI57" i="17"/>
  <c r="AI56" i="17"/>
  <c r="AI55" i="17"/>
  <c r="O55" i="17"/>
  <c r="AI54" i="17"/>
  <c r="AI53" i="17"/>
  <c r="AI52" i="17"/>
  <c r="AI51" i="17"/>
  <c r="O51" i="17"/>
  <c r="AJ50" i="17"/>
  <c r="AI50" i="17"/>
  <c r="AI49" i="17"/>
  <c r="O49" i="17"/>
  <c r="AI48" i="17"/>
  <c r="O48" i="17"/>
  <c r="AK47" i="17"/>
  <c r="AI47" i="17"/>
  <c r="AI46" i="17"/>
  <c r="O46" i="17"/>
  <c r="AK45" i="17"/>
  <c r="AI45" i="17"/>
  <c r="AH45" i="17"/>
  <c r="AI44" i="17"/>
  <c r="O44" i="17"/>
  <c r="AK44" i="17" s="1"/>
  <c r="AK43" i="17"/>
  <c r="AI43" i="17"/>
  <c r="AH43" i="17"/>
  <c r="AI42" i="17"/>
  <c r="AI41" i="17"/>
  <c r="AI40" i="17"/>
  <c r="AK39" i="17"/>
  <c r="AI39" i="17"/>
  <c r="AH39" i="17"/>
  <c r="AK38" i="17"/>
  <c r="AI38" i="17"/>
  <c r="AJ37" i="17"/>
  <c r="AI37" i="17"/>
  <c r="AI36" i="17"/>
  <c r="AI35" i="17"/>
  <c r="AH35" i="17"/>
  <c r="AI34" i="17"/>
  <c r="AJ33" i="17"/>
  <c r="AM33" i="17"/>
  <c r="AI33" i="17"/>
  <c r="AK32" i="17"/>
  <c r="AI32" i="17"/>
  <c r="AI31" i="17"/>
  <c r="AK30" i="17"/>
  <c r="AI30" i="17"/>
  <c r="AI26" i="17"/>
  <c r="AK25" i="17"/>
  <c r="AI25" i="17"/>
  <c r="AH25" i="17"/>
  <c r="AI24" i="17"/>
  <c r="AI23" i="17"/>
  <c r="AJ22" i="17"/>
  <c r="AI22" i="17"/>
  <c r="AJ21" i="17"/>
  <c r="AM21" i="17" s="1"/>
  <c r="AI21" i="17"/>
  <c r="AJ20" i="17"/>
  <c r="AI20" i="17"/>
  <c r="AK19" i="17"/>
  <c r="AI19" i="17"/>
  <c r="AH19" i="17"/>
  <c r="AC54" i="1"/>
  <c r="D8" i="23"/>
  <c r="AK47" i="1"/>
  <c r="AK46" i="1"/>
  <c r="AJ48" i="1"/>
  <c r="AL48" i="1" s="1"/>
  <c r="B8" i="23"/>
  <c r="AJ43" i="1"/>
  <c r="AB43" i="1"/>
  <c r="AA43" i="1"/>
  <c r="AA56" i="1" s="1"/>
  <c r="Z43" i="1"/>
  <c r="Y43" i="1"/>
  <c r="X43" i="1"/>
  <c r="X56" i="1"/>
  <c r="W43" i="1"/>
  <c r="V43" i="1"/>
  <c r="T43" i="1"/>
  <c r="T50" i="1" s="1"/>
  <c r="R43" i="1"/>
  <c r="R50" i="1"/>
  <c r="Q43" i="1"/>
  <c r="D7" i="23"/>
  <c r="C7" i="23"/>
  <c r="AK42" i="1"/>
  <c r="AI42" i="1"/>
  <c r="AC42" i="1"/>
  <c r="AK41" i="1"/>
  <c r="AI41" i="1"/>
  <c r="AK40" i="1"/>
  <c r="AI40" i="1"/>
  <c r="S40" i="1"/>
  <c r="AK39" i="1"/>
  <c r="AI39" i="1"/>
  <c r="AD39" i="1"/>
  <c r="B7" i="23"/>
  <c r="AK35" i="1"/>
  <c r="AI35" i="1"/>
  <c r="S35" i="1"/>
  <c r="AC35" i="1" s="1"/>
  <c r="AD35" i="1" s="1"/>
  <c r="AK34" i="1"/>
  <c r="AI34" i="1"/>
  <c r="S34" i="1"/>
  <c r="AC34" i="1" s="1"/>
  <c r="AD34" i="1" s="1"/>
  <c r="AK33" i="1"/>
  <c r="AI33" i="1"/>
  <c r="S33" i="1"/>
  <c r="AC33" i="1" s="1"/>
  <c r="AD33" i="1" s="1"/>
  <c r="AK32" i="1"/>
  <c r="AI32" i="1"/>
  <c r="S32" i="1"/>
  <c r="AC32" i="1" s="1"/>
  <c r="AD32" i="1" s="1"/>
  <c r="AK31" i="1"/>
  <c r="AI31" i="1"/>
  <c r="AK30" i="1"/>
  <c r="AI30" i="1"/>
  <c r="S30" i="1"/>
  <c r="AC30" i="1" s="1"/>
  <c r="AD30" i="1" s="1"/>
  <c r="AK29" i="1"/>
  <c r="AI29" i="1"/>
  <c r="AK28" i="1"/>
  <c r="AI28" i="1"/>
  <c r="S28" i="1"/>
  <c r="AC28" i="1" s="1"/>
  <c r="AD28" i="1" s="1"/>
  <c r="AK27" i="1"/>
  <c r="AI27" i="1"/>
  <c r="S27" i="1"/>
  <c r="AC27" i="1" s="1"/>
  <c r="AD27" i="1" s="1"/>
  <c r="AK26" i="1"/>
  <c r="AI26" i="1"/>
  <c r="S26" i="1"/>
  <c r="AC26" i="1" s="1"/>
  <c r="AD26" i="1" s="1"/>
  <c r="AK25" i="1"/>
  <c r="AI25" i="1"/>
  <c r="S25" i="1"/>
  <c r="AC25" i="1" s="1"/>
  <c r="AD25" i="1" s="1"/>
  <c r="AK24" i="1"/>
  <c r="AI24" i="1"/>
  <c r="AK23" i="1"/>
  <c r="AI23" i="1"/>
  <c r="AK22" i="1"/>
  <c r="AI22" i="1"/>
  <c r="AK21" i="1"/>
  <c r="AI21" i="1"/>
  <c r="S21" i="1"/>
  <c r="AC21" i="1" s="1"/>
  <c r="AD21" i="1" s="1"/>
  <c r="AK20" i="1"/>
  <c r="AI20" i="1"/>
  <c r="AK19" i="1"/>
  <c r="AI19" i="1"/>
  <c r="S19" i="1"/>
  <c r="AC19" i="1" s="1"/>
  <c r="AD19" i="1" s="1"/>
  <c r="AK18" i="1"/>
  <c r="AI18" i="1"/>
  <c r="S18" i="1"/>
  <c r="B6" i="23"/>
  <c r="AK45" i="1"/>
  <c r="B50" i="1"/>
  <c r="B86" i="23" s="1"/>
  <c r="B55" i="1"/>
  <c r="B11" i="23"/>
  <c r="AL43" i="1"/>
  <c r="V224" i="19"/>
  <c r="Q50" i="1"/>
  <c r="T150" i="19"/>
  <c r="AC150" i="19" s="1"/>
  <c r="AD150" i="19" s="1"/>
  <c r="T152" i="19"/>
  <c r="B39" i="23"/>
  <c r="B40" i="23"/>
  <c r="O34" i="17"/>
  <c r="AK34" i="17" s="1"/>
  <c r="T34" i="17"/>
  <c r="AC34" i="17" s="1"/>
  <c r="O40" i="17"/>
  <c r="T40" i="17"/>
  <c r="AC40" i="17" s="1"/>
  <c r="AK134" i="18"/>
  <c r="AK135" i="18" s="1"/>
  <c r="AK52" i="19"/>
  <c r="B52" i="23"/>
  <c r="O116" i="19"/>
  <c r="D26" i="23" s="1"/>
  <c r="AK110" i="18"/>
  <c r="Z239" i="19"/>
  <c r="AA239" i="19"/>
  <c r="Z287" i="17"/>
  <c r="AM189" i="18"/>
  <c r="AM20" i="17"/>
  <c r="B23" i="17"/>
  <c r="AM219" i="17"/>
  <c r="AK38" i="22"/>
  <c r="AD45" i="1"/>
  <c r="X239" i="19"/>
  <c r="Y239" i="19"/>
  <c r="AK347" i="18"/>
  <c r="AK149" i="18"/>
  <c r="AM448" i="18"/>
  <c r="AJ339" i="18"/>
  <c r="AL339" i="18" s="1"/>
  <c r="AK341" i="18"/>
  <c r="AM341" i="18"/>
  <c r="AM438" i="18"/>
  <c r="AK66" i="18"/>
  <c r="AM176" i="18"/>
  <c r="AK460" i="18"/>
  <c r="AM460" i="18"/>
  <c r="AM326" i="18"/>
  <c r="AK108" i="18"/>
  <c r="AM108" i="18"/>
  <c r="AM216" i="18"/>
  <c r="AM375" i="18"/>
  <c r="AM422" i="18"/>
  <c r="AK277" i="18"/>
  <c r="AM277" i="18"/>
  <c r="AK57" i="17"/>
  <c r="AM23" i="17"/>
  <c r="AK20" i="17"/>
  <c r="AK33" i="17"/>
  <c r="B152" i="17"/>
  <c r="B25" i="22"/>
  <c r="AK100" i="22"/>
  <c r="AM100" i="22"/>
  <c r="AK52" i="22"/>
  <c r="AK77" i="22"/>
  <c r="AM77" i="22"/>
  <c r="AM128" i="22"/>
  <c r="AK73" i="22"/>
  <c r="AM73" i="22"/>
  <c r="AK25" i="22"/>
  <c r="AM61" i="22"/>
  <c r="AK82" i="22"/>
  <c r="AK123" i="22"/>
  <c r="AM123" i="22"/>
  <c r="AM37" i="17"/>
  <c r="AK163" i="17"/>
  <c r="AK259" i="17"/>
  <c r="AM259" i="17"/>
  <c r="AM226" i="17"/>
  <c r="AK263" i="17"/>
  <c r="B101" i="17"/>
  <c r="AM101" i="17"/>
  <c r="AJ144" i="17"/>
  <c r="AL144" i="17" s="1"/>
  <c r="AK22" i="17"/>
  <c r="AM22" i="17"/>
  <c r="AK41" i="17"/>
  <c r="AM41" i="17"/>
  <c r="AK50" i="17"/>
  <c r="AM50" i="17"/>
  <c r="AM131" i="17"/>
  <c r="AK21" i="17"/>
  <c r="AK36" i="17"/>
  <c r="AK60" i="17"/>
  <c r="AM196" i="17"/>
  <c r="AK258" i="17"/>
  <c r="AM258" i="17"/>
  <c r="AK260" i="17"/>
  <c r="AM260" i="17"/>
  <c r="AK35" i="17"/>
  <c r="AM35" i="17"/>
  <c r="AK59" i="17"/>
  <c r="AM59" i="17"/>
  <c r="AM69" i="17"/>
  <c r="B89" i="17"/>
  <c r="AM89" i="17"/>
  <c r="AM97" i="19"/>
  <c r="AK231" i="19"/>
  <c r="AM121" i="19"/>
  <c r="AK152" i="19"/>
  <c r="AK167" i="19"/>
  <c r="AM167" i="19"/>
  <c r="AK175" i="19"/>
  <c r="AK192" i="19"/>
  <c r="AM23" i="19"/>
  <c r="AK159" i="19"/>
  <c r="B48" i="22"/>
  <c r="AK128" i="22"/>
  <c r="AK98" i="22"/>
  <c r="B226" i="17"/>
  <c r="V205" i="17"/>
  <c r="AK196" i="17"/>
  <c r="B56" i="17"/>
  <c r="B9" i="23"/>
  <c r="B66" i="23"/>
  <c r="W239" i="19"/>
  <c r="R56" i="1"/>
  <c r="X50" i="1"/>
  <c r="B17" i="19"/>
  <c r="B31" i="23" s="1"/>
  <c r="AM474" i="18"/>
  <c r="Y287" i="17"/>
  <c r="W224" i="19"/>
  <c r="AD34" i="17" l="1"/>
  <c r="H6" i="23"/>
  <c r="G7" i="23"/>
  <c r="AD46" i="17"/>
  <c r="AC18" i="1"/>
  <c r="AC37" i="1" s="1"/>
  <c r="S43" i="1"/>
  <c r="AC40" i="1"/>
  <c r="AD48" i="17"/>
  <c r="D65" i="23"/>
  <c r="J65" i="23" s="1"/>
  <c r="E500" i="18"/>
  <c r="E506" i="18"/>
  <c r="E502" i="18"/>
  <c r="E505" i="18"/>
  <c r="E509" i="18"/>
  <c r="E510" i="18"/>
  <c r="D510" i="18"/>
  <c r="D507" i="18"/>
  <c r="D74" i="23"/>
  <c r="J74" i="23" s="1"/>
  <c r="E504" i="18"/>
  <c r="D509" i="18"/>
  <c r="D506" i="18"/>
  <c r="D42" i="23"/>
  <c r="K42" i="23" s="1"/>
  <c r="E149" i="22"/>
  <c r="C42" i="23"/>
  <c r="G42" i="23" s="1"/>
  <c r="D149" i="22"/>
  <c r="AJ66" i="19"/>
  <c r="AL66" i="19" s="1"/>
  <c r="AK68" i="19"/>
  <c r="AC236" i="19"/>
  <c r="AD236" i="19" s="1"/>
  <c r="AC214" i="19"/>
  <c r="AD214" i="19" s="1"/>
  <c r="AM62" i="19"/>
  <c r="AK216" i="19"/>
  <c r="AM50" i="19"/>
  <c r="AJ74" i="19"/>
  <c r="AL74" i="19" s="1"/>
  <c r="B96" i="19"/>
  <c r="AK144" i="19"/>
  <c r="AD137" i="19"/>
  <c r="AK112" i="19"/>
  <c r="AM21" i="19"/>
  <c r="AM61" i="19"/>
  <c r="O224" i="19"/>
  <c r="AM96" i="19"/>
  <c r="Y224" i="19"/>
  <c r="Y248" i="19" s="1"/>
  <c r="AK226" i="17"/>
  <c r="AD226" i="17"/>
  <c r="AK49" i="17"/>
  <c r="AD49" i="17"/>
  <c r="AK51" i="17"/>
  <c r="AD51" i="17"/>
  <c r="AK55" i="17"/>
  <c r="AD55" i="17"/>
  <c r="AD40" i="17"/>
  <c r="AD44" i="17"/>
  <c r="C74" i="23"/>
  <c r="F74" i="23" s="1"/>
  <c r="C65" i="23"/>
  <c r="F65" i="23" s="1"/>
  <c r="C51" i="23"/>
  <c r="F51" i="23" s="1"/>
  <c r="D70" i="23"/>
  <c r="K70" i="23" s="1"/>
  <c r="S469" i="18"/>
  <c r="AC465" i="18"/>
  <c r="AD465" i="18" s="1"/>
  <c r="AD469" i="18" s="1"/>
  <c r="D51" i="23"/>
  <c r="I51" i="23" s="1"/>
  <c r="AK39" i="22"/>
  <c r="AK46" i="22"/>
  <c r="AK109" i="22"/>
  <c r="AM115" i="22"/>
  <c r="AK106" i="22"/>
  <c r="AK99" i="22"/>
  <c r="AK102" i="22"/>
  <c r="AJ132" i="22"/>
  <c r="AL132" i="22" s="1"/>
  <c r="AC124" i="22"/>
  <c r="Z124" i="22"/>
  <c r="Z134" i="22" s="1"/>
  <c r="Z142" i="22" s="1"/>
  <c r="AM131" i="22"/>
  <c r="AM47" i="22"/>
  <c r="AK26" i="22"/>
  <c r="AM48" i="22"/>
  <c r="AK72" i="22"/>
  <c r="AM56" i="22"/>
  <c r="K88" i="22"/>
  <c r="AK131" i="22"/>
  <c r="AK132" i="22" s="1"/>
  <c r="AM27" i="22"/>
  <c r="AK119" i="22"/>
  <c r="AC132" i="22"/>
  <c r="E41" i="23" s="1"/>
  <c r="M41" i="23" s="1"/>
  <c r="AK115" i="22"/>
  <c r="B84" i="22"/>
  <c r="M88" i="22"/>
  <c r="O88" i="22"/>
  <c r="AM51" i="22"/>
  <c r="AM70" i="22"/>
  <c r="AM101" i="22"/>
  <c r="B134" i="22"/>
  <c r="B89" i="23" s="1"/>
  <c r="AD78" i="22"/>
  <c r="AD72" i="22"/>
  <c r="AK56" i="22"/>
  <c r="AK67" i="22"/>
  <c r="AK118" i="22"/>
  <c r="AK87" i="22"/>
  <c r="AM43" i="22"/>
  <c r="AM83" i="22"/>
  <c r="AM67" i="22"/>
  <c r="AK91" i="22"/>
  <c r="AK95" i="22" s="1"/>
  <c r="AJ95" i="22"/>
  <c r="AL95" i="22" s="1"/>
  <c r="AK48" i="22"/>
  <c r="B140" i="22"/>
  <c r="B45" i="23" s="1"/>
  <c r="M132" i="22"/>
  <c r="C41" i="23" s="1"/>
  <c r="H41" i="23" s="1"/>
  <c r="AJ124" i="22"/>
  <c r="AL124" i="22" s="1"/>
  <c r="AJ88" i="22"/>
  <c r="AL88" i="22" s="1"/>
  <c r="AK61" i="22"/>
  <c r="AC75" i="22"/>
  <c r="AD75" i="22" s="1"/>
  <c r="AK120" i="22"/>
  <c r="AK116" i="22"/>
  <c r="AC37" i="22"/>
  <c r="AB141" i="22"/>
  <c r="Y141" i="22"/>
  <c r="AD90" i="22"/>
  <c r="AD95" i="22" s="1"/>
  <c r="AC95" i="22"/>
  <c r="AD18" i="22"/>
  <c r="AM305" i="18"/>
  <c r="B102" i="18"/>
  <c r="B106" i="18" s="1"/>
  <c r="AM450" i="18"/>
  <c r="AK27" i="18"/>
  <c r="AK34" i="18" s="1"/>
  <c r="AM27" i="18"/>
  <c r="O212" i="18"/>
  <c r="D63" i="23" s="1"/>
  <c r="J63" i="23" s="1"/>
  <c r="AK139" i="18"/>
  <c r="AK141" i="18" s="1"/>
  <c r="AK150" i="18"/>
  <c r="AK153" i="18" s="1"/>
  <c r="AJ284" i="18"/>
  <c r="AL284" i="18" s="1"/>
  <c r="AM197" i="18"/>
  <c r="AJ153" i="18"/>
  <c r="AL153" i="18" s="1"/>
  <c r="AL76" i="18"/>
  <c r="AM304" i="18"/>
  <c r="B457" i="18"/>
  <c r="B461" i="18" s="1"/>
  <c r="AM432" i="18"/>
  <c r="AK282" i="18"/>
  <c r="AK87" i="18"/>
  <c r="AK88" i="18" s="1"/>
  <c r="AJ88" i="18"/>
  <c r="AL88" i="18" s="1"/>
  <c r="AM236" i="18"/>
  <c r="AM263" i="18"/>
  <c r="AM335" i="18"/>
  <c r="AM190" i="18"/>
  <c r="B76" i="18"/>
  <c r="AK103" i="18"/>
  <c r="AK106" i="18" s="1"/>
  <c r="AJ85" i="18"/>
  <c r="AL85" i="18" s="1"/>
  <c r="AJ24" i="18"/>
  <c r="AL127" i="18"/>
  <c r="AM84" i="18"/>
  <c r="AM105" i="18"/>
  <c r="AM230" i="18"/>
  <c r="AM396" i="18"/>
  <c r="AC62" i="18"/>
  <c r="AD62" i="18" s="1"/>
  <c r="AD67" i="18" s="1"/>
  <c r="AM139" i="18"/>
  <c r="AM283" i="18"/>
  <c r="AJ67" i="18"/>
  <c r="AL67" i="18" s="1"/>
  <c r="AK283" i="18"/>
  <c r="AK284" i="18" s="1"/>
  <c r="AM322" i="18"/>
  <c r="AJ279" i="18"/>
  <c r="AL279" i="18" s="1"/>
  <c r="AM75" i="18"/>
  <c r="AM329" i="18"/>
  <c r="AK61" i="18"/>
  <c r="AK67" i="18" s="1"/>
  <c r="O461" i="18"/>
  <c r="E501" i="18" s="1"/>
  <c r="B184" i="18"/>
  <c r="B212" i="18" s="1"/>
  <c r="AJ355" i="18"/>
  <c r="AL355" i="18" s="1"/>
  <c r="M212" i="18"/>
  <c r="C63" i="23" s="1"/>
  <c r="AJ270" i="18"/>
  <c r="AL270" i="18" s="1"/>
  <c r="AK278" i="18"/>
  <c r="AK279" i="18" s="1"/>
  <c r="B91" i="18"/>
  <c r="AJ106" i="18"/>
  <c r="AL106" i="18" s="1"/>
  <c r="X212" i="18"/>
  <c r="X474" i="18" s="1"/>
  <c r="X481" i="18" s="1"/>
  <c r="AM102" i="18"/>
  <c r="M461" i="18"/>
  <c r="D501" i="18" s="1"/>
  <c r="AD102" i="18"/>
  <c r="B280" i="18"/>
  <c r="C526" i="18" s="1"/>
  <c r="B479" i="18"/>
  <c r="B78" i="23" s="1"/>
  <c r="M333" i="18"/>
  <c r="C66" i="23" s="1"/>
  <c r="M141" i="18"/>
  <c r="D508" i="18" s="1"/>
  <c r="AJ333" i="18"/>
  <c r="AL333" i="18" s="1"/>
  <c r="M270" i="18"/>
  <c r="C72" i="23" s="1"/>
  <c r="F72" i="23" s="1"/>
  <c r="M355" i="18"/>
  <c r="D503" i="18" s="1"/>
  <c r="AK50" i="18"/>
  <c r="W50" i="1"/>
  <c r="AK48" i="1"/>
  <c r="J8" i="23"/>
  <c r="M55" i="1"/>
  <c r="AK43" i="1"/>
  <c r="Z50" i="1"/>
  <c r="F7" i="23"/>
  <c r="Y50" i="1"/>
  <c r="Y55" i="1" s="1"/>
  <c r="J6" i="23"/>
  <c r="K6" i="23"/>
  <c r="J7" i="23"/>
  <c r="I7" i="23"/>
  <c r="K7" i="23"/>
  <c r="H8" i="23"/>
  <c r="G8" i="23"/>
  <c r="F8" i="23"/>
  <c r="U56" i="1"/>
  <c r="U50" i="1"/>
  <c r="W56" i="1"/>
  <c r="T56" i="1"/>
  <c r="H7" i="23"/>
  <c r="K8" i="23"/>
  <c r="V56" i="1"/>
  <c r="I8" i="23"/>
  <c r="N55" i="1"/>
  <c r="M50" i="1"/>
  <c r="C11" i="23" s="1"/>
  <c r="AL37" i="1"/>
  <c r="AL50" i="1" s="1"/>
  <c r="O50" i="1"/>
  <c r="AD54" i="1" s="1"/>
  <c r="Z56" i="1"/>
  <c r="AK37" i="1"/>
  <c r="AK50" i="1" s="1"/>
  <c r="B37" i="1"/>
  <c r="AB50" i="1"/>
  <c r="AB56" i="1"/>
  <c r="AC48" i="1"/>
  <c r="E8" i="23" s="1"/>
  <c r="I6" i="23"/>
  <c r="AK58" i="18"/>
  <c r="AK359" i="18"/>
  <c r="AB293" i="17"/>
  <c r="AB307" i="17" s="1"/>
  <c r="F11" i="23"/>
  <c r="G6" i="23"/>
  <c r="D9" i="23"/>
  <c r="AJ348" i="18"/>
  <c r="AL348" i="18" s="1"/>
  <c r="AJ115" i="18"/>
  <c r="AL115" i="18" s="1"/>
  <c r="AJ461" i="18"/>
  <c r="AL461" i="18" s="1"/>
  <c r="AK90" i="18"/>
  <c r="AK91" i="18" s="1"/>
  <c r="AJ91" i="18"/>
  <c r="AL91" i="18" s="1"/>
  <c r="AM65" i="18"/>
  <c r="AM72" i="18"/>
  <c r="B305" i="18"/>
  <c r="B333" i="18" s="1"/>
  <c r="AK353" i="18"/>
  <c r="AK355" i="18" s="1"/>
  <c r="AM353" i="18"/>
  <c r="B59" i="18"/>
  <c r="AM350" i="18"/>
  <c r="AM148" i="18"/>
  <c r="AM286" i="18"/>
  <c r="B65" i="18"/>
  <c r="B67" i="18" s="1"/>
  <c r="B88" i="18"/>
  <c r="AJ73" i="18"/>
  <c r="AL73" i="18" s="1"/>
  <c r="Z461" i="18"/>
  <c r="Z474" i="18" s="1"/>
  <c r="Z481" i="18" s="1"/>
  <c r="B58" i="23"/>
  <c r="K58" i="23" s="1"/>
  <c r="AM328" i="18"/>
  <c r="AK270" i="18"/>
  <c r="AM354" i="18"/>
  <c r="AL122" i="18"/>
  <c r="B53" i="23"/>
  <c r="AJ212" i="18"/>
  <c r="AL212" i="18" s="1"/>
  <c r="AK350" i="18"/>
  <c r="AK351" i="18" s="1"/>
  <c r="AK111" i="18"/>
  <c r="AK115" i="18" s="1"/>
  <c r="V67" i="18"/>
  <c r="V474" i="18" s="1"/>
  <c r="V481" i="18" s="1"/>
  <c r="B139" i="18"/>
  <c r="B141" i="18" s="1"/>
  <c r="B354" i="18"/>
  <c r="B355" i="18" s="1"/>
  <c r="AK127" i="19"/>
  <c r="AM19" i="19"/>
  <c r="AK76" i="19"/>
  <c r="AM76" i="19"/>
  <c r="AK138" i="19"/>
  <c r="AK32" i="19"/>
  <c r="AM20" i="19"/>
  <c r="B246" i="19"/>
  <c r="B34" i="23" s="1"/>
  <c r="AJ239" i="19"/>
  <c r="AL239" i="19" s="1"/>
  <c r="AC77" i="19"/>
  <c r="AD77" i="19" s="1"/>
  <c r="AJ44" i="19"/>
  <c r="AL44" i="19" s="1"/>
  <c r="AK170" i="19"/>
  <c r="AK36" i="19"/>
  <c r="AK39" i="19" s="1"/>
  <c r="AK214" i="19"/>
  <c r="AM137" i="19"/>
  <c r="AJ39" i="19"/>
  <c r="AL39" i="19" s="1"/>
  <c r="AK42" i="19"/>
  <c r="AK44" i="19" s="1"/>
  <c r="X141" i="22"/>
  <c r="U134" i="22"/>
  <c r="U142" i="22" s="1"/>
  <c r="B95" i="22"/>
  <c r="AA141" i="22"/>
  <c r="S134" i="22"/>
  <c r="S142" i="22" s="1"/>
  <c r="R141" i="22"/>
  <c r="B132" i="22"/>
  <c r="G41" i="23"/>
  <c r="F42" i="23"/>
  <c r="U141" i="22"/>
  <c r="W134" i="22"/>
  <c r="W142" i="22" s="1"/>
  <c r="X134" i="22"/>
  <c r="X142" i="22" s="1"/>
  <c r="B124" i="22"/>
  <c r="S141" i="22"/>
  <c r="R134" i="22"/>
  <c r="E40" i="23"/>
  <c r="N40" i="23" s="1"/>
  <c r="Q134" i="22"/>
  <c r="Y134" i="22"/>
  <c r="Y142" i="22" s="1"/>
  <c r="AA134" i="22"/>
  <c r="AA142" i="22" s="1"/>
  <c r="V134" i="22"/>
  <c r="V142" i="22" s="1"/>
  <c r="AD97" i="22"/>
  <c r="AD124" i="22" s="1"/>
  <c r="Q141" i="22"/>
  <c r="J41" i="23"/>
  <c r="B43" i="23"/>
  <c r="B88" i="22"/>
  <c r="V141" i="22"/>
  <c r="W141" i="22"/>
  <c r="H42" i="23"/>
  <c r="AM59" i="18"/>
  <c r="K41" i="23"/>
  <c r="I41" i="23"/>
  <c r="I40" i="23"/>
  <c r="J40" i="23"/>
  <c r="AL134" i="22"/>
  <c r="AD87" i="18"/>
  <c r="AD88" i="18" s="1"/>
  <c r="K56" i="23"/>
  <c r="AM191" i="19"/>
  <c r="AM150" i="19"/>
  <c r="AM152" i="19"/>
  <c r="AK55" i="19"/>
  <c r="AK66" i="19" s="1"/>
  <c r="AC152" i="19"/>
  <c r="AD152" i="19" s="1"/>
  <c r="AK121" i="19"/>
  <c r="B231" i="19"/>
  <c r="B239" i="19" s="1"/>
  <c r="AC163" i="19"/>
  <c r="AD163" i="19" s="1"/>
  <c r="AM104" i="19"/>
  <c r="B61" i="19"/>
  <c r="B66" i="19" s="1"/>
  <c r="AM31" i="19"/>
  <c r="AC28" i="19"/>
  <c r="AD28" i="19" s="1"/>
  <c r="AD34" i="19" s="1"/>
  <c r="AM142" i="19"/>
  <c r="AK212" i="19"/>
  <c r="B31" i="19"/>
  <c r="B34" i="19" s="1"/>
  <c r="AK221" i="19"/>
  <c r="AL87" i="19"/>
  <c r="Z224" i="19"/>
  <c r="Z248" i="19" s="1"/>
  <c r="AK96" i="19"/>
  <c r="AK122" i="19"/>
  <c r="X224" i="19"/>
  <c r="X248" i="19" s="1"/>
  <c r="AK123" i="19"/>
  <c r="U224" i="19"/>
  <c r="U248" i="19" s="1"/>
  <c r="AA224" i="19"/>
  <c r="AA248" i="19" s="1"/>
  <c r="M74" i="19"/>
  <c r="D257" i="19" s="1"/>
  <c r="G69" i="23"/>
  <c r="AC355" i="18"/>
  <c r="AK24" i="18"/>
  <c r="G57" i="23"/>
  <c r="AK82" i="18"/>
  <c r="C58" i="23"/>
  <c r="AD146" i="18"/>
  <c r="AC351" i="18"/>
  <c r="E69" i="23" s="1"/>
  <c r="N69" i="23" s="1"/>
  <c r="AB480" i="18"/>
  <c r="AB474" i="18"/>
  <c r="AB481" i="18" s="1"/>
  <c r="I59" i="23"/>
  <c r="G68" i="23"/>
  <c r="AD69" i="18"/>
  <c r="AD70" i="18" s="1"/>
  <c r="C9" i="23"/>
  <c r="F6" i="23"/>
  <c r="T88" i="22"/>
  <c r="T132" i="22"/>
  <c r="AB134" i="22"/>
  <c r="AB142" i="22" s="1"/>
  <c r="AK42" i="17"/>
  <c r="AK53" i="17"/>
  <c r="AK268" i="17"/>
  <c r="AK286" i="17"/>
  <c r="B273" i="17"/>
  <c r="AM109" i="17"/>
  <c r="AK96" i="17"/>
  <c r="AM237" i="17"/>
  <c r="B17" i="17"/>
  <c r="B321" i="17" s="1"/>
  <c r="AK253" i="17"/>
  <c r="B228" i="17"/>
  <c r="AM58" i="17"/>
  <c r="AK114" i="17"/>
  <c r="B112" i="17"/>
  <c r="AM242" i="17"/>
  <c r="B119" i="17"/>
  <c r="X129" i="17"/>
  <c r="X300" i="17" s="1"/>
  <c r="AK99" i="17"/>
  <c r="B206" i="17"/>
  <c r="B323" i="17" s="1"/>
  <c r="AK37" i="17"/>
  <c r="AJ134" i="17"/>
  <c r="AL134" i="17" s="1"/>
  <c r="AK52" i="17"/>
  <c r="AK97" i="17"/>
  <c r="C17" i="23"/>
  <c r="D314" i="17"/>
  <c r="AM132" i="17"/>
  <c r="B138" i="17"/>
  <c r="C315" i="17"/>
  <c r="AC291" i="17"/>
  <c r="T219" i="17"/>
  <c r="AC134" i="17"/>
  <c r="F312" i="17" s="1"/>
  <c r="B134" i="17"/>
  <c r="AM205" i="17"/>
  <c r="AK134" i="17"/>
  <c r="T205" i="17"/>
  <c r="U300" i="17"/>
  <c r="D310" i="17"/>
  <c r="AK58" i="17"/>
  <c r="AK289" i="17"/>
  <c r="AK291" i="17" s="1"/>
  <c r="B291" i="17"/>
  <c r="AM54" i="17"/>
  <c r="AK144" i="17"/>
  <c r="AK138" i="17"/>
  <c r="B106" i="17"/>
  <c r="V129" i="17"/>
  <c r="V300" i="17" s="1"/>
  <c r="AM72" i="17"/>
  <c r="B205" i="17"/>
  <c r="AJ205" i="17"/>
  <c r="AL205" i="17" s="1"/>
  <c r="AK26" i="17"/>
  <c r="AK31" i="17"/>
  <c r="B144" i="17"/>
  <c r="AK85" i="17"/>
  <c r="AK111" i="17"/>
  <c r="U293" i="17"/>
  <c r="U307" i="17" s="1"/>
  <c r="AK236" i="17"/>
  <c r="AJ129" i="17"/>
  <c r="AL129" i="17" s="1"/>
  <c r="AM245" i="17"/>
  <c r="AM90" i="17"/>
  <c r="AD131" i="17"/>
  <c r="AD134" i="17" s="1"/>
  <c r="AM140" i="17"/>
  <c r="B62" i="17"/>
  <c r="AK164" i="17"/>
  <c r="AK205" i="17" s="1"/>
  <c r="R293" i="17"/>
  <c r="Q300" i="17"/>
  <c r="R300" i="17"/>
  <c r="Q293" i="17"/>
  <c r="AA293" i="17"/>
  <c r="AA307" i="17" s="1"/>
  <c r="O219" i="17"/>
  <c r="S293" i="17"/>
  <c r="S307" i="17" s="1"/>
  <c r="Z300" i="17"/>
  <c r="Y293" i="17"/>
  <c r="Y307" i="17" s="1"/>
  <c r="W300" i="17"/>
  <c r="AB300" i="17"/>
  <c r="AD134" i="18"/>
  <c r="AD135" i="18" s="1"/>
  <c r="AD153" i="18"/>
  <c r="I62" i="23"/>
  <c r="B58" i="18"/>
  <c r="AC359" i="18"/>
  <c r="AC472" i="18"/>
  <c r="AC284" i="18"/>
  <c r="E65" i="23" s="1"/>
  <c r="M65" i="23" s="1"/>
  <c r="F52" i="23"/>
  <c r="H69" i="23"/>
  <c r="J69" i="23"/>
  <c r="AC38" i="18"/>
  <c r="B64" i="23"/>
  <c r="AD141" i="18"/>
  <c r="AK146" i="18"/>
  <c r="H55" i="23"/>
  <c r="B348" i="18"/>
  <c r="AD284" i="18"/>
  <c r="AD90" i="18"/>
  <c r="AD91" i="18" s="1"/>
  <c r="AC127" i="18"/>
  <c r="E59" i="23" s="1"/>
  <c r="N59" i="23" s="1"/>
  <c r="B279" i="18"/>
  <c r="B339" i="18"/>
  <c r="B275" i="18"/>
  <c r="D61" i="23"/>
  <c r="J61" i="23" s="1"/>
  <c r="K74" i="23"/>
  <c r="G54" i="23"/>
  <c r="H54" i="23"/>
  <c r="F69" i="23"/>
  <c r="J62" i="23"/>
  <c r="K62" i="23"/>
  <c r="AD84" i="18"/>
  <c r="AD85" i="18" s="1"/>
  <c r="AK98" i="18"/>
  <c r="B115" i="18"/>
  <c r="AD82" i="18"/>
  <c r="AC146" i="18"/>
  <c r="AK339" i="18"/>
  <c r="AI115" i="18"/>
  <c r="B146" i="18"/>
  <c r="B284" i="18"/>
  <c r="I56" i="23"/>
  <c r="AK127" i="18"/>
  <c r="F57" i="23"/>
  <c r="B71" i="23"/>
  <c r="D71" i="23"/>
  <c r="AK132" i="18"/>
  <c r="AI106" i="18"/>
  <c r="K59" i="23"/>
  <c r="J56" i="23"/>
  <c r="J72" i="23"/>
  <c r="I52" i="23"/>
  <c r="B127" i="18"/>
  <c r="B153" i="18"/>
  <c r="AD50" i="18"/>
  <c r="B50" i="18"/>
  <c r="I57" i="23"/>
  <c r="K57" i="23"/>
  <c r="J57" i="23"/>
  <c r="F62" i="23"/>
  <c r="H62" i="23"/>
  <c r="G62" i="23"/>
  <c r="G56" i="23"/>
  <c r="F56" i="23"/>
  <c r="H56" i="23"/>
  <c r="K68" i="23"/>
  <c r="J68" i="23"/>
  <c r="K67" i="23"/>
  <c r="I67" i="23"/>
  <c r="J67" i="23"/>
  <c r="F67" i="23"/>
  <c r="AC58" i="18"/>
  <c r="AD34" i="18"/>
  <c r="K52" i="23"/>
  <c r="I72" i="23"/>
  <c r="G74" i="23"/>
  <c r="AC153" i="18"/>
  <c r="E62" i="23" s="1"/>
  <c r="M62" i="23" s="1"/>
  <c r="B75" i="23"/>
  <c r="F54" i="23"/>
  <c r="AC73" i="18"/>
  <c r="AD124" i="18"/>
  <c r="AD127" i="18" s="1"/>
  <c r="AK469" i="18"/>
  <c r="H67" i="23"/>
  <c r="B132" i="18"/>
  <c r="B42" i="18"/>
  <c r="B122" i="18"/>
  <c r="J70" i="23"/>
  <c r="B359" i="18"/>
  <c r="B469" i="18"/>
  <c r="G67" i="23"/>
  <c r="AC141" i="18"/>
  <c r="F508" i="18" s="1"/>
  <c r="J52" i="23"/>
  <c r="AC34" i="18"/>
  <c r="E52" i="23" s="1"/>
  <c r="N52" i="23" s="1"/>
  <c r="H57" i="23"/>
  <c r="AK348" i="18"/>
  <c r="K55" i="23"/>
  <c r="AC50" i="18"/>
  <c r="F505" i="18" s="1"/>
  <c r="B38" i="18"/>
  <c r="Y474" i="18"/>
  <c r="Y481" i="18" s="1"/>
  <c r="B46" i="18"/>
  <c r="AK122" i="18"/>
  <c r="AD115" i="18"/>
  <c r="AD126" i="22"/>
  <c r="AD132" i="22" s="1"/>
  <c r="O134" i="22"/>
  <c r="O141" i="22" s="1"/>
  <c r="C40" i="23"/>
  <c r="K40" i="23"/>
  <c r="AK275" i="18"/>
  <c r="K72" i="23"/>
  <c r="AD335" i="18"/>
  <c r="AD339" i="18" s="1"/>
  <c r="AC339" i="18"/>
  <c r="E67" i="23" s="1"/>
  <c r="G52" i="23"/>
  <c r="H52" i="23"/>
  <c r="AC82" i="18"/>
  <c r="AC76" i="18"/>
  <c r="AD75" i="18"/>
  <c r="AD76" i="18" s="1"/>
  <c r="S333" i="18"/>
  <c r="H59" i="23"/>
  <c r="G59" i="23"/>
  <c r="F59" i="23"/>
  <c r="J59" i="23"/>
  <c r="F68" i="23"/>
  <c r="H68" i="23"/>
  <c r="I68" i="23"/>
  <c r="G60" i="23"/>
  <c r="F60" i="23"/>
  <c r="H60" i="23"/>
  <c r="AD132" i="18"/>
  <c r="B270" i="18"/>
  <c r="J54" i="23"/>
  <c r="I54" i="23"/>
  <c r="D66" i="23"/>
  <c r="AD41" i="18"/>
  <c r="AD42" i="18" s="1"/>
  <c r="AC42" i="18"/>
  <c r="AD118" i="18"/>
  <c r="AD122" i="18" s="1"/>
  <c r="AC122" i="18"/>
  <c r="E58" i="23" s="1"/>
  <c r="S270" i="18"/>
  <c r="C53" i="23"/>
  <c r="K54" i="23"/>
  <c r="AD101" i="18"/>
  <c r="AC106" i="18"/>
  <c r="E56" i="23" s="1"/>
  <c r="I60" i="23"/>
  <c r="J60" i="23"/>
  <c r="K60" i="23"/>
  <c r="AC54" i="18"/>
  <c r="F509" i="18" s="1"/>
  <c r="AD53" i="18"/>
  <c r="AD54" i="18" s="1"/>
  <c r="AD348" i="18"/>
  <c r="AC348" i="18"/>
  <c r="E68" i="23" s="1"/>
  <c r="M68" i="23" s="1"/>
  <c r="AD274" i="18"/>
  <c r="AD275" i="18" s="1"/>
  <c r="AC275" i="18"/>
  <c r="E73" i="23" s="1"/>
  <c r="S461" i="18"/>
  <c r="AD23" i="18"/>
  <c r="AD24" i="18" s="1"/>
  <c r="AC24" i="18"/>
  <c r="E51" i="23" s="1"/>
  <c r="L51" i="23" s="1"/>
  <c r="Y480" i="18"/>
  <c r="AC98" i="18"/>
  <c r="E55" i="23" s="1"/>
  <c r="N55" i="23" s="1"/>
  <c r="AD277" i="18"/>
  <c r="AD279" i="18" s="1"/>
  <c r="AC279" i="18"/>
  <c r="B34" i="18"/>
  <c r="B24" i="18"/>
  <c r="T474" i="18"/>
  <c r="T481" i="18" s="1"/>
  <c r="R480" i="18"/>
  <c r="Q474" i="18"/>
  <c r="U480" i="18"/>
  <c r="B98" i="18"/>
  <c r="B54" i="18"/>
  <c r="AK54" i="18"/>
  <c r="AK38" i="18"/>
  <c r="AD58" i="18"/>
  <c r="W474" i="18"/>
  <c r="W481" i="18" s="1"/>
  <c r="AA474" i="18"/>
  <c r="AA481" i="18" s="1"/>
  <c r="AD46" i="18"/>
  <c r="AI122" i="18"/>
  <c r="N54" i="23"/>
  <c r="L54" i="23"/>
  <c r="M54" i="23"/>
  <c r="AC115" i="18"/>
  <c r="E57" i="23" s="1"/>
  <c r="K69" i="23"/>
  <c r="J55" i="23"/>
  <c r="G55" i="23"/>
  <c r="W480" i="18"/>
  <c r="Q480" i="18"/>
  <c r="R474" i="18"/>
  <c r="U474" i="18"/>
  <c r="U481" i="18" s="1"/>
  <c r="I69" i="23"/>
  <c r="AA480" i="18"/>
  <c r="AC79" i="18"/>
  <c r="AD96" i="18"/>
  <c r="AD98" i="18" s="1"/>
  <c r="AD38" i="18"/>
  <c r="S115" i="18"/>
  <c r="F55" i="23"/>
  <c r="I55" i="23"/>
  <c r="D53" i="23"/>
  <c r="T480" i="18"/>
  <c r="AC132" i="18"/>
  <c r="E60" i="23" s="1"/>
  <c r="AC46" i="18"/>
  <c r="F502" i="18" s="1"/>
  <c r="AD354" i="18"/>
  <c r="AD355" i="18" s="1"/>
  <c r="I70" i="23"/>
  <c r="AK86" i="19"/>
  <c r="AJ224" i="19"/>
  <c r="AL224" i="19" s="1"/>
  <c r="AJ116" i="19"/>
  <c r="AL116" i="19" s="1"/>
  <c r="C256" i="19"/>
  <c r="C261" i="19" s="1"/>
  <c r="B29" i="23"/>
  <c r="I29" i="23" s="1"/>
  <c r="B68" i="19"/>
  <c r="B74" i="19" s="1"/>
  <c r="AK70" i="19"/>
  <c r="AK102" i="19"/>
  <c r="B142" i="19"/>
  <c r="AK209" i="19"/>
  <c r="AC76" i="19"/>
  <c r="AD76" i="19" s="1"/>
  <c r="AC195" i="19"/>
  <c r="AD195" i="19" s="1"/>
  <c r="M34" i="19"/>
  <c r="D254" i="19" s="1"/>
  <c r="AM27" i="19"/>
  <c r="AM41" i="19"/>
  <c r="AM201" i="19"/>
  <c r="AK24" i="19"/>
  <c r="AM54" i="19"/>
  <c r="T66" i="19"/>
  <c r="AM55" i="19"/>
  <c r="AK72" i="19"/>
  <c r="B76" i="19"/>
  <c r="B87" i="19" s="1"/>
  <c r="B205" i="19"/>
  <c r="M224" i="19"/>
  <c r="C27" i="23" s="1"/>
  <c r="G27" i="23" s="1"/>
  <c r="AC139" i="19"/>
  <c r="AD139" i="19" s="1"/>
  <c r="AC159" i="19"/>
  <c r="AD159" i="19" s="1"/>
  <c r="AM52" i="19"/>
  <c r="B41" i="19"/>
  <c r="B44" i="19" s="1"/>
  <c r="AD121" i="19"/>
  <c r="AM24" i="19"/>
  <c r="AK174" i="19"/>
  <c r="AM69" i="19"/>
  <c r="AC101" i="19"/>
  <c r="AD101" i="19" s="1"/>
  <c r="AD138" i="19"/>
  <c r="M66" i="19"/>
  <c r="AD138" i="17"/>
  <c r="Y300" i="17"/>
  <c r="AA300" i="17"/>
  <c r="AC144" i="17"/>
  <c r="F314" i="17" s="1"/>
  <c r="Z293" i="17"/>
  <c r="Z307" i="17" s="1"/>
  <c r="AD291" i="17"/>
  <c r="W293" i="17"/>
  <c r="W307" i="17" s="1"/>
  <c r="AD144" i="17"/>
  <c r="AC205" i="17"/>
  <c r="E18" i="23" s="1"/>
  <c r="S300" i="17"/>
  <c r="E311" i="17"/>
  <c r="AC138" i="17"/>
  <c r="F313" i="17" s="1"/>
  <c r="J18" i="23"/>
  <c r="I18" i="23"/>
  <c r="K18" i="23"/>
  <c r="AD205" i="17"/>
  <c r="O129" i="17"/>
  <c r="D27" i="23"/>
  <c r="K27" i="23" s="1"/>
  <c r="Q248" i="19"/>
  <c r="D30" i="23"/>
  <c r="K30" i="23" s="1"/>
  <c r="H28" i="23"/>
  <c r="D31" i="23"/>
  <c r="J31" i="23" s="1"/>
  <c r="B266" i="19"/>
  <c r="O241" i="19"/>
  <c r="C88" i="23" s="1"/>
  <c r="I26" i="23"/>
  <c r="V241" i="19"/>
  <c r="V251" i="19" s="1"/>
  <c r="R248" i="19"/>
  <c r="R251" i="19" s="1"/>
  <c r="E255" i="19"/>
  <c r="H26" i="23"/>
  <c r="F28" i="23"/>
  <c r="AD44" i="19"/>
  <c r="B241" i="19"/>
  <c r="B88" i="23" s="1"/>
  <c r="E256" i="19"/>
  <c r="S241" i="19"/>
  <c r="S251" i="19" s="1"/>
  <c r="E254" i="19"/>
  <c r="G28" i="23"/>
  <c r="R241" i="19"/>
  <c r="W248" i="19"/>
  <c r="AC44" i="19"/>
  <c r="F260" i="19" s="1"/>
  <c r="W241" i="19"/>
  <c r="W251" i="19" s="1"/>
  <c r="AD39" i="19"/>
  <c r="AB241" i="19"/>
  <c r="AB251" i="19" s="1"/>
  <c r="G26" i="23"/>
  <c r="AC39" i="19"/>
  <c r="F258" i="19" s="1"/>
  <c r="Q241" i="19"/>
  <c r="V248" i="19"/>
  <c r="B39" i="19"/>
  <c r="AB248" i="19"/>
  <c r="S248" i="19"/>
  <c r="C29" i="23"/>
  <c r="B265" i="19"/>
  <c r="AC227" i="19"/>
  <c r="F259" i="19" s="1"/>
  <c r="K26" i="23"/>
  <c r="Y241" i="19"/>
  <c r="Y251" i="19" s="1"/>
  <c r="AD74" i="19"/>
  <c r="AK239" i="19"/>
  <c r="F26" i="23"/>
  <c r="B116" i="19"/>
  <c r="T116" i="19"/>
  <c r="AC74" i="19"/>
  <c r="F257" i="19" s="1"/>
  <c r="J26" i="23"/>
  <c r="T34" i="19"/>
  <c r="K28" i="23"/>
  <c r="AC66" i="19"/>
  <c r="F255" i="19" s="1"/>
  <c r="AC239" i="19"/>
  <c r="E28" i="23" s="1"/>
  <c r="M28" i="23" s="1"/>
  <c r="AD110" i="19"/>
  <c r="AD66" i="19"/>
  <c r="T87" i="19"/>
  <c r="J28" i="23"/>
  <c r="I28" i="23"/>
  <c r="T129" i="17"/>
  <c r="AK46" i="17"/>
  <c r="AK48" i="17"/>
  <c r="AD231" i="19"/>
  <c r="S37" i="1"/>
  <c r="AC270" i="18"/>
  <c r="E72" i="23" s="1"/>
  <c r="T224" i="19"/>
  <c r="AC212" i="18"/>
  <c r="AD155" i="18"/>
  <c r="T239" i="19"/>
  <c r="S212" i="18"/>
  <c r="S67" i="18"/>
  <c r="AK40" i="17"/>
  <c r="D64" i="23" l="1"/>
  <c r="H74" i="23"/>
  <c r="X293" i="17"/>
  <c r="X307" i="17" s="1"/>
  <c r="C527" i="18"/>
  <c r="C528" i="18"/>
  <c r="X480" i="18"/>
  <c r="I65" i="23"/>
  <c r="K65" i="23"/>
  <c r="E499" i="18"/>
  <c r="J42" i="23"/>
  <c r="M134" i="22"/>
  <c r="M140" i="22" s="1"/>
  <c r="M146" i="22" s="1"/>
  <c r="Z141" i="22"/>
  <c r="I42" i="23"/>
  <c r="F41" i="23"/>
  <c r="I74" i="23"/>
  <c r="F510" i="18"/>
  <c r="AD18" i="1"/>
  <c r="AD37" i="1" s="1"/>
  <c r="AD239" i="19"/>
  <c r="AD40" i="1"/>
  <c r="AD43" i="1" s="1"/>
  <c r="AC43" i="1"/>
  <c r="E7" i="23" s="1"/>
  <c r="F507" i="18"/>
  <c r="E70" i="23"/>
  <c r="L70" i="23" s="1"/>
  <c r="F503" i="18"/>
  <c r="D499" i="18"/>
  <c r="D500" i="18"/>
  <c r="F506" i="18"/>
  <c r="E74" i="23"/>
  <c r="N74" i="23" s="1"/>
  <c r="F504" i="18"/>
  <c r="E42" i="23"/>
  <c r="L42" i="23" s="1"/>
  <c r="F149" i="22"/>
  <c r="C39" i="23"/>
  <c r="F39" i="23" s="1"/>
  <c r="D148" i="22"/>
  <c r="D150" i="22" s="1"/>
  <c r="D39" i="23"/>
  <c r="E148" i="22"/>
  <c r="E150" i="22" s="1"/>
  <c r="AC219" i="17"/>
  <c r="AC287" i="17" s="1"/>
  <c r="E17" i="23" s="1"/>
  <c r="O287" i="17"/>
  <c r="D17" i="23" s="1"/>
  <c r="C86" i="23"/>
  <c r="D86" i="23" s="1"/>
  <c r="G51" i="23"/>
  <c r="C75" i="23"/>
  <c r="G75" i="23" s="1"/>
  <c r="H65" i="23"/>
  <c r="C61" i="23"/>
  <c r="F61" i="23" s="1"/>
  <c r="O474" i="18"/>
  <c r="AD478" i="18" s="1"/>
  <c r="H51" i="23"/>
  <c r="O480" i="18"/>
  <c r="AL24" i="18"/>
  <c r="AJ474" i="18"/>
  <c r="K51" i="23"/>
  <c r="G65" i="23"/>
  <c r="C70" i="23"/>
  <c r="G70" i="23" s="1"/>
  <c r="AD106" i="18"/>
  <c r="G66" i="23"/>
  <c r="G72" i="23"/>
  <c r="F66" i="23"/>
  <c r="J51" i="23"/>
  <c r="H66" i="23"/>
  <c r="H58" i="23"/>
  <c r="AK88" i="22"/>
  <c r="AK134" i="22" s="1"/>
  <c r="AD37" i="22"/>
  <c r="AD88" i="22" s="1"/>
  <c r="AD134" i="22" s="1"/>
  <c r="AC88" i="22"/>
  <c r="AK124" i="22"/>
  <c r="AJ134" i="22"/>
  <c r="AC67" i="18"/>
  <c r="D75" i="23"/>
  <c r="K75" i="23" s="1"/>
  <c r="AM68" i="18"/>
  <c r="AK461" i="18"/>
  <c r="AD212" i="18"/>
  <c r="C511" i="18"/>
  <c r="M474" i="18"/>
  <c r="M479" i="18" s="1"/>
  <c r="M483" i="18" s="1"/>
  <c r="C71" i="23"/>
  <c r="F71" i="23" s="1"/>
  <c r="H72" i="23"/>
  <c r="Z480" i="18"/>
  <c r="H11" i="23"/>
  <c r="G11" i="23"/>
  <c r="D11" i="23"/>
  <c r="O56" i="1"/>
  <c r="M8" i="23"/>
  <c r="L8" i="23"/>
  <c r="N8" i="23"/>
  <c r="C30" i="23"/>
  <c r="H30" i="23" s="1"/>
  <c r="V480" i="18"/>
  <c r="AD461" i="18"/>
  <c r="AD270" i="18"/>
  <c r="I58" i="23"/>
  <c r="J58" i="23"/>
  <c r="AL474" i="18"/>
  <c r="AK212" i="18"/>
  <c r="AK333" i="18"/>
  <c r="B50" i="23"/>
  <c r="B76" i="23" s="1"/>
  <c r="B80" i="23" s="1"/>
  <c r="AK87" i="19"/>
  <c r="B17" i="23"/>
  <c r="AD87" i="19"/>
  <c r="AC461" i="18"/>
  <c r="I9" i="23"/>
  <c r="J9" i="23"/>
  <c r="K9" i="23"/>
  <c r="M52" i="23"/>
  <c r="F58" i="23"/>
  <c r="B287" i="17"/>
  <c r="Z241" i="19"/>
  <c r="Z251" i="19" s="1"/>
  <c r="U241" i="19"/>
  <c r="U251" i="19" s="1"/>
  <c r="AK116" i="19"/>
  <c r="L40" i="23"/>
  <c r="M40" i="23"/>
  <c r="C45" i="23"/>
  <c r="G45" i="23" s="1"/>
  <c r="AA241" i="19"/>
  <c r="AA251" i="19" s="1"/>
  <c r="X241" i="19"/>
  <c r="X251" i="19" s="1"/>
  <c r="N65" i="23"/>
  <c r="AC469" i="18"/>
  <c r="M69" i="23"/>
  <c r="L65" i="23"/>
  <c r="B324" i="17"/>
  <c r="AC34" i="19"/>
  <c r="F254" i="19" s="1"/>
  <c r="M74" i="23"/>
  <c r="AK224" i="19"/>
  <c r="B224" i="19"/>
  <c r="F29" i="23"/>
  <c r="AD116" i="19"/>
  <c r="AK74" i="19"/>
  <c r="K29" i="23"/>
  <c r="J29" i="23"/>
  <c r="K61" i="23"/>
  <c r="L74" i="23"/>
  <c r="I61" i="23"/>
  <c r="L69" i="23"/>
  <c r="L52" i="23"/>
  <c r="T141" i="22"/>
  <c r="G58" i="23"/>
  <c r="K71" i="23"/>
  <c r="H9" i="23"/>
  <c r="G9" i="23"/>
  <c r="F9" i="23"/>
  <c r="N41" i="23"/>
  <c r="T134" i="22"/>
  <c r="T142" i="22" s="1"/>
  <c r="L41" i="23"/>
  <c r="B16" i="23"/>
  <c r="B300" i="17"/>
  <c r="B21" i="23" s="1"/>
  <c r="B105" i="23" s="1"/>
  <c r="B293" i="17"/>
  <c r="B87" i="23" s="1"/>
  <c r="B129" i="17"/>
  <c r="T287" i="17"/>
  <c r="T300" i="17" s="1"/>
  <c r="AL293" i="17"/>
  <c r="AJ293" i="17"/>
  <c r="V293" i="17"/>
  <c r="V307" i="17" s="1"/>
  <c r="C16" i="23"/>
  <c r="C18" i="23"/>
  <c r="D311" i="17"/>
  <c r="D315" i="17" s="1"/>
  <c r="AK219" i="17"/>
  <c r="AK287" i="17" s="1"/>
  <c r="L55" i="23"/>
  <c r="I63" i="23"/>
  <c r="I71" i="23"/>
  <c r="E61" i="23"/>
  <c r="L61" i="23" s="1"/>
  <c r="M59" i="23"/>
  <c r="L59" i="23"/>
  <c r="K63" i="23"/>
  <c r="N68" i="23"/>
  <c r="J71" i="23"/>
  <c r="L68" i="23"/>
  <c r="M55" i="23"/>
  <c r="L62" i="23"/>
  <c r="N62" i="23"/>
  <c r="AD333" i="18"/>
  <c r="AC224" i="19"/>
  <c r="E27" i="23" s="1"/>
  <c r="N27" i="23" s="1"/>
  <c r="AC87" i="19"/>
  <c r="E29" i="23" s="1"/>
  <c r="N29" i="23" s="1"/>
  <c r="AD224" i="19"/>
  <c r="B32" i="23"/>
  <c r="AC116" i="19"/>
  <c r="E26" i="23" s="1"/>
  <c r="N26" i="23" s="1"/>
  <c r="M241" i="19"/>
  <c r="M247" i="19" s="1"/>
  <c r="M252" i="19" s="1"/>
  <c r="C31" i="23"/>
  <c r="G31" i="23" s="1"/>
  <c r="D255" i="19"/>
  <c r="N140" i="22"/>
  <c r="N146" i="22" s="1"/>
  <c r="C89" i="23"/>
  <c r="D89" i="23" s="1"/>
  <c r="D45" i="23"/>
  <c r="J45" i="23" s="1"/>
  <c r="AD139" i="22"/>
  <c r="F40" i="23"/>
  <c r="H40" i="23"/>
  <c r="G40" i="23"/>
  <c r="C43" i="23"/>
  <c r="K31" i="23"/>
  <c r="I64" i="23"/>
  <c r="J64" i="23"/>
  <c r="K64" i="23"/>
  <c r="G53" i="23"/>
  <c r="F53" i="23"/>
  <c r="H53" i="23"/>
  <c r="L56" i="23"/>
  <c r="N56" i="23"/>
  <c r="M56" i="23"/>
  <c r="N58" i="23"/>
  <c r="M58" i="23"/>
  <c r="L58" i="23"/>
  <c r="L67" i="23"/>
  <c r="M67" i="23"/>
  <c r="N67" i="23"/>
  <c r="AC333" i="18"/>
  <c r="F500" i="18" s="1"/>
  <c r="M51" i="23"/>
  <c r="N51" i="23"/>
  <c r="C50" i="23"/>
  <c r="I66" i="23"/>
  <c r="J66" i="23"/>
  <c r="K66" i="23"/>
  <c r="G63" i="23"/>
  <c r="H63" i="23"/>
  <c r="F63" i="23"/>
  <c r="G61" i="23"/>
  <c r="H61" i="23"/>
  <c r="M57" i="23"/>
  <c r="L57" i="23"/>
  <c r="N57" i="23"/>
  <c r="M60" i="23"/>
  <c r="N60" i="23"/>
  <c r="L60" i="23"/>
  <c r="K53" i="23"/>
  <c r="D50" i="23"/>
  <c r="J53" i="23"/>
  <c r="I53" i="23"/>
  <c r="I27" i="23"/>
  <c r="D256" i="19"/>
  <c r="I31" i="23"/>
  <c r="J27" i="23"/>
  <c r="F311" i="17"/>
  <c r="D16" i="23"/>
  <c r="F27" i="23"/>
  <c r="D32" i="23"/>
  <c r="I30" i="23"/>
  <c r="J30" i="23"/>
  <c r="O248" i="19"/>
  <c r="AD246" i="19"/>
  <c r="B267" i="19"/>
  <c r="D34" i="23"/>
  <c r="N247" i="19"/>
  <c r="N252" i="19" s="1"/>
  <c r="E261" i="19"/>
  <c r="H27" i="23"/>
  <c r="L28" i="23"/>
  <c r="E30" i="23"/>
  <c r="D88" i="23"/>
  <c r="G29" i="23"/>
  <c r="N28" i="23"/>
  <c r="H29" i="23"/>
  <c r="T248" i="19"/>
  <c r="AD129" i="17"/>
  <c r="AC129" i="17"/>
  <c r="E63" i="23"/>
  <c r="AK129" i="17"/>
  <c r="M72" i="23"/>
  <c r="N72" i="23"/>
  <c r="E71" i="23"/>
  <c r="L72" i="23"/>
  <c r="E6" i="23"/>
  <c r="L18" i="23"/>
  <c r="N18" i="23"/>
  <c r="M18" i="23"/>
  <c r="S56" i="1"/>
  <c r="S50" i="1"/>
  <c r="S55" i="1" s="1"/>
  <c r="T241" i="19"/>
  <c r="T251" i="19" s="1"/>
  <c r="S474" i="18"/>
  <c r="S481" i="18" s="1"/>
  <c r="S480" i="18"/>
  <c r="O300" i="17" l="1"/>
  <c r="J17" i="23"/>
  <c r="O293" i="17"/>
  <c r="C87" i="23" s="1"/>
  <c r="M70" i="23"/>
  <c r="N42" i="23"/>
  <c r="M42" i="23"/>
  <c r="N70" i="23"/>
  <c r="E310" i="17"/>
  <c r="E315" i="17" s="1"/>
  <c r="AD219" i="17"/>
  <c r="AD287" i="17" s="1"/>
  <c r="AD293" i="17" s="1"/>
  <c r="AD50" i="1"/>
  <c r="G39" i="23"/>
  <c r="H39" i="23"/>
  <c r="K39" i="23"/>
  <c r="D43" i="23"/>
  <c r="I39" i="23"/>
  <c r="J39" i="23"/>
  <c r="E53" i="23"/>
  <c r="N53" i="23" s="1"/>
  <c r="F499" i="18"/>
  <c r="E39" i="23"/>
  <c r="E43" i="23" s="1"/>
  <c r="F148" i="22"/>
  <c r="F150" i="22" s="1"/>
  <c r="F501" i="18"/>
  <c r="C78" i="23"/>
  <c r="F78" i="23" s="1"/>
  <c r="H75" i="23"/>
  <c r="E511" i="18"/>
  <c r="AD474" i="18"/>
  <c r="F75" i="23"/>
  <c r="C90" i="23"/>
  <c r="C91" i="23" s="1"/>
  <c r="F70" i="23"/>
  <c r="C64" i="23"/>
  <c r="F64" i="23" s="1"/>
  <c r="G71" i="23"/>
  <c r="H71" i="23"/>
  <c r="AK474" i="18"/>
  <c r="AD480" i="18"/>
  <c r="AD482" i="18" s="1"/>
  <c r="AC480" i="18"/>
  <c r="H70" i="23"/>
  <c r="D511" i="18"/>
  <c r="AC134" i="22"/>
  <c r="O140" i="22" s="1"/>
  <c r="O145" i="22" s="1"/>
  <c r="O146" i="22" s="1"/>
  <c r="AC141" i="22"/>
  <c r="AD141" i="22" s="1"/>
  <c r="D78" i="23"/>
  <c r="J78" i="23" s="1"/>
  <c r="N479" i="18"/>
  <c r="N483" i="18" s="1"/>
  <c r="J75" i="23"/>
  <c r="I75" i="23"/>
  <c r="B474" i="18"/>
  <c r="G30" i="23"/>
  <c r="AD241" i="19"/>
  <c r="F30" i="23"/>
  <c r="H17" i="23"/>
  <c r="J11" i="23"/>
  <c r="K11" i="23"/>
  <c r="I11" i="23"/>
  <c r="B19" i="23"/>
  <c r="C517" i="18"/>
  <c r="M29" i="23"/>
  <c r="I17" i="23"/>
  <c r="L17" i="23"/>
  <c r="F17" i="23"/>
  <c r="G17" i="23"/>
  <c r="K17" i="23"/>
  <c r="E75" i="23"/>
  <c r="M75" i="23" s="1"/>
  <c r="F45" i="23"/>
  <c r="H45" i="23"/>
  <c r="C32" i="23"/>
  <c r="F32" i="23" s="1"/>
  <c r="E31" i="23"/>
  <c r="L31" i="23" s="1"/>
  <c r="M61" i="23"/>
  <c r="N61" i="23"/>
  <c r="AJ297" i="17"/>
  <c r="L29" i="23"/>
  <c r="C34" i="23"/>
  <c r="F34" i="23" s="1"/>
  <c r="F31" i="23"/>
  <c r="M17" i="23"/>
  <c r="N17" i="23"/>
  <c r="B108" i="23"/>
  <c r="T293" i="17"/>
  <c r="T307" i="17" s="1"/>
  <c r="N299" i="17"/>
  <c r="N305" i="17" s="1"/>
  <c r="D21" i="23"/>
  <c r="K21" i="23" s="1"/>
  <c r="AD298" i="17"/>
  <c r="AK293" i="17"/>
  <c r="C21" i="23"/>
  <c r="M299" i="17"/>
  <c r="M305" i="17" s="1"/>
  <c r="G16" i="23"/>
  <c r="F16" i="23"/>
  <c r="H16" i="23"/>
  <c r="C19" i="23"/>
  <c r="H18" i="23"/>
  <c r="G18" i="23"/>
  <c r="F18" i="23"/>
  <c r="I32" i="23"/>
  <c r="D261" i="19"/>
  <c r="F256" i="19"/>
  <c r="F261" i="19" s="1"/>
  <c r="H31" i="23"/>
  <c r="M26" i="23"/>
  <c r="AC241" i="19"/>
  <c r="O247" i="19" s="1"/>
  <c r="O251" i="19" s="1"/>
  <c r="O252" i="19" s="1"/>
  <c r="AC248" i="19"/>
  <c r="AD248" i="19" s="1"/>
  <c r="M27" i="23"/>
  <c r="L26" i="23"/>
  <c r="K45" i="23"/>
  <c r="I45" i="23"/>
  <c r="F43" i="23"/>
  <c r="G43" i="23"/>
  <c r="H43" i="23"/>
  <c r="G50" i="23"/>
  <c r="H50" i="23"/>
  <c r="F50" i="23"/>
  <c r="G78" i="23"/>
  <c r="AC474" i="18"/>
  <c r="E78" i="23" s="1"/>
  <c r="E66" i="23"/>
  <c r="I50" i="23"/>
  <c r="D76" i="23"/>
  <c r="K50" i="23"/>
  <c r="J50" i="23"/>
  <c r="L53" i="23"/>
  <c r="L27" i="23"/>
  <c r="J32" i="23"/>
  <c r="K32" i="23"/>
  <c r="D19" i="23"/>
  <c r="I16" i="23"/>
  <c r="J16" i="23"/>
  <c r="K16" i="23"/>
  <c r="K34" i="23"/>
  <c r="I34" i="23"/>
  <c r="J34" i="23"/>
  <c r="N30" i="23"/>
  <c r="M30" i="23"/>
  <c r="L30" i="23"/>
  <c r="AD56" i="1"/>
  <c r="M7" i="23"/>
  <c r="N7" i="23"/>
  <c r="L7" i="23"/>
  <c r="AC56" i="1"/>
  <c r="AC293" i="17"/>
  <c r="E16" i="23"/>
  <c r="F310" i="17"/>
  <c r="F315" i="17" s="1"/>
  <c r="AC300" i="17"/>
  <c r="AD300" i="17" s="1"/>
  <c r="O55" i="1"/>
  <c r="AC50" i="1"/>
  <c r="E11" i="23" s="1"/>
  <c r="D87" i="23"/>
  <c r="L63" i="23"/>
  <c r="M63" i="23"/>
  <c r="N63" i="23"/>
  <c r="E9" i="23"/>
  <c r="N6" i="23"/>
  <c r="L6" i="23"/>
  <c r="M6" i="23"/>
  <c r="M71" i="23"/>
  <c r="L71" i="23"/>
  <c r="N71" i="23"/>
  <c r="M53" i="23" l="1"/>
  <c r="N39" i="23"/>
  <c r="C76" i="23"/>
  <c r="F76" i="23" s="1"/>
  <c r="E50" i="23"/>
  <c r="N50" i="23" s="1"/>
  <c r="L39" i="23"/>
  <c r="M39" i="23"/>
  <c r="E45" i="23"/>
  <c r="L45" i="23" s="1"/>
  <c r="H78" i="23"/>
  <c r="J43" i="23"/>
  <c r="I43" i="23"/>
  <c r="K43" i="23"/>
  <c r="H64" i="23"/>
  <c r="G64" i="23"/>
  <c r="B475" i="18"/>
  <c r="K78" i="23"/>
  <c r="I78" i="23"/>
  <c r="B90" i="23"/>
  <c r="D90" i="23" s="1"/>
  <c r="AJ475" i="18"/>
  <c r="H19" i="23"/>
  <c r="H32" i="23"/>
  <c r="G32" i="23"/>
  <c r="F511" i="18"/>
  <c r="N75" i="23"/>
  <c r="N31" i="23"/>
  <c r="E32" i="23"/>
  <c r="M32" i="23" s="1"/>
  <c r="L75" i="23"/>
  <c r="M31" i="23"/>
  <c r="H34" i="23"/>
  <c r="C105" i="23"/>
  <c r="D105" i="23" s="1"/>
  <c r="G34" i="23"/>
  <c r="AD302" i="17"/>
  <c r="I21" i="23"/>
  <c r="J21" i="23"/>
  <c r="F19" i="23"/>
  <c r="G19" i="23"/>
  <c r="H21" i="23"/>
  <c r="G21" i="23"/>
  <c r="F21" i="23"/>
  <c r="O479" i="18"/>
  <c r="O482" i="18" s="1"/>
  <c r="O483" i="18" s="1"/>
  <c r="E34" i="23"/>
  <c r="L34" i="23" s="1"/>
  <c r="AC250" i="19"/>
  <c r="N66" i="23"/>
  <c r="L66" i="23"/>
  <c r="M66" i="23"/>
  <c r="E64" i="23"/>
  <c r="I76" i="23"/>
  <c r="K76" i="23"/>
  <c r="J76" i="23"/>
  <c r="J19" i="23"/>
  <c r="I19" i="23"/>
  <c r="K19" i="23"/>
  <c r="M43" i="23"/>
  <c r="N43" i="23"/>
  <c r="G89" i="23"/>
  <c r="H89" i="23" s="1"/>
  <c r="L43" i="23"/>
  <c r="L11" i="23"/>
  <c r="N11" i="23"/>
  <c r="M11" i="23"/>
  <c r="G86" i="23"/>
  <c r="N9" i="23"/>
  <c r="L9" i="23"/>
  <c r="M9" i="23"/>
  <c r="N45" i="23"/>
  <c r="M78" i="23"/>
  <c r="L78" i="23"/>
  <c r="N78" i="23"/>
  <c r="C102" i="23"/>
  <c r="M16" i="23"/>
  <c r="L16" i="23"/>
  <c r="N16" i="23"/>
  <c r="E19" i="23"/>
  <c r="E21" i="23"/>
  <c r="O299" i="17"/>
  <c r="O304" i="17" s="1"/>
  <c r="O305" i="17" s="1"/>
  <c r="H76" i="23" l="1"/>
  <c r="M45" i="23"/>
  <c r="E76" i="23"/>
  <c r="M76" i="23" s="1"/>
  <c r="G76" i="23"/>
  <c r="M50" i="23"/>
  <c r="L50" i="23"/>
  <c r="L32" i="23"/>
  <c r="N32" i="23"/>
  <c r="B91" i="23"/>
  <c r="D91" i="23" s="1"/>
  <c r="G88" i="23"/>
  <c r="H88" i="23" s="1"/>
  <c r="N34" i="23"/>
  <c r="M34" i="23"/>
  <c r="C108" i="23"/>
  <c r="D108" i="23" s="1"/>
  <c r="L64" i="23"/>
  <c r="N64" i="23"/>
  <c r="M64" i="23"/>
  <c r="L21" i="23"/>
  <c r="M21" i="23"/>
  <c r="N21" i="23"/>
  <c r="L19" i="23"/>
  <c r="M19" i="23"/>
  <c r="N19" i="23"/>
  <c r="G87" i="23"/>
  <c r="H87" i="23" s="1"/>
  <c r="H86" i="23"/>
  <c r="G90" i="23" l="1"/>
  <c r="N76" i="23"/>
  <c r="L76" i="23"/>
  <c r="B93" i="23"/>
  <c r="D93" i="23" s="1"/>
  <c r="B102" i="23"/>
  <c r="D102" i="23" s="1"/>
  <c r="H90" i="23"/>
  <c r="G91" i="23"/>
  <c r="G102" i="23" l="1"/>
  <c r="H102" i="23" s="1"/>
  <c r="H91" i="23"/>
  <c r="AM33" i="19" l="1"/>
  <c r="AJ34" i="19"/>
  <c r="AJ241" i="19" s="1"/>
  <c r="AK33" i="19"/>
  <c r="AK34" i="19" s="1"/>
  <c r="AK241" i="19" s="1"/>
  <c r="AL34" i="19" l="1"/>
  <c r="AL241" i="19" l="1"/>
  <c r="AM34" i="19" s="1"/>
</calcChain>
</file>

<file path=xl/comments1.xml><?xml version="1.0" encoding="utf-8"?>
<comments xmlns="http://schemas.openxmlformats.org/spreadsheetml/2006/main">
  <authors>
    <author>Orlando Arias</author>
  </authors>
  <commentList>
    <comment ref="B80" authorId="0" shapeId="0">
      <text>
        <r>
          <rPr>
            <b/>
            <sz val="9"/>
            <color indexed="81"/>
            <rFont val="Tahoma"/>
            <family val="2"/>
          </rPr>
          <t>Orlando Arias:</t>
        </r>
        <r>
          <rPr>
            <sz val="9"/>
            <color indexed="81"/>
            <rFont val="Tahoma"/>
            <family val="2"/>
          </rPr>
          <t xml:space="preserve">
Estos recursos no fueron recaudados por tal motivo no se pueden utilizar. Se actualizan según correo del 26-04-2019, informada por Francisco Rodriguez</t>
        </r>
      </text>
    </comment>
  </commentList>
</comments>
</file>

<file path=xl/sharedStrings.xml><?xml version="1.0" encoding="utf-8"?>
<sst xmlns="http://schemas.openxmlformats.org/spreadsheetml/2006/main" count="10603" uniqueCount="1654">
  <si>
    <t>Plan de Desarrollo Bogotá Mejor Para Todos</t>
  </si>
  <si>
    <t>Proyecto Entidad: 1024  Formación en patrimonio cultural</t>
  </si>
  <si>
    <t xml:space="preserve">RESPONSABLE: </t>
  </si>
  <si>
    <t>Subdirectora de Divulgación</t>
  </si>
  <si>
    <t xml:space="preserve">OBJETIVO: </t>
  </si>
  <si>
    <t>Formar estudiantes y docentes que apropien, valoren, conserven y divulguen el patrimonio cultural de la ciudad.</t>
  </si>
  <si>
    <t xml:space="preserve">ESTRATEGIA: </t>
  </si>
  <si>
    <t>Permitir a la ciudadanía de las zonas urbanas y rurales, mejores oportunidades para su desarrollo en condiciones de igualdad.</t>
  </si>
  <si>
    <t xml:space="preserve">Fecha de Actualización:  </t>
  </si>
  <si>
    <t xml:space="preserve">Modificaciones: </t>
  </si>
  <si>
    <t xml:space="preserve">3-3-1-15-1-11-1024-124 </t>
  </si>
  <si>
    <t xml:space="preserve">Componentes </t>
  </si>
  <si>
    <t>Presupuesto</t>
  </si>
  <si>
    <t>Fuente</t>
  </si>
  <si>
    <t>Concepto de Gasto</t>
  </si>
  <si>
    <t>Meta Plan de Desarrollo         2016-2020</t>
  </si>
  <si>
    <t>Producto PMR</t>
  </si>
  <si>
    <t>Valor CDP's</t>
  </si>
  <si>
    <t>Valor CRP's</t>
  </si>
  <si>
    <t>Valor total Giros</t>
  </si>
  <si>
    <t>01- Recursos del Distrito - 12 Otros Distrito</t>
  </si>
  <si>
    <t>4-01-0187 - Actividades De Formación En Arte, Cultura, Patrimonio, Recreación Y Deporte</t>
  </si>
  <si>
    <t>12. Formación en Cátedra de Patrimonio en colegios distritales</t>
  </si>
  <si>
    <t>Formación en catedra de patrimonio en colegios del distrito capital</t>
  </si>
  <si>
    <t>Saldo</t>
  </si>
  <si>
    <t>Atender 4.343 formadores en las áreas de patrimonio, artes, recreación y deporte</t>
  </si>
  <si>
    <t>Formación a docentes</t>
  </si>
  <si>
    <t>Realizar 20 procesos de investigación, sistematización y memoria</t>
  </si>
  <si>
    <t>Sistematizar 1 experiencias de la formación a niños/as, adolescentes y docentes en patrimonio cultural.</t>
  </si>
  <si>
    <t>Sistematización de la experiencia</t>
  </si>
  <si>
    <t>Programacion PMR</t>
  </si>
  <si>
    <t>Indique el PMR</t>
  </si>
  <si>
    <t>1107. Divulgación y apropiación del patrimonio cultural del Distrito Capital</t>
  </si>
  <si>
    <t>Fomentar el sentido de pertenencia por el patrimonio cultural de la ciudad, como factor de desarrollo socio - cultural de la ciudadanía.</t>
  </si>
  <si>
    <t>Orientar la oferta del sector hacia la promoción de nuevas percepciones, actitudes y hábitos ciudadanos que favorezcan la acción colectiva para el cuidado del entorno, el disfrute del espacio público como un patrimonio común.</t>
  </si>
  <si>
    <t>Museo de Bogotá en operación</t>
  </si>
  <si>
    <t>01-Recursos del Distrito 12-Otros Distrito</t>
  </si>
  <si>
    <t>Alcanzar 1.700.000 asistencias al Museo de Bogotá, a recorridos y rutas patrimoniales y a otras prácticas patrimoniales</t>
  </si>
  <si>
    <t xml:space="preserve">13. Oferta cultural para la valoración y divulgación del patrimonio material e  inmaterial de la ciudad </t>
  </si>
  <si>
    <t>03 - Recursos Administrados 20 - Administrados de Destinación Específica</t>
  </si>
  <si>
    <t>Activación del patrimonio</t>
  </si>
  <si>
    <t xml:space="preserve">Fuente </t>
  </si>
  <si>
    <t>Concepto</t>
  </si>
  <si>
    <t>´01-12</t>
  </si>
  <si>
    <t>PILAR O EJE: 07 Gobierno legítimo, fortalecimiento local y eficiencia</t>
  </si>
  <si>
    <t>PROGRAMA: 42 Transparencia, gestión pública y servicio a la ciudadanía</t>
  </si>
  <si>
    <t>Proyecto estratégico:  185 Fortalecimiento a la gestión publica efectiva y eficiente</t>
  </si>
  <si>
    <t>Proyecto Entidad: 1110. Fortalecimiento y desarrollo de la gestión institucional</t>
  </si>
  <si>
    <t>Subdirector de Gestión Corporativa</t>
  </si>
  <si>
    <t>Fortalecer la gestión institucional, mediante la implementación, el mantenimiento y la sostenibilidad del Sistema Integrado de Gestión, con el fin de promover la mejora en los servicios ofrecidos a la ciudadanía y el cumplimiento de la misión institucional.</t>
  </si>
  <si>
    <t>Implementación de modelo de gobierno abierto para el Distrito Capital</t>
  </si>
  <si>
    <t>3-3-1-15-7-42-1110-185</t>
  </si>
  <si>
    <t>Administración y mantenimiento de sedes misionales</t>
  </si>
  <si>
    <t>Incrementar a un 90% la sostenibilidad del sistema integrado de gestión, para prestar un mejor servicio en la atención a la ciudadanía.</t>
  </si>
  <si>
    <t>Mantener el 100% de las sedes misionales a cargo de la entidad.</t>
  </si>
  <si>
    <t>10. Procesos articulados dentro del sistema integrado de gestión.</t>
  </si>
  <si>
    <t>03-Recursos Administrados 21-Administrados de Libre Destinación</t>
  </si>
  <si>
    <t>Incrementar a un 70% la sostenibilidad del sistema integrado de gestión, para prestar un mejor servicio en la atención a la ciudadanía.</t>
  </si>
  <si>
    <t>Adquisición de equipos, materiales y suministros</t>
  </si>
  <si>
    <t>Desarrollar actividades de comunicación e información</t>
  </si>
  <si>
    <t>Personal de apoyo transversal a la gestión institucional</t>
  </si>
  <si>
    <t>Transparencia y atención a la ciudadanía</t>
  </si>
  <si>
    <t>PILAR O EJE: 02 Democracia urbana</t>
  </si>
  <si>
    <t>PROGRAMA: 17 Espacio público, derecho de todos</t>
  </si>
  <si>
    <t>Proyecto estratégico: 140 Recuperación del patrimonio material de la ciudad</t>
  </si>
  <si>
    <t>Proyecto Entidad: 1112. Instrumentos de planeación y gestión para la preservación y sostenibilidad del patrimonio cultural</t>
  </si>
  <si>
    <t>Subdirectora General</t>
  </si>
  <si>
    <t>Determinar acciones de protección, conservación y sostenibilidad en el tiempo, para Bienes de Interés Cultural del Distrito Capital, mediante el estudio, formulación, gestión y adopción de planes, programas e instrumentos de gestión y financiación del patrimonio cultural.</t>
  </si>
  <si>
    <t>Generación de espacio público asociado al desarrollo y fortalecimiento de la infraestructura cultural, patrimonial, recreativa y deportiva de la ciudad.</t>
  </si>
  <si>
    <t>3-3-1-15-2-17-1112-140</t>
  </si>
  <si>
    <t>Formular el Plan Especial de Manejo y Protección del Centro Historico</t>
  </si>
  <si>
    <t>15. Instrumentos técnicos de gestión para la preservación del patrimonio cultural</t>
  </si>
  <si>
    <t>Plan especial de manejo y protección del centro histórico</t>
  </si>
  <si>
    <t>Formular el 1,5 de planes urbanos en ambitos patrimoniales</t>
  </si>
  <si>
    <t>Planes y proyectos urbanos en ámbitos patrimoniales</t>
  </si>
  <si>
    <t>Instrumentos de gestión, financiación e incentivos</t>
  </si>
  <si>
    <t>Avanzar en la recuperación, conservación y protección de los bienes muebles e inmuebles que constituyen el patrimonio cultural construido de Bogotá, para su promoción y disfrute por parte de la ciudadanía.</t>
  </si>
  <si>
    <t>Recuperación para el uso adecuado y disfrute del espacio público, sostenibilidad del espacio público, generación del espacio público asociado al desarrollo y fortalecimiento de la infraestructura cultural, patrimonial, recreativa y deportiva de la ciudad</t>
  </si>
  <si>
    <t xml:space="preserve">3-3-1-15-2-17-1114-140 </t>
  </si>
  <si>
    <t>4. Obras de Intervención en Bienes muebles - inmuebles y sectores que conforman el patrimonio cultural del D.C.</t>
  </si>
  <si>
    <t>SALDO</t>
  </si>
  <si>
    <t>01-Recursos del Distrito 555-Impuesto al Consumo de Telefonía Móvil</t>
  </si>
  <si>
    <t>01-Recursos del Distrito 265-Recursos de Balance Plusvalía</t>
  </si>
  <si>
    <t>01-Recursos del Distrito 41-Plusvalía</t>
  </si>
  <si>
    <t>Programa Fachadas</t>
  </si>
  <si>
    <t>Actividades de seguimiento arqueológico en intervenciones y acciones sobre bienes de interés cultural</t>
  </si>
  <si>
    <t>Asesoría técnica para la protección y promoción del patrimonio cultural material del distrito capital</t>
  </si>
  <si>
    <t xml:space="preserve">Asesorar tecnicamente el 100% de las solicitudes para la protección del patrimonio cultural material del D.C. </t>
  </si>
  <si>
    <t>1-01-0525</t>
  </si>
  <si>
    <t>´01-555</t>
  </si>
  <si>
    <t>´01-41</t>
  </si>
  <si>
    <t>´01-265</t>
  </si>
  <si>
    <t>1-03-0103</t>
  </si>
  <si>
    <t>3-04-0316</t>
  </si>
  <si>
    <t>Nº Viabilidad</t>
  </si>
  <si>
    <t>Nº CDP</t>
  </si>
  <si>
    <t>Nº RP</t>
  </si>
  <si>
    <t>Nº Contrato</t>
  </si>
  <si>
    <t>Enero</t>
  </si>
  <si>
    <t>Febrero</t>
  </si>
  <si>
    <t>Marzo</t>
  </si>
  <si>
    <t>Abril</t>
  </si>
  <si>
    <t>Mayo</t>
  </si>
  <si>
    <t>Junio</t>
  </si>
  <si>
    <t>Julio</t>
  </si>
  <si>
    <t>Agosto</t>
  </si>
  <si>
    <t>Septiembre</t>
  </si>
  <si>
    <t>Octubre</t>
  </si>
  <si>
    <t>Noviembre</t>
  </si>
  <si>
    <t>Diciembre</t>
  </si>
  <si>
    <t>Total Giros</t>
  </si>
  <si>
    <t>Reserva</t>
  </si>
  <si>
    <t xml:space="preserve"> Formación a docentes</t>
  </si>
  <si>
    <t>Objeto</t>
  </si>
  <si>
    <t>Beneficiario</t>
  </si>
  <si>
    <t>Valor RP's</t>
  </si>
  <si>
    <t xml:space="preserve"> Adquisición de equipos, materiales y suministros</t>
  </si>
  <si>
    <t xml:space="preserve"> Desarrollar actividades de comunicación e información</t>
  </si>
  <si>
    <t>Nº contrato</t>
  </si>
  <si>
    <t xml:space="preserve">Personal de apoyo transversal </t>
  </si>
  <si>
    <t xml:space="preserve">3-3-1-15-3-25-1107-158 </t>
  </si>
  <si>
    <t>Valor PAA</t>
  </si>
  <si>
    <t>Còd. Control</t>
  </si>
  <si>
    <t>Total</t>
  </si>
  <si>
    <t>CDP</t>
  </si>
  <si>
    <t>RP</t>
  </si>
  <si>
    <t>OP</t>
  </si>
  <si>
    <t>TOTALES</t>
  </si>
  <si>
    <t>Saldo Apropiacion</t>
  </si>
  <si>
    <t>Valor Viabilidad</t>
  </si>
  <si>
    <t>Valor Giros</t>
  </si>
  <si>
    <t>Proyecto Entidad: 1114. Intervención y conservación de los bienes muebles e inmuebles en sectores de interés cultural del Distrito Capital</t>
  </si>
  <si>
    <t>Subdirector de Intervención</t>
  </si>
  <si>
    <t>Cód.. Control</t>
  </si>
  <si>
    <t>Saldo Apropiación</t>
  </si>
  <si>
    <t>Inicial</t>
  </si>
  <si>
    <t>PREDIS</t>
  </si>
  <si>
    <t>Còdigo Control</t>
  </si>
  <si>
    <t>Programación PMR</t>
  </si>
  <si>
    <t>Realizar 634.250 atenciones a niños, niñas y adolescentes  en el marco del programa Jornada Única  y Tiempo Escolar durante el cuatrienio</t>
  </si>
  <si>
    <r>
      <rPr>
        <b/>
        <sz val="10"/>
        <rFont val="Arial"/>
        <family val="2"/>
      </rPr>
      <t>Proyecto estratégico:</t>
    </r>
    <r>
      <rPr>
        <sz val="10"/>
        <rFont val="Arial"/>
        <family val="2"/>
      </rPr>
      <t xml:space="preserve">  158 Valoración y apropiación social del patrimonio cultural</t>
    </r>
  </si>
  <si>
    <r>
      <rPr>
        <b/>
        <sz val="10"/>
        <rFont val="Arial"/>
        <family val="2"/>
      </rPr>
      <t>PROGRAMA:</t>
    </r>
    <r>
      <rPr>
        <sz val="10"/>
        <rFont val="Arial"/>
        <family val="2"/>
      </rPr>
      <t xml:space="preserve"> 25 Cambio cultural y construcción del tejido social para la vida</t>
    </r>
  </si>
  <si>
    <r>
      <rPr>
        <b/>
        <sz val="10"/>
        <rFont val="Arial"/>
        <family val="2"/>
      </rPr>
      <t>PILAR O EJE:</t>
    </r>
    <r>
      <rPr>
        <sz val="10"/>
        <rFont val="Arial"/>
        <family val="2"/>
      </rPr>
      <t xml:space="preserve"> 03 Construcción de comunidad y cultura ciudadana</t>
    </r>
  </si>
  <si>
    <r>
      <rPr>
        <b/>
        <sz val="10"/>
        <rFont val="Arial"/>
        <family val="2"/>
      </rPr>
      <t>Proyecto estratégico:</t>
    </r>
    <r>
      <rPr>
        <sz val="10"/>
        <rFont val="Arial"/>
        <family val="2"/>
      </rPr>
      <t xml:space="preserve">  124 Formación para la transformación del ser</t>
    </r>
  </si>
  <si>
    <r>
      <rPr>
        <b/>
        <sz val="10"/>
        <rFont val="Arial"/>
        <family val="2"/>
      </rPr>
      <t>PROGRAMA:</t>
    </r>
    <r>
      <rPr>
        <sz val="10"/>
        <rFont val="Arial"/>
        <family val="2"/>
      </rPr>
      <t xml:space="preserve"> 11 Mejores oportunidades para el desarrollo a través de la cultura, la recreación y el deporte</t>
    </r>
  </si>
  <si>
    <r>
      <rPr>
        <b/>
        <sz val="10"/>
        <rFont val="Arial"/>
        <family val="2"/>
      </rPr>
      <t>PILAR O EJE:</t>
    </r>
    <r>
      <rPr>
        <sz val="10"/>
        <rFont val="Arial"/>
        <family val="2"/>
      </rPr>
      <t xml:space="preserve"> 01 Igualdad de calidad de vida</t>
    </r>
  </si>
  <si>
    <t>01-Recursos del Distrito 270-Recursos del Balance Reaforo Plusvalía</t>
  </si>
  <si>
    <t>NUEVO</t>
  </si>
  <si>
    <t>N.A.</t>
  </si>
  <si>
    <t>PASIVOS EXIGIBLES</t>
  </si>
  <si>
    <t>01-Recursos del Distrito 263- Recursos Pasivos Plusvalia</t>
  </si>
  <si>
    <t>Apropiación</t>
  </si>
  <si>
    <t>01-263</t>
  </si>
  <si>
    <t>01-270</t>
  </si>
  <si>
    <t>03-146</t>
  </si>
  <si>
    <t>03-Recursos Administrados 147-Otros Recursos del balance de destinación específica</t>
  </si>
  <si>
    <t>03- Recursos Administrados 146 Recursos del balance de libre distinaciòn</t>
  </si>
  <si>
    <t>03-147</t>
  </si>
  <si>
    <t>META 1</t>
  </si>
  <si>
    <t>META 2</t>
  </si>
  <si>
    <t>META 3</t>
  </si>
  <si>
    <t>Monumentos en espacio público (Estudios y diseños para la intervención integral de bienes muebles)</t>
  </si>
  <si>
    <t>Monumentos en espacio público (Intervención y Protección en Monumentos del Distrito)</t>
  </si>
  <si>
    <t>Monumentos en espacio público (Monumento a Los Héroes)</t>
  </si>
  <si>
    <t>Monumentos en espacio público (Monumento Banderas)</t>
  </si>
  <si>
    <t>Monumentos en espacio público 
(Estudios y diseños para la intervención integral de bienes muebles)</t>
  </si>
  <si>
    <t>Monumentos en espacio público 
(Monumento a Los Héroes)</t>
  </si>
  <si>
    <t>Monumentos en espacio público 
(Monumento Banderas)</t>
  </si>
  <si>
    <t>Monumentos en espacio público 
( Simón Bolívar ubicado en la Plaza de Bolívar-Iluminación)</t>
  </si>
  <si>
    <t>Programa Fachadas 
(Intervención y mantenimiento de las Fachadas de las Iglesias San Francisco, Egipto y Candelaria )</t>
  </si>
  <si>
    <t>TOTAL INVERSION 2019</t>
  </si>
  <si>
    <t>TOTAL INVERSIÓN 2019</t>
  </si>
  <si>
    <t>Asesoría técnica</t>
  </si>
  <si>
    <t>-</t>
  </si>
  <si>
    <t>Ejecutar las obras por precios unitarios fijos para la restauración de las naves de la Basílica Menor del Sagrado Corazón de Jesús - Iglesia del Voto Nacional.</t>
  </si>
  <si>
    <t>Pago de trámites y documentación inherente al Proyecto de Intervención de la Iglesia del Voto Nacional del predio ubicado en la Carrera 15 N° 10-43 en la Ciudad de Bogotá, D. C.</t>
  </si>
  <si>
    <t>Prestar servicios profesionales al Instituto Distrital de Patrimonio Cultural  para apoyar la revisión y organización de los insumos técnicos y documentación inherente al proyecto de intervención de BIC Voto Nacional.</t>
  </si>
  <si>
    <t>Realizar la interventoría integral del contrato de obra que tiene por objeto: "Ejecutar las obras por precios unitarios fijos para la restauración de las naves de la Basílica Menor del Sagrado Corazón de Jesús - Iglesia del Voto Nacional."</t>
  </si>
  <si>
    <t>Prestar servicios profesionales al Instituto Distrital de Patrimonio Cultural para apoyar el desarrollo y seguimiento del manejo arqueológico en los proyectos de Intervención en los que el Instituto se vea involucrado.</t>
  </si>
  <si>
    <t>Prestar servicios profesionales al Instituto Distrital de Patrimonio Cultural para orientar el acompañamiento y seguimiento en el desarrollo del manejo arqueológico en los proyectos de Intervención en los que el Instituto se vea involucrado.</t>
  </si>
  <si>
    <t>Valor dirigido para reconocer la afiliación de riesgos laborales Nivel 5 de los contratistas de la Subdirección de Intervención.</t>
  </si>
  <si>
    <t>1403 Bienes de Interés Cultural (BIC) intervenidos</t>
  </si>
  <si>
    <t>1404 Bienes de Interés Cultural (BIC) intervenidos</t>
  </si>
  <si>
    <t>1405 Bienes de Interés Cultural (BIC) intervenidos</t>
  </si>
  <si>
    <t>Prestar servicios de apoyo a la gestión al Instituto Distrital de Patrimonio Cultural para el seguimiento y revisión de la radicación en debida forma de las solicitudes de trámites y servicios  para la evaluación de proyectos de intervención y atención al público a cargo de la Subdirección de Intervención.</t>
  </si>
  <si>
    <t>Prestar servicios de apoyo a la gestión al Instituto Distrital de Patrimonio Cultural para atención y notificación al usuario, y demás actividades administrativas de la Subdirección de Intervención.</t>
  </si>
  <si>
    <t>Prestar servicios profesionales al Instituto Distrital de Patrimonio Cultural para apoyar las actividades de gestión del Sistema de Información Geográfico para el inventario de bienes inmuebles del  Distrito Capital a cargo de la Subdirección de Intervención.</t>
  </si>
  <si>
    <t>Prestar servicios profesionales especializados al Instituto Distrital de Patrimonio Cultural para orientar y apoyar la verificación técnica de la documentación expedida en relación a la evaluación y asesoría técnica de las solicitudes de intervención en Bienes de Interés Cultural del Distrito Capital.</t>
  </si>
  <si>
    <t>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</si>
  <si>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Prestar servicios profesionales al Instituto Distrital de Patrimonio Cultural para apoyar la revisión y acompañamiento del componente estructural y de ingeniería de las acciones y solicitudes de intervención en Bienes de Interés Cultural (BIC).</t>
  </si>
  <si>
    <t>Prestar servicios profesionales al Instituto Distrital de Patrimonio Cultural para orientar y apoyar la verificación técnica de la documentación expedida con ocasión de las solicitudes de intervención de anteproyectos y conceptos de norma en Bienes de Interés Cultural (BIC) de Bogotá que se radican ante la entidad.</t>
  </si>
  <si>
    <t>Prestar servicios profesionales al Instituto Distrital de Patrimonio Cultural apoyando las actividades de elaboración y redacción de conceptos técnicos respecto a las normas aplicables para intervenciones sobre los inmuebles de interés cultural del Distrito Capital.</t>
  </si>
  <si>
    <t>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</si>
  <si>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Prestar servicios profesionales al Instituto Distrital de Patrimonio Cultural para apoyar las actividades de soporte técnico y evaluación de las solicitudes y acciones de control urbano que se presenten sobre BIC y SIC del Distrito Capital.</t>
  </si>
  <si>
    <t>Prestar servicios profesionales al Instituto Distrital de Patrimonio Cultural para apoyar las actividades de soporte técnico y evaluación de las solicitudes de equiparación a estrato 1 y de control urbano de intervenciones en BIC.</t>
  </si>
  <si>
    <t>Prestar servicios profesionales al Instituto Distrital de Patrimonio Cultural en el acompañamiento técnico y verificación de los proyectos de manejo y protección del patrimonio cultural, y solicitudes de inclusiones, exclusiones y cambios de categoria de BIC del Distrito Capital.</t>
  </si>
  <si>
    <t>Prestar servicios profesionales al Instituto Distrital de Patrimonio Cultural, apoyando los tramites de evaluación de los proyectos de manejo y protección del patrimonio cultural, y solicitudes de intervención sobre Bienes y Sectores de Interés Cultural.</t>
  </si>
  <si>
    <t>Prestar servicios profesionales especializados al Instituto Distrital de Patrimonio Cultural, como apoyo jurídico a la evaluación de las solicitudes de intervención sobre Bienes y Sectores de Interés Cultural.</t>
  </si>
  <si>
    <t>Prestar servicios profesionales al Instituto Distrital de Patrimonio Cultural, como apoyo jurídico a la evaluación de las solicitudes de intervención sobre Bienes y Sectores de Interés Cultural.</t>
  </si>
  <si>
    <t>Prestar servicios al Instituto Distrital de Patrimonio Cultural para apoyar el seguimiento administrativo y jurídico de los procesos contractuales y proyectos de intervención a cargo de la Subdirección de Intervención.</t>
  </si>
  <si>
    <t>Prestar servicios de apoyo a la gestión al Instituto Distrital de Patrimonio Cultural en actividades técnicas y de seguimiento en los procesos de ejecución y terminación de proyectos de obra, interventoría o convenios ejecutados por el Instituto.</t>
  </si>
  <si>
    <t>Prestar servicios de apoyo a la gestión al Instituto Distrital de Patrimonio Cultural en la asistencia y desarrollo de actividades operativas de la Subdirección de Intervención.</t>
  </si>
  <si>
    <t>Prestar servicios de apoyo a la gestión al Instituto Distrital de Patrimonio Cultural para acompañar la recepción, registro de documentos y expedientes en el marco de los procesos adelantados por la Subdirección de Intervención.</t>
  </si>
  <si>
    <t>Prestar servicios de apoyo administrativo al Instituto Distrital de Patrimonio Cultural en los procesos contractuales de la Subdirección de Intervención.</t>
  </si>
  <si>
    <t>Prestar servicios profesionales al  Instituto Distrital de Patrimonio Cultural apoyando la estructuración e implementación de estrategias de gestión social y participación ciudadana para el reconocimiento y valoración del patrimonio en el marco de los planes, programas y proyectos de preservación del patrimonio cultural del Distrito Capital.</t>
  </si>
  <si>
    <t>Prestar servicios profesionales al Instituto Distrital de Patrimonio Cultural apoyando la estructuración técnica de los procesos precontractuales para las acciones de gestión e intervención del patrimonio cultural del Distrito Capital.</t>
  </si>
  <si>
    <t>Prestar servicios profesionales al Instituto Distrital de Patrimonio Cultural en la planeación, seguimiento y control de la ejecución administrativa y de metas del proyecto de inversión de la Subdirección de Intervención.</t>
  </si>
  <si>
    <t>Prestar servicios profesionales al Instituto Distrital de Patrimonio Cultural en las actividades administrativas y de apoyo a la ejecución de los proyectos de inversión de la Subdirección de Intervención.</t>
  </si>
  <si>
    <t>Prestar servicios profesionales al Instituto Distrital de Patrimonio Cultural para apoyar el apoyo jurídico en las etapas de estructuración y ejecución de los contratos que requiera la subdirección de intervención de conformidad con las normas vigentes que rigen la contratación pública. </t>
  </si>
  <si>
    <t>Prestar servicios profesionales al Instituto Distrital de Patrimonio Cultural para apoyar la estructuración técnica y presupuestos de los procesos de selección que se desarrollan para la gestión e intervención del patrimonio cultural del Distrito Capital.</t>
  </si>
  <si>
    <t>Prestar servicios profesionales al Instituto Distrital de Patrimonio Cultural para apoyar la planeación y control administrativo y de la gestión financiera, en el desarrollo de las acciones de intervención y protección del patrimonio cultural del Distrito Capital.</t>
  </si>
  <si>
    <t>Prestar servicios profesionales al Instituto Distrital de Patrimonio Cultural para brindar asesoría técnica y seguimiento integral de los procesos y acciones de protección e intervención del patrimonio cultural a cargo de la Subdirección de Intervención.</t>
  </si>
  <si>
    <t>Prestar servicios profesionales al Instituto Distrital de Patrimonio Cultural para brindar soporte, seguimiento y apoyo a los procesos y proyectos de intervención y/o protección de patrimonio cultural, para garantizar su desarrollo y cumplimiento.</t>
  </si>
  <si>
    <t>Prestar servicios profesionales al Instituto Distrital de Patrimonio Cultural para el apoyo y acompañamiento jurídico en las etapas de estructuración, ejecución y liquidación de los contratos que requiera la subdirección de intervención de conformidad con las normas vigentes que rigen la contratación pública. </t>
  </si>
  <si>
    <t>Prestar servicios profesionales al Instituto Distrital de Patrimonio Cultural para realizar el acompañamiento de los contratos relacionados con la ejecución de la restauración integral de la Iglesia del Voto Nacional.</t>
  </si>
  <si>
    <t>Prestar servicios profesionales al Instituto Distrital de Patrimonio Cultural para realizar el monitoreo, seguimiento y apoyo a los procesos y proyectos de intervención y/o protección de patrimonio cultural, para garantizar su desarrollo y cumplimiento.</t>
  </si>
  <si>
    <t>Prestar servicios profesionales al Instituto Distrital de Patrimonio Cultural para realizar la planificación, programación y control de las acciones de intervención y protección a cargo de la Subdirección de Intervención.</t>
  </si>
  <si>
    <t>Prestar servicios profesionales al Instituto Distrital de Patrimonio Cultural, para acompañar la revisión de los estudios y emisión de conceptos de las obras de intervención que desarrolle la Entidad.</t>
  </si>
  <si>
    <t>Prestar servicios profesionales especializados para apoyar al Instituto Distrital de Patrimonio Cultural en los temas relacionados con estructuración y ejecución de obras en proyectos de conservación y restauración en bienes inmuebles de interés cultural.</t>
  </si>
  <si>
    <t>Prestar servicios profesionales para apoyar las actividades técnicas y operativas para el desarrollo de los proyectos de protección e intervención del patrimonio a cargo de la Subdirección de Intervención.</t>
  </si>
  <si>
    <t>Contratar insumos de ferretería, materiales y herramientas requeridas para la ejecución de intervenciones técnicas necesarias para el enlucimiento de fachadas, limpieza y mantenimiento de los Bienes de Interés Cultural muebles en espacio público e instalaciones que se utilizan para la prestación del servicio del Instituto Distrital de Patrimonio Cultural, en la ciudad de Bogotá D.C.</t>
  </si>
  <si>
    <t xml:space="preserve">Prestar servicios de apoyo a la gestión al Instituto Distrital de Patrimonio Cultural en áreas de seguridad industrial y acompañamiento en las labores de campo adelantadas por la Subdirección de Intervención. </t>
  </si>
  <si>
    <t xml:space="preserve">Prestar servicios de apoyo a la gestión al Instituto Distrital de Patrimonio Cultural en la administración, el recibo y/o entrega de materiales, herramienta y equipos, control de inventarios y el buen uso de los mismos; en el marco de las acciones del Programa de Enlucimiento de Fachadas. </t>
  </si>
  <si>
    <t>Prestar servicios de apoyo a la gestión al Instituto Distrital de Patrimonio Cultural para el monitoreo de las acciones de intervención adelantadas en el marco del Programa de enlucimiento de fachadas "El Patrimonio se Luce", de acuerdo con la programación establecida.</t>
  </si>
  <si>
    <t>Prestar servicios de apoyo a la gestión al Instituto Distrital de Patrimonio Cultural para la correcta ejecución de las intervenciones adelantadas por el Programa de enlucimiento de fachadas "El Patrimonio se Luce", de acuerdo con la programación establecida.</t>
  </si>
  <si>
    <t>Prestar servicios profesionales al Instituto Distrital de Patrimonio Cultural  para apoyar las actividades logísticas y técnicas orientadas a la sensibilización y apropiación de la cultura ciudadana como instrumento de gestión social en el marco del programa de enlucimiento de fachadas "El Patrimonio se Luce".</t>
  </si>
  <si>
    <t>Prestar servicios profesionales al Instituto Distrital de Patrimonio Cultural para apoyar el seguimiento en obra de las jornadas de enlucimiento que realice el programa de Fachadas y de las acciones de intervención sobre Bienes de Interés Cultural en espacio público.</t>
  </si>
  <si>
    <t>Prestar servicios profesionales al Instituto Distrital de Patrimonio Cultural para apoyar el seguimiento técnico y administrativo en sitio de las intervenciones adelantadas por el Programa de Enlucimiento de Fachadas.</t>
  </si>
  <si>
    <t>Prestar servicios profesionales al Instituto Distrital de Patrimonio Cultural para apoyar la gestión y seguimiento administrativo de las acciones de intevención en espacio público y fachadas que se adelantan en el marco del Programa Enlucimiento de Fachadas.</t>
  </si>
  <si>
    <t>Prestar servicios profesionales al Instituto Distrital de Patrimonio Cultural para apoyar las acciones de intervención sobre fachadas y espacio público.</t>
  </si>
  <si>
    <t>Prestar servicios profesionales al Instituto Distrital de Patrimonio Cultural para orientar y verificar la implementación de las acciones de intervención y protección del Programa El Patrimonio se Luce.</t>
  </si>
  <si>
    <t>Prestar servicios profesionales al Instituto Distrital de Patrimonio Cultural, apoyando las actividades preliminares de campo, en el marco de las acciones de intevención en espacio público y fachadas.</t>
  </si>
  <si>
    <t>Prestar servicios profesionales al Instituto Distrital de Patrimonio Cultural como apoyo a la gestión en los procesos editoriales y de investigación desarrollados por la Subdirección de Divulgación de los Valores del Patrimonio Cultural.</t>
  </si>
  <si>
    <t>Prestar servicios profesionales al Instituto Distrital de Patrimonio Cultural para administrar y actualizar los contenidos de la página web y redes sociales de la entidad, así como la generación de contenidos requeridos para el desarrollo de la estrategia de comunicaciones y de apropiación social del patrimonio cultural.</t>
  </si>
  <si>
    <t>Prestar servicios profesionales al Instituto Distrital de Patrimonio Cultural para acompañar la planeación y desarrollo de los procesos de contratación sin límite de cuantía, así como el impulso de los trámites jurídico/legales que se generen en el marco de las funciones de la Subdirección de Divulgación de los Valores del Patrimonio Cultural.</t>
  </si>
  <si>
    <t>Prestar servicios profesionales  al Instituto Distrital de Patrimonio Cultural para llevar a cabo los procesos de corrección de estilo de los textos y publicaciones adelantadas por la Subdirección de Divulgación de los Valores del Patrimonio Cultural.</t>
  </si>
  <si>
    <t>Prestar servicios profesionales al Instituto Distrital de Patrimonio Cultural para realizar el registro fotográfico y audiovisual requerido para la ejecución de la estrategia de apropiación social del patrimonio cultural.</t>
  </si>
  <si>
    <t>Prestar servicios profesionales al Instituto Distrital de Patrimonio Cultural para orientar las actividades periodísticas y de prensa requeridas en la estrategia de apropiación social del patrimonio cultural.</t>
  </si>
  <si>
    <t>Prestar servicios profesionales al Instituto Distrital de Patrimonio Cultural para orientar las estrategias encaminados a la salvaguardia y apropiación social del patrimonio cultural inmaterial.</t>
  </si>
  <si>
    <t>Prestar servicios profesionales al Instituto Distrital de Patrimonio Cultural para apoyar las actividades de comunicación y generación de contenidos requeridos para el desarrollo de la estrategia de apropiación social del patrimonio cultural.</t>
  </si>
  <si>
    <t>Adquisición de equipos de cómputo y periféricos requeridos para el desarrollo administrativo y misional del Instituto Distrital de Patrimonio Cultural</t>
  </si>
  <si>
    <t>Prestar servicios profesionales al Instituto Distrital del Patrimonio Cultural para apoyar la ejecucón de los trámites y procesos requeridos para la producción de los eventos generados en el marco de la estrategia de apropiación social del patrimonio cultural.</t>
  </si>
  <si>
    <t>Prestar servicios profesionales al Instituto Distrital de Patrimonio Cultural para apoyar el desarrollo de estrategias orientadas a la apropiación social y salvaguardia del Patrimonio Cultural Inmaterial.</t>
  </si>
  <si>
    <t>Prestar servicios profesionales al Instituto Distrital de Patrimonio Cultural para acompañar la producción audiovisual y multimedial requerida para el desarrollo de la estrategia de apropiación social del patrimonio cultural.</t>
  </si>
  <si>
    <t>Prestar servicios profesionales al Instituto Distrital de Patrimonio Cultural para orientar el diseño gráfico y diagramación de los productos de divulgación en el marco del proyecto de apropiación social del Patrimonio Cultural Inmaterial "Patrimonios Locales".</t>
  </si>
  <si>
    <t>Prestar servicios profesionales al Instituto Distrital de Patrimonio Cultural para apoyar los procesos documentales del Centro de Documentación.</t>
  </si>
  <si>
    <t>Prestar servicios profesionales al Instituto Distrital de Patrimonio Cultural en las actividades de producción de contenidos audiovisuales requeridos para el desarrollo de la estrategia de apropiación social del patrimonio cultural.</t>
  </si>
  <si>
    <t>Prestar servicios profesionales al Instituto Distrital de Patrimonio Cultural para apoyar los procesos de control presupuestal, seguimiento a indicadores y sistema integrado de gestión, requerido en el marco de las funciones de la Subdirección de Divulgación de los Valores del Patrimonio Cultural.</t>
  </si>
  <si>
    <t>Prestar servicios profesionales al Instituto Distrital de Patrimonio Cultural para apoyar el desarrollo de los contenidos requeridos para la publicación sobre la Iglesia San Ignacio de Bogotá.</t>
  </si>
  <si>
    <t>Prestar servicios profesionales al Instituto Distrital de Patrimonio Cultural para apoyar la planificación y ejecución del programa de recorridos urbanos en el marco de la estrategia de apropiación social del patrimonio cultural.</t>
  </si>
  <si>
    <t>Prestar servicios de apoyo a la gestión al Instituto Distrital de Patrimonio Cultural en la ejecución de recorridos naturales realizados en el marco de la estrategia de apropiación social del patrimonio cultural.</t>
  </si>
  <si>
    <t>Prestar servicios de apoyo a la gestión al Instituto Distrital de Patrimonio Cultural en las actividades administrativas y operativas desarrollados por la Subdirección de Divulgación de los Valores del Patrimonio Cultural.</t>
  </si>
  <si>
    <t>Prestar servicios profesionales al Instituto Distrital de Patrimonio Cultural para realizar el registro fotográfico y audiovisual requerido para la ejecución de la estrategia de comunicaciones de la entidad.</t>
  </si>
  <si>
    <t>Prestar servicios profesionales al Instituto Distrital de Patrimonio Cultural para apoyar el desarrollo de los contenidos requeridos para la publicación sobre inmuebles de valor patrimonial en Bogotá.</t>
  </si>
  <si>
    <t>Prestar servicios profesionales al Instituto Distrital de Patrimonio Cultural para apoyar las estrategias relacionadas con la apropiación social del patrimonio cultural inmaterial de la ciudad, así como otras actividades y proyectos de la Subdirección de Divulgación de los Valores del Patrimonio Cultural.</t>
  </si>
  <si>
    <t>Prestar servicios profesionales al Instituto Distrital de Patrimonio Cultural para orientar la estrategia de apropiación social del patrimonio cultural.</t>
  </si>
  <si>
    <t xml:space="preserve">Prestar servicios profesionales al Instituto Distrital de Patrimonio Cultural para apoyar los procesos de inventario, catalogación y organización de los fondos documentales que conforman el Centro de Documentación. </t>
  </si>
  <si>
    <t>Prestar servicios profesionales al Instituto Distrital de Patrimonio Cultural para apoyar el diseño de piezas gráficas y de comunicación requeridas para la ejecución de la estrategia de comunicaciones de la entidad y de apropiación social del patrimonio cultural.</t>
  </si>
  <si>
    <t>Adquisición de material bibliográfico requerido para el incremento de los fondos documentales del Centro de Dcumentación del Instituto Distrital de Patrimonio Cultural.</t>
  </si>
  <si>
    <t>Prestar servicios profesionales al Instituto Distrital de Patrimonio Cultural para acompañar el desarrollo del componente histórico de la estrategia de apropiación social del patrimonio cultural.</t>
  </si>
  <si>
    <t>Prestar servicios profesionales al Instituto Distrital de Patrimonio Cultural para apoyar las actividades de comunicación interna y organización de archivo fotográfico de la Subdirección de Divulgación de los Valores del Patrimonio Cultural.</t>
  </si>
  <si>
    <t xml:space="preserve">Prestar servicios profesionales al Instituto Distrital de Patrimonio Cultural para orientar el Programa de Patrimonios Locales y otras iniciativas que contribuyan a la salvaguardia y apropiación social del Patrimonio Cultural Inmaterial. </t>
  </si>
  <si>
    <t>Prestar servicios profesionales al Instituto Distrital de Patrimonio Cultural en el seguimiento a la ejecución de los procesos de planeación presupuestal y contractual, realizados en el marco de los proyectos a cargo de la Subdirección de Divulgación de los Valores del Patrimonio Cultural.</t>
  </si>
  <si>
    <t>Prestar servicios profesionales al Instituto Distrital de Patrimonio Cultural para apoyar el desarrollo de los contenidos requeridos para la publicación sobre monumentos en espacio público de Bogotá.</t>
  </si>
  <si>
    <t>Prestar servicios profesionales al Instituto Distrital de Patrimonio Cultural para apoyar el desarrollo de los contenidos requeridos para la publicación sobre el Plan Especial de Manejo y Protección PEMP del Centro Histórico de Bogotá.</t>
  </si>
  <si>
    <t>Prestar servicios profesionales al Instituto Distrital de Patrimonio Cultural para apoyar las acciones de diseño gráfico y diagramación de las publicaciones y proyectos editoriales adelantados en el marco de la estrategia de apropiación social del patrimonio cultural</t>
  </si>
  <si>
    <t>Prestar servicios profesionales al Instituto Distrital de Patrimonio Cultural para llevar a cabo las actividades periodísticas requeridas en la estrategia de apropiación social del patrimonio cultural.</t>
  </si>
  <si>
    <t>Prestar servicios profesionales al Instituto Distrital de Patrimonio Cultural para apoyar la gestión de prensa generada en el marco de la estrategia de comunicaciones del IDPC.</t>
  </si>
  <si>
    <t>Prestar servicios profesionales al Instituto Distrital de Patrimonio Cultural para apoyar el desarrollo de los contenidos requeridos para la publicación sobre los proyectos evaluados y aprobados por el IDPC en contextos patrimoniales.</t>
  </si>
  <si>
    <t>Contratar el proceso de impresión, encuadernación y acabados de los impresos y publicaciones requeridos para el desarrollo de los proyectos misionales adelantados por la Subdirección de Divulgación del Instituto Distrital de Patrimonio Cultural.</t>
  </si>
  <si>
    <t>Contratar el desarrollo y diseño de la página web, así como las herramientas digitales conexas requeridas por el Instituto Distrital de Patrimonio Cultural para la formación y divulgación del patrimonio cultural del Distrito Capital.</t>
  </si>
  <si>
    <t>Prestar servicios de apoyo a la gestión al Instituto Distrital de Patrimonio Cultural como guía de los recorridos urbanos realizados en el marco de la estrategia de apropiación social del patrimonio cultural.</t>
  </si>
  <si>
    <t xml:space="preserve">Prestar servicios profesionales al Instituto Distrital de Patrimonio Cultural para apoyar las actividades de implementación del proyecto de apropiación social del Patrimonio Cultural Inmaterial "Patrimonios Locales". </t>
  </si>
  <si>
    <t xml:space="preserve">Prestar servicios profesionales al Instituto Distrital de Patrimonio Cultural para apoyar las actividades de implementación del proyecto de apropiación social del Patrimonio Cultural Inmaterial "Patrimonios Locales".  </t>
  </si>
  <si>
    <t>Prestar servicios profesionales al Instituto Distrital de Patrimonio Cultural para orientar la ejecución de los proyectos editoriales y de investigación desarrollados en el marco de la estrategia de apropiación social del patrimonio cultural.</t>
  </si>
  <si>
    <t>Prestar servicios profesionales al Instituto Distrital de Patrimonio Cultural para apoyar las actividades relacionadas con el diseño gráfico y diagramación de las publicaciones y proyectos editoriales adelantados en el marco de la estrategia de apropiación social del patrimonio cultural.</t>
  </si>
  <si>
    <t>Prestar servicios profesionales al Instituto Distrital de Patrimonio Cultural para acompañar el desarrollo de publicaciones generadas en el marco de la estrategia de apropiación social del patrimonio cultural.</t>
  </si>
  <si>
    <t>Prestar servicios profesionales al Instituto Distrital de Patrimonio Cultural para orientar la estructuración e implementación de las acciones de fomento a las prácticas del patrimonio cultural.</t>
  </si>
  <si>
    <t>Prestar servicios profesionales al Instituto Distrital de Patrimonio Cultural para apoyar la implementación de las acciones de fomento a las prácticas del patrimonio cultural.</t>
  </si>
  <si>
    <t>Convocatoria dirigida a grupos étnicos</t>
  </si>
  <si>
    <t>Programa Distrital de Apoyos Concertados - 2019</t>
  </si>
  <si>
    <t>Prestar servicios profesionales al Instituto Distrital de Patrimonio Cultural para apoyar en la implementación en aula del programa de formación en patrimonio cultural CIVINAUTAS, dirigido a estudiantes de colegios distritales.</t>
  </si>
  <si>
    <t>Prestar servicios profesionales al Instituto Distrital de Patrimonio Cultural para acompañar el componente de apropiación social del patrimonio de los procesos de formación en patrimonio cultural, en el marco del proyecto de inversión 1024 - Formación en patrimonio cultural.</t>
  </si>
  <si>
    <t>Valor correspondiente para reconocer el pago de la planilla integrada de aportes a riesgos laborales con tarifa tipo V de los contratistas de la Subdirección de Divulgación.</t>
  </si>
  <si>
    <t>Prestar los servicios requeridos por el Instituto Distrital de Patrimonio Cultural para atender las actividades y proyectos relacionados con la formación y divulgación del patrimonio cultural del Distrito Capital.</t>
  </si>
  <si>
    <t xml:space="preserve"> Prestar servicios profesionales al Instituto Distrital de Patrimonio Cultural para apoyar las actividades administrativas del programa de formación en patrimonio cultural CIVINAUTAS, dirigido a estudiantes de colegios distritales.</t>
  </si>
  <si>
    <t>Contratar la impresión del material divulgativo requerido para la ejecución de los procesos misionales de la Subdirección de Divulgación del Instituto Distrital de Patrimonio Cultural.</t>
  </si>
  <si>
    <t>Suministro de papelería, elementos de oficina, útiles escolares y material fungible requeridos para el desarrollo administrativo y misional del Instituto Distrital de Patrimonio Cultural.</t>
  </si>
  <si>
    <t>Prestar servicios profesionales al Instituto Distrital de Patrimonio Cultural para acompañar el componente pedagógico de los procesos de formación en patrimonio cultural, en el marco del proyecto de inversión 1024 - Formación en patrimonio cultural.</t>
  </si>
  <si>
    <t>Prestar servicios profesionales al Instituto Distrital de Patrimonio Cultural como apoyo en la gestión territorial de los procesos de formación, en el marco del proyecto de inversión 1024 - Formación en patrimonio cultural.</t>
  </si>
  <si>
    <t>Prestar servicios profesionales al Instituto Distrital de Patrimonio Cultural para orientar los procesos de formación en patrimonio cultural, en el marco del proyecto de inversión 1024 - Formación en patrimonio cultural.</t>
  </si>
  <si>
    <t>Adquisición de equipos de cómputo y periféricos requeridos para el desarrollo administrativo y misional del Instituto Distrital de Patrimonio Cultural.</t>
  </si>
  <si>
    <t>Prestar servicios profesionales al Instituto Distrital de Patrimonio Cultural para apoyar las acciones de diseño gráfico del Museo de Bogotá.</t>
  </si>
  <si>
    <t>Prestar servicios profesionales al Instituto Distrital de Patrimonio Cultural para orientar la planificación de las líneas de acción del Museo de Bogotá.</t>
  </si>
  <si>
    <t>Gastos de TI MdB</t>
  </si>
  <si>
    <t>Adquisición de equipos de comunicación, audio, video y conexos requeridos para el desarrollo de las actividades misionales adelantadas por la Subdirección de Divulgación de los Valores del Patrimonio Cultural.</t>
  </si>
  <si>
    <t>Prestar servicios profesionales al Instituto Distrital de Patrimonio Cultural para apoyar el diseño museográfico de los proyectos adelantados por el Museo de Bogotá.</t>
  </si>
  <si>
    <t>Prestar servicios profesionales al Instituto Distrital de Patrimonio Cultural en las actividades relacionadas con el desarrollo del guion curatorial para la exposición temporal del Museo de Bogotá sobre el Bicentenario de la ciudad.</t>
  </si>
  <si>
    <t>Prestar servicios profesionales al Instituto Distrital de Patrimonio Cultural en el desarrollo del guion curatorial para la exposición temporal del Museo de Bogotá sobre Bogotá, en medios impresos.</t>
  </si>
  <si>
    <t>Prestar servicios profesionales al Instituto Distrital de Patrimonio Cultural en el desarrollo del guion curatorial para la exposición temporal del Museo de Bogotá sobre la obra fotográfica "Germán Téllez".</t>
  </si>
  <si>
    <t>Adquisición de equipos de control ambiental para las salas de exposición del Museo de Bogotá y para el archivo de gestión del Instituto Distrital de Patrimonio Cultural.</t>
  </si>
  <si>
    <t>Prestar servicios al Instituto Distrital de Patrimonio Cultural como apoyo a la gestión en la planificación y ejecución del portafolio de servicios educativos y culturales del Museo de Bogotá.</t>
  </si>
  <si>
    <t>Prestar servicios profesionales al Instituto Distrital de Patrimonio Cultural para orientar las actividades de curaduría y museología del Museo de Bogotá.</t>
  </si>
  <si>
    <t>Prestar servicios profesionales al Instituto Distrital de Patrimonio Cultural para apoyar los procesos de investigación, estructuración y redacción de guiones museológicos requeridos por el Museo de Bogotá.</t>
  </si>
  <si>
    <t>Prestar servicios de apoyo a la gestión al Instituto Distrital de Patrimonio Cultural en los trámites administrativos y operativos generados en la operación del Museo de Bogotá.</t>
  </si>
  <si>
    <t>Contratar la iluminación museográfica requerida para las salas de exposición del Museo de Bogotá del Instituto Distrital de Patrimonio Cultural.</t>
  </si>
  <si>
    <t>Prestar servicios profesionales al Instituto Distrital de Patrimonio Cultural para orientar los procesos museográficos requeridos por el Museo de Bogotá.</t>
  </si>
  <si>
    <t>Prestar servicios profesionales al Instituto Distrital de Patrimonio Cultural para acompañar el componente pedagógico y didáctico del portafolio de servicios educativos y culturales del Museo de Bogotá.</t>
  </si>
  <si>
    <t>Prestar servicios profesionales al Instituto Distrital de Patrimonio Cultural en la ejecución de los procesos de mediación y generación de contenidos pedagógicos del portafolio de servicios educativos y culturales del Museo de Bogotá.</t>
  </si>
  <si>
    <t xml:space="preserve"> Prestar servicios profesionales al Instituto Distrital de Patrimonio Cultural para apoyar las acciones de diseño gráfico del Museo de Bogotá .</t>
  </si>
  <si>
    <t>Contratar la adquisición de licencias de software para los equipos de cómputo de Instituto Distrital de Patrimonio Cultural.</t>
  </si>
  <si>
    <t>Prestar servicios profesionales al Instituto Distrital de Patrimonio Cultural para orientar la planeación e implementación de la oferta de servicios educativos y culturales del Museo de Bogotá.</t>
  </si>
  <si>
    <t>Prestar servicios profesionales al Instituto Distrital de Patrimonio Cultural para llevar a cabo las actividades de registro y catalogación de la colección del Museo de Bogotá.</t>
  </si>
  <si>
    <t>Prestar servicios profesionales al Instituto Distrital de Patrimonio Cultural para acompañar el diseño, programación y desarrollo de las actividades del portafolio de servicios educativos y culturales del Museo de Bogotá.</t>
  </si>
  <si>
    <t>Contratar el  saneamiento ambiental requerido para las las sedes del Museo de Bogotá del Instituto Distrital de Patrimonio Cultural.</t>
  </si>
  <si>
    <t>Prestar servicios profesionales al Instituto Distrital de Patrimonio Cultural para orientar los procesos de gestión de la colección del Museo de Bogotá</t>
  </si>
  <si>
    <t>Prestar servicios de apoyo a la gestión al Instituto Distrital de Patrimonio Cultural en los procesos de montaje y actividades logísticas requeridas por el Museo de Bogotá.</t>
  </si>
  <si>
    <t>Prestar servicios profesionales al Instituto Distrital de Patrimonio Cultural para apoyar el desarrollo del plan de exposiciones temporales del Museo de Bogotá y los requerimientos asociados a los planes y proyectos especiales de la entidad.</t>
  </si>
  <si>
    <t>Museo de la ciudad autoconstruida</t>
  </si>
  <si>
    <t>Contratar la prestación del servicio integral de aseo, cafetería y fumigación, incluidos los insumos, para las sedes del Instituto Distrital de Patrimonio Cultural.</t>
  </si>
  <si>
    <t>Prestar servicios de apoyo a la gestión al Instituto Distrital de Patrimonio Cultural en los procesos de digitalización de la Colección del Museo de Bogotá.</t>
  </si>
  <si>
    <t xml:space="preserve">Prestar servicios profesionales al Instituto Distrital de Patrimonio Cultural para acompañar el componente histórico de los procesos curatoriales desarrollados por el Museo de Bogotá. </t>
  </si>
  <si>
    <t>Prestar servicios al Instituto Distrital de Patrimonio Cultural para llevar a cabo el proceso de desarme, traslado y armado del tranvía de mulas, pieza museográfica central de la sala: "Sobre rieles, el tranvía en Bogotá" del Museo de Bogotá.</t>
  </si>
  <si>
    <t>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</si>
  <si>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Contratar el mantenimiento de equipos de medición ambiental de propiedad del Instituto Distrital de Patrimonio Cultural.</t>
  </si>
  <si>
    <t>NA</t>
  </si>
  <si>
    <t>SALDO DEL COMPONENTE MUSEO EN OPERACIÓN</t>
  </si>
  <si>
    <t>Contratar un programa de seguros que ampare los bienes e intereses patrimoniales del Instituto Distrital de Patrimonio Cultural y aquellos por los cuales sea o llegare a ser responsable.</t>
  </si>
  <si>
    <t>Adición y prórroga del contrato 305 de 2018 que tiene por objeto: 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</si>
  <si>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Contratar la prestación del servicio de mantenimiento preventivo y correctivo de bienes inmuebles propiedad y a cargo del Instituto Distrital de Patrimonio Cultural.</t>
  </si>
  <si>
    <t>Servicios Públicos</t>
  </si>
  <si>
    <t>Compra de estantes rodantes para las cajas de archivo  requeridas para la organización del archivo de gestión  del Instituto Distrital de Patrimonio Cultural</t>
  </si>
  <si>
    <t>Contratar el arrendamiento de equipos de impresión para el Instituto Distrital de Patrimonio Cultural, incluido el mantenimiento y soporte técnico preventivo y correctivo programado con suministro de tóner permanente, así como el soporte técnico extraordinario cada vez que se requiera.</t>
  </si>
  <si>
    <t>Adquisición de mobiliario para la sede administrativa del Instituto Distrital de Patrimonio Cultural.</t>
  </si>
  <si>
    <t>Contratar el alquiler e instalación de computadores de escritorio con su respectiva configuración y puesta en funcionamiento en las instalaciones del Instituto Distrital de Patrimonio Cultural.</t>
  </si>
  <si>
    <t>Adquisición de licencias de software especializados para los equipos de cómputo del IDPC</t>
  </si>
  <si>
    <t>Contratar la renovación y ampliación del almacenamiento de la solución de respaldo de información para el Instituto Distrital de Patrimonio Cultural.</t>
  </si>
  <si>
    <t>Prestar servicios profesionales al Instituto Distrital de Patrimonio Cultural en las actividades de soporte técnico y los trámites precontractuales para la adquisición de bienes y servicios relacionados con el sistema de información y tecnología de la entidad.</t>
  </si>
  <si>
    <t xml:space="preserve">Prestar servicios profesionales al Instituto Distrital de Patrimonio Cultural para apoyar las actividades relacionadas con la adquisición, actualización y mantenimiento de los sistemas de información e infraestructura tecnológica y las acciones de fortalecimiento e implementación de la estrategia de Gobierno en Línea. </t>
  </si>
  <si>
    <t>Prestar servicios profesionales al Instituto Distrital de Patrimonio Cultural para apoyar las actividades técnicas requeridas en aplicación del Sistema de Información Geográfica -SIG_PC-.</t>
  </si>
  <si>
    <t>Prestar servicios de apoyo a la gestión al Instituto Distrital de Patrimonio Cultural en las actividades de soporte técnico del sistema de  información y tecnología de la entidad.</t>
  </si>
  <si>
    <t>Prestar servicios profesionales al Instituto Distrital de Patrimonio Cultural para realizar acciones relacionadas con la implementación y consolidación del Sistema de Información Geográfica -SIG_PC-.</t>
  </si>
  <si>
    <t>Prestar servicios de apoyo a la gestión  al Instituto Distrital de Patrimonio Cultural para ejecutar las actividades relacionadas con el Programa de gestión Documental - PGD  y el Plan Institucional de Archivos PINAR.</t>
  </si>
  <si>
    <t xml:space="preserve">Prestar servicios profesionales al Instituto de Patrimonio Cultural para realizar acciones de soporte relacionadas con la gestión documental de la entidad y el aplicativo ORFEO. </t>
  </si>
  <si>
    <t>Prestar servicios profesionales al Instituto Distrital de Patrimonio Cultural para apoyar la implementación de políticas y acciones para el mantenimiento y mejora del Sistema Integrado de Gestión en el marco del Modelo Integrado de Planeación y Gestión - MIPG.</t>
  </si>
  <si>
    <t>Prestar servicios profesionales al Instituto Distrital de Patrimonio Cultural para dar lineamientos y orientación en la implementación, sostenibilidad y mejora del Sistema Integrado de Gestión en el marco del Modelo Integrado de Planeación y Gestión - MIPG.</t>
  </si>
  <si>
    <t>Prestar servicios profesionales al Instituto Distrital de Patrimonio Cultural para la ejecución de las actividades relacionados con el Sistema Integrado de Conservación  en concordancia con la normatividad vigente.</t>
  </si>
  <si>
    <t>Prestar servicios profesionales al Instituto Distrital de Patrimonio Cultural para apoyar la formulación e implementación de políticas y acciones que promuevan la sostenibilidad del Sistema Integrado de Gestión en el marco del Modelo Integrado de Planeación y Gestión - MIPG.</t>
  </si>
  <si>
    <t xml:space="preserve">Prestar servicios de apoyo a la gestión al Instituto Distrital de Patrimonio Cultural para orientar las acciones de préstamos, consultas y organización de los archivos de la entidad. </t>
  </si>
  <si>
    <t>Prestar servicios profesionales al Instituto Distrital de Patrimonio Cultural para desarrollar actividades de apoyo al proceso de operación del Subsistema Interno de Gestión Documental y Archivos -SIGA.</t>
  </si>
  <si>
    <t>Prestar servicios asistenciales al Instituto Distrital de Patrimonio Cultural para apoyar la gestión requerida en la digitalización y organización de archivos relacionada con el Subsistema Interno de Gestión Documental y Archivos -SIGA.</t>
  </si>
  <si>
    <t>Prestar servicios profesionales al Instituto Distrital de Patrimonio Cultural para dar lineamientos, formular y orientar las acciones para la sostenibilidad del Subsistema Interno de Gestión Documental y Archivos -SIGA.</t>
  </si>
  <si>
    <t>Prestar servicios profesionales al Instituto Distrital de Patrimonio Cultural para orientar y formular acciones para el fortalecimiento y mantenimiento del Subsistema de Gestión Ambiental en el marco del Sistema Integrado de Gestión.</t>
  </si>
  <si>
    <t xml:space="preserve">Prestar servicios de apoyo a la gestión al Instituto Distrital de Patrimonio Cultural para la organización de los archivos de la Entidad. </t>
  </si>
  <si>
    <t>Prestar servicios profesionales jurídicos al Instituto Distrital de Patrimonio Cultural, para adelantar acciones jurídicas y de seguimiento contractual y administrativo relacionadas con los procesos liderados por la Subdirección General o quien haga sus veces.</t>
  </si>
  <si>
    <t>Prestar servicios de apoyo a la gestión al Instituto Distrital de Patrimonio Cultural en las actividades administrativas de la Dirección General de la entidad.</t>
  </si>
  <si>
    <t>Prestar servicios profesionales especializados a la Dirección General del Instituto Distrital de Patrimonio Cultural, relacionados con el acompañamiento de las acciones estratégicas de mejoramiento y seguimiento institucional, para el normal funcionamiento de la entidad.</t>
  </si>
  <si>
    <t xml:space="preserve">Prestar servicios de apoyo a la gestión al Instituto Distrital de Patrimonio Cultural para apoyar las actividades logisticas de divulgación, participación ciudadana y control social. </t>
  </si>
  <si>
    <t>Prestar servicios profesionales al Instituto Distrital de Patrimonio Cultural en el apoyo jurídico que requiera la entidad en las etapas precontractual, contractual y post-contractual.</t>
  </si>
  <si>
    <t>Prestar servicios de apoyo a la gestión al Instituto Distrital de Patrimonio Cultural, en el desarrollo de las actividades relacionadas con la liquidación de prestaciones sociales y demás temas de la gestión del talento humano de la entidad.</t>
  </si>
  <si>
    <t>Prestar servicios profesionales al Instituto Distrital de Patrimonio Cultural para apoyar a la Asesoría Jurídica o quien haga sus veces, en la emisión de conceptos jurídicos, así como en la proyección y revisión de los documentos de índole jurídico que le sean asignados, y   apoyando los procesos de selección en todas las etapas de la gestión contractual, especialmente las relacionadas con la etapa post-contractual.</t>
  </si>
  <si>
    <t>Prestar servicios de profesionales al Instituto Distrital de Patrimonio Cultural en las actividades relacionadas con la publicación y seguimiento de la actividad contractual en los portales de contratación.</t>
  </si>
  <si>
    <t>Prestar servicios de apoyo a la gestión al Instituto Distrital de Patrimonio Cultural en la realización de las actividades de comunicación de la Subdirección de Gestión Corporativa.</t>
  </si>
  <si>
    <t>Prestación de servicios profesionales especializados al Instituto Distrital de Patrimonio Cultural para apoyar el cumplimiento de las actividades relacionadas con las responsabilidades financieras, presupuestales, contables, tributarias, contractuales y de control de la entidad.</t>
  </si>
  <si>
    <t>Prestar servicios profesionales al Instituto Distrital de Patrimonio Cultural para apoyar a la Asesoría Jurídica o quien haga sus veces, en los procesos de selección sin límite de cuantía, en las etapas precontractual, contractual y post-contractual.</t>
  </si>
  <si>
    <t>Prestar servicios de apoyo a la gestión al Instituto Distrital de Patrimonio Cultural en las actividades operativas relacionadas con la recepción, organización documental y de correspondencia de la entidad.</t>
  </si>
  <si>
    <t>Prestar servicios profesionales al Instituto Distrital de Patrimonio Cultural para el apoyo jurídico que requiera la entidad en las etapas precontractual, contractual y post-contractual.</t>
  </si>
  <si>
    <t>Prestar servicios profesionales al Instituto Distrital de Patrimonio Cultural para apoyar a la Asesoría Jurídica o quien haga sus veces, en las actividades propias de sus funciones, especialmente las relacionadas con la etapa post-contractual.</t>
  </si>
  <si>
    <t>Prestar servicios de apoyo a la gestión al Instituto Distrital de Patrimonio Cultural, en las actividades operativas y de mantenimiento requeridas por la entidad.</t>
  </si>
  <si>
    <t>Prestar servicios de apoyo a la gestión al Instituto Distrital de Patrimonio Cultural para apoyar a la Asesoría Jurídica o quien haga sus veces, en las actividades relacionadas con la organización y administración del archivo documental.</t>
  </si>
  <si>
    <t>Prestar servicios profesionales al Instituto Distrital de Patrimonio Cultural para apoyar el proceso de modernización del Instituto, repuesta a peticiones, requerimientos de entes de control, y demás temas relacionados con la Gestión del Talento Humano de la entidad.</t>
  </si>
  <si>
    <t>Prestar servicios de apoyo a la gestión al Instituto Distrital de Patrimonio Cultural en el seguimiento a los planes de mejoramiento, metas, indicadores y actividades relacionadas con los procesos de contratación de la Subdirección de Gestión Corporativa.</t>
  </si>
  <si>
    <t>Prestar servicios profesionales al Instituto Distrital de Patrimonio Cultural, en las actividades de la asesoría de Control Interno incluidas en el Plan Anual de Auditorias.</t>
  </si>
  <si>
    <t>Prestar servicios profesionales al Instituto Distrital de Patrimonio Cultural para apoyar jurídicamente la proyección y trámites de documentos precontractuales requeridos por la Subdirección de Gestión Corporativa.</t>
  </si>
  <si>
    <t>Prestar servicios profesionales al Instituto Distrital de Patrimonio Cultural en las actividades relacionadas con la gestión financiera y presupuestal de la entidad.</t>
  </si>
  <si>
    <t>Prestar servicios profesionales al Instituto Distrital de Patrimonio Cultural para realizar el soporte, mantenimiento, actualización y desarrollo de la plataforma del sistema de gestión ORFEO.</t>
  </si>
  <si>
    <t>Prestar servicios profesionales al Instituto Distrital de Patrimonio Cultural para brindar el apoyo jurídico requerido en las actuaciones disciplinarias que se adelanten dentro de los procesos de competencia de la entidad.</t>
  </si>
  <si>
    <t>Prestar servicios de apoyo a la gestión al Instituto Distrital de Patrimonio Cultural para acompañar a la Asesoría Jurídica o quien haga sus veces, en temas judiciales y de cartera de la entidad.</t>
  </si>
  <si>
    <t>Prestar servicios profesionales al Instituto Distrital de Patrimonio Cultural apoyando la proyección y trámite de los documentos precontractuales, seguimiento, control y modificaciones al plan de adquisiciones de la Subdirección de Gestión Corporativa.</t>
  </si>
  <si>
    <t>Prestar servicios profesionales al Instituto Distrital de Patrimonio Cultural para apoyar la Implementacion del modelo de participación ciudadana y control social.</t>
  </si>
  <si>
    <t>Prestar servicios profesionales al Instituto Distrital de Patrimonio Cultural para apoyar las actividades relacionadas con el proceso de Direccionamiento Estratégico.</t>
  </si>
  <si>
    <t>Prestar servicios de apoyo a la gestión al Instituto Distrital de Patrimonio Cultural en las actividades operativas requeridas en el área de almacén e inventarios.</t>
  </si>
  <si>
    <t>Prestar servicios profesionales al Instituto Distrital de Patrimonio Cultural para apoyar los procesos de planeación relacionados con los programas, planes y proyectos del Instituto.</t>
  </si>
  <si>
    <t xml:space="preserve">Prestar servicios de apoyo a la gestión al Instituto Distrital de Patrimonio Cultural para ejecutar actividades operativas requeridas por la Subdirección General o quien haga sus veces. </t>
  </si>
  <si>
    <t>Prestar servicios profesionales al Instituto Distrital de Patrimonio Cultural para orientar, consolidar e implementar el modelo de participación ciudadana y control social.</t>
  </si>
  <si>
    <t>Prestar servicios profesionales al Instituto Distrital de Patrimonio Cultural para asesorar a la Dirección General en el manejo de las relaciones interinstitucionales e internacionales, a través del acompañamiento y gestión de estrategias, planes y proyectos, para el fomento y apropiación del patrimonio cultural en el Distrito Capital.</t>
  </si>
  <si>
    <t xml:space="preserve">Prestar servicios profesionales al Instituto Distrital de Patrimonio Cultural para dar lineamientos en la Planeación Estratégica Institucional. </t>
  </si>
  <si>
    <t>Prestar servicios profesionales al Instituto Distrital de Patrimonio Cultural para apoyar jurídicamente en la realización de las actividades de la gestión del Talento Humano de la entidad.</t>
  </si>
  <si>
    <t>Prestar servicios de apoyo a la gestión al Instituto Distrital de Patrimonio Cultural en el desarrollo de actividades administrativas de la Subdirección de Gestión Corporativa.</t>
  </si>
  <si>
    <t>Prestar servicios profesionales al Instituto Distrital de Patrimonio Cultural en las actividades relacionadas con la vinculación, permanencia, retiro de los servidores públicos y demás temas relacionados con la gestión del talento humano de la entidad.</t>
  </si>
  <si>
    <t>Prestar servicios profesionales al Instituto Distrital de Patrimonio Cultural para apoyar las actividades relacionadas con el procesamiento de datos que permita la obtención de información confiable y oportuna de carácter financiero, contable y tributario de la entidad.</t>
  </si>
  <si>
    <t xml:space="preserve">Prestar servicios profesionales al Instituto Distrital de Patrimonio Cultural para apoyar los procesos   administrativos de la Subdirección General o quien haga sus veces. </t>
  </si>
  <si>
    <t xml:space="preserve">
Prestar servicios profesionales al Instituto Distrital de Patrimonio Cultural para apoyar las actividades requeridas en el seguimiento a la ejecución presupuestal de inversión y a las metas de los proyectos de inversión del Instituto.
</t>
  </si>
  <si>
    <t>Prestar servicios de apoyo a la gestión al Instituto Distrital de Patrimonio Cultural en las actividades relacionadas con los préstamos, consultas y organización de los archivos de la Asesoría Jurídica o quien haga sus veces, en el marco del Subsistema Interno de Gestión Documental y Archivos (SIGA).</t>
  </si>
  <si>
    <t>Prestar servicios profesionales al Instituto Distrital de Patrimonio Cultural para adelantar acciones relacionadas con los procesos de planeación, seguimiento y control de los programas, planes y proyectos del Instituto.</t>
  </si>
  <si>
    <t xml:space="preserve">Prestar servicios profesionales al Instituto Distrital de Patrimonio Cultural para apoyar el control y seguimiento a presupuesto, metas e indicadores y  Sistema Integrado de Gestión requerido. </t>
  </si>
  <si>
    <t>Prestar servicios profesionales al Instituto Distrital de Patrimonio Cultural para apoyar el diseño, formulación, actualización, seguimiento y mejoramiento del Sistema de Gestión de Seguridad y Salud en el Trabajo de la entidad.</t>
  </si>
  <si>
    <t>Prestar servicios profesionales al Instituto Distrital de Patrimonio Cultural en las actividades relacionadas con el mantenimiento preventivo y correctivo de los bienes muebles e inmuebles propiedad de la entidad.</t>
  </si>
  <si>
    <t>Prestar servicios profesionales al Instituto Distrital de Patrimonio Cultural, acompañando jurídicamente los procesos contractuales, así como la revisión, seguimiento y control de la gestión administrativa a cargo de la Subdirección de Gestión Corporativa.</t>
  </si>
  <si>
    <t>Prestar servicios de apoyo a la gestión al Instituto Distrital de Patrimonio Cultural en las actividades relacionadas con la implementación del SECOP II.</t>
  </si>
  <si>
    <t>Prestar servicios de apoyo a la gestión al Instituto Distrital de Patrimonio Cultural, en las actividades asistenciales que requiera la Asesoría Jurídica o quien haga sus veces.</t>
  </si>
  <si>
    <t>planilla riesgo 5</t>
  </si>
  <si>
    <t>Prestar servicios profesionales especializados al Instituto Distrital de Patrimonio Cultural apoyando a la Asesoría Jurídica o quien haga sus veces, en la defensa judicial de los intereses patrimoniales de la entidad.</t>
  </si>
  <si>
    <t>Prestar servicios profesionales al Instituto Distrital de Patrimonio Cultural apoyando la aplicación de los lineamientos enmarcados en la Ley de Transparencia  y del Derecho de Acceso a la Información Pública.</t>
  </si>
  <si>
    <t>Prestar servicios de apoyo a la gestión al Instituto Distrital de Patrimonio Cultural brindando atención al público en temas relacionados con los trámites de solicitudes requeridas a la entidad.</t>
  </si>
  <si>
    <t>Prestar servicios profesionales al Instituto Distrital de Patrimonio Cultural apoyando la aplicación de la Política Pública Distrital de Servicio a la Ciudadanía y la implementación del Modelo de atención a la ciudadanía de la entidad.</t>
  </si>
  <si>
    <t>Prestar servicios profesionales al Instituto Distrital de Patrimonio Cultural orientando la implementación de la Ley de Transparencia y del Derecho de Acceso a la Información Pública y la Política Pública Distrital de Servicio a la Ciudadanía.</t>
  </si>
  <si>
    <t>Prestar servicios profesionales al Instituto Distrital de Patrimonio Cultural para apoyar las actividades relacionadas con el SDQS y la atención de PQRS de la entidad.</t>
  </si>
  <si>
    <t>PLAN DE ACCIÓN PRESUPUESTO DE INVERSIÓN 2019</t>
  </si>
  <si>
    <t>Meta Entidad 2019</t>
  </si>
  <si>
    <t>PLAN DE ACCION PRESUPUESTO DE INVERSION 2019</t>
  </si>
  <si>
    <t>Formular y adoptar 0,15 del Plan Especial de Manejo y Protección del Centro Histórico</t>
  </si>
  <si>
    <t>Formular y adoptar 1 instrumento de financiamiento para la recuperación y sostenibilidad del patrimonio
cultural.</t>
  </si>
  <si>
    <t xml:space="preserve">Prestar servicios profesionales al Instituto Distrital de Patrimonio Cultural para elaborar insumos arquitectónicos en la formulación de proyectos y del Plan Especial de Manejo y Protección -PEMP- del Centro Histórico de Bogotá D.C, a partir de la consolidación de la formulación del mismo. </t>
  </si>
  <si>
    <t>Prestar servicios profesionales al Instituto Distrital de Patrimonio Cultural en las actividades relacionadas con la propuesta de norma e instrumentos del Plan Especial de Manejo y Protección -PEMP- del Centro Histórico de Bogotá D.C.</t>
  </si>
  <si>
    <t>Prestar servicios profesionales al Instituto Distrital de Patrimonio Cultural para la consolidación de la propuesta de norma e instrumentos del Plan Especial de Manejo y Protección -PEMP- del Centro Histórico de Bogotá D.C., y otros proyectos asociados.</t>
  </si>
  <si>
    <t xml:space="preserve">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</si>
  <si>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Prestar servicios profesionales al Instituto Distrital de Patrimonio Cultural para orientar el direccionamiento estratégico del Plan Especial de Manejo y Protección -PEMP- del Centro Histórico de Bogotá D.C.</t>
  </si>
  <si>
    <t xml:space="preserve">Prestar servicios profesionales al Instituto Distrital de Patrimonio Cultural para apoyar la formulación de los aspectos administrativos y de gobernanza en el marco del modelo de gestión del Plan Especial de Manejo y Protección -PEMP- del Centro Histórico de Bogotá D.C. </t>
  </si>
  <si>
    <t>Prestar servicios profesionales al Instituto Distrital de Patrimonio Cultural para apoyar las acciones requeridas para la consolidación normativa y arquitectónica de la propuesta de espacio público para el Plan Especial de Manejo y Protección -PEMP- del Centro Histórico de Bogotá D.C y otros proyectos.</t>
  </si>
  <si>
    <t xml:space="preserve">Prestar servicios profesionales al Instituto Distrital de Patrimonio Cultural apoyando la consolidación de la propuesta para la norma urbana patrimonial del Plan Especial de Manejo y Protección -PEMP- del Centro Histórico de Bogotá D.C y otros proyectos. </t>
  </si>
  <si>
    <t>Prestar servicios profesionales al Instituto Distrital de Patrimonio Cultural para apoyar las acciones requeridas para el desarrollo de la propuesta de norma urbana e instrumentos del Plan Especial de Manejo y Protección -PEMP- del Centro Histórico de Bogotá D.C.</t>
  </si>
  <si>
    <t>Prestar servicios de apoyo a la gestión al Instituto Distrital de Patrimonio Cultural para apoyar las acciones requeridas en la consolidación de la propuesta normativa del Plan Especial de Manejo y Protección -PEMP- del Centro Histórico de Bogotá D.C.</t>
  </si>
  <si>
    <t xml:space="preserve">Prestar servicios profesionales al Instituto Distrital de Patrimonio Cultural para formular y desarrollar insumos relacionados con el direccionamiento estratégico del Plan Especial de Manejo y Protección -PEMP- del Centro Histórico de Bogotá D.C y otros proyectos asociados.  </t>
  </si>
  <si>
    <t>Prestar servicios profesionales al Instituto Distrital de Patrimonio Cultural para ejecutar insumos urbano arquitectónicos de proyectos y de las intervenciones integrales del Plan Especial de Manejo y Protección -PEMP- del Centro Histórico de Bogotá D.C. a partir de la consolidación de la formulación del mismo.</t>
  </si>
  <si>
    <t xml:space="preserve">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t>
  </si>
  <si>
    <t xml:space="preserve">Prestar servicios profesionales al Instituto Distrital de Patrimonio Cultural para ejecutar  insumos urbano-territoriales en la formulación de proyectos y del Plan Especial de Manejo y Protección -PEMP- del Centro Histórico de Bogotá D.C, a partir de la consolidación de la formulación del mismo. </t>
  </si>
  <si>
    <t>Prestar servicios profesionales al Instituto Distrital de Patrimonio Cultural en la revisión, verificación y consolidación de la información fotográfica como insumo para las fichas del inventario- valoración y normativa del patrimonio cultural inmueble del Plan Especial de Manejo y protección –PEMP- del Centro Histórico de Bogotá D.C.</t>
  </si>
  <si>
    <t>Prestar servicios profesionales al Instituto Distrital de Patrimonio Cultural para adelantar la modelación de escenarios de accesibilidad y movilidad para planes y proyectos del Instituto.</t>
  </si>
  <si>
    <t xml:space="preserve">Prestar servicios profesionales al Instituto Distrital de Patrimonio Cultural en la ejecución de insumos documentales para la consolidación de la valoración e inventario de los bienes del patrimonio cultural inmueble del Plan Especial de Manejo y Protección- PEMP- del Centro Histórico de Bogotá D.C.  </t>
  </si>
  <si>
    <t>Prestar servicios profesionales al Instituto Distrital de Patrimonio Cultural para apoyar las actividades de revisión, verificación y consolidación de las fichas del inventario y valoración del patrimonio cultural inmueble en el marco del Plan Especial de Manejo y Protección- PEMP- del Centro Histórico de Bogotá D.C.</t>
  </si>
  <si>
    <t>Prestar servicios profesionales al Instituto Distrital de Patrimonio Cultural en la orientación de la gestión de los programas, planes, proyectos e intervenciones integrales del Plan Especial de Manejo y Protección -PEMP- del Centro Histórico de Bogotá D.C., y otros proyectos.</t>
  </si>
  <si>
    <t>Prestar servicios profesionales al Instituto Distrital de Patrimonio Cultural en el direccionamiento de proyectos e intervenciones integrales   del Plan Especial de Manejo y Protección -PEMP- del Centro Histórico de Bogotá D.C.</t>
  </si>
  <si>
    <t xml:space="preserve">Prestar servicios profesionales al Instituto Distrital de Patrimonio Cultural para realizar una propuesta de estructura legal e institucional del modelo de gestión del Plan Especial de Manejo y Protección -PEMP- del Centro Histórico de Bogotá D.C. </t>
  </si>
  <si>
    <t>Prestar servicios profesionales al Instituto Distrital de Patrimonio Cultural en el direccionamiento de norma e instrumentos del Plan Especial de Manejo y Protección -PEMP- del Centro Histórico de Bogotá D.C.</t>
  </si>
  <si>
    <t xml:space="preserve"> Prestar servicios profesionales al Instituto Distrital de Patrimonio Cultural para realizar insumos arquitectonicos y de espacialización de proyectos en la formulación de proyectos y del Plan Especial de Manejo y Protección -PEMP- del Centro Histórico de Bogotá D.C, a partir de la consolidación de la formulación del mismo. </t>
  </si>
  <si>
    <t xml:space="preserve">Prestar servicios profesionales al Instituto Distrital de Patrimonio Cultural para apoyar la producción de insumos técnicos relacionados con el direccionamiento estratégico del Plan Especial de Manejo y Protección -PEMP- del Centro Histórico de Bogotá D.C y otros proyectos asociados.  </t>
  </si>
  <si>
    <t xml:space="preserve">Prestar servicios profesionales al Instituto Distrital de Patrimonio Cultural en la ejecución de las actividades de información gráfica, edición y montaje para la consolidación de la valoración e inventario de los bienes del patrimonio cultural inmueble del Plan Especial de Manejo y Protección- PEMP- del Centro Histórico de Bogotá D.C.  </t>
  </si>
  <si>
    <t>Prestar servicios profesionales al Instituto Distrital de Patrimonio Cultural para el direccionamiento, verificación y consolidación del inventario y valoración del patrimonio cultural inmueble en el marco de la propuesta integral del Patrimonio Inmueble del Plan Especial de Manejo y Protección -PEMP - del Centro Histórico de Bogota D.C-</t>
  </si>
  <si>
    <t>Prestar servicios profesionales al Instituto Distrital de Patrimonio Cultural para apoyar la consolidación de la propuesta normativa y de instrumentos derivados del Plan Especial de Manejo y Protección -PEMP- del Centro Histórico de Bogotá D.C., y otros proyectos.</t>
  </si>
  <si>
    <t>Prestar servicios profesionales al Instituto Distrital de Patrimonio Cultural para avanzar en el desarrollo normativo y de instrumentos del componente patrimonial del Plan Especial de Manejo y Protección -PEMP- del Centro Histórico de Bogotá D.C.</t>
  </si>
  <si>
    <t>Prestar servicios profesionales al Instituto Distrital de Patrimonio Cultural para la consolidación del desarrollo normativo y de instrumentos del componente patrimonial del Plan Especial de Manejo y Protección -PEMP- del Centro Histórico de Bogotá D.C., y otros proyectos.</t>
  </si>
  <si>
    <t xml:space="preserve">Prestar servicios profesionales al Instituto Distrital de Patrimonio Cultural para apoyar la orientación y desarrollo del proceso de participación ciudadana y divulgación del Plan Especial de Manejo y Protección (PEMP) del Centro Histórico de Bogotá D.C y otros proyectos. </t>
  </si>
  <si>
    <t xml:space="preserve">Prestar servicios profesionales al Instituto Distrital de Patrimonio Cultural para realizar  insumos en el componente ambiental en la formulación de proyectos del Instituto. </t>
  </si>
  <si>
    <t xml:space="preserve">Prestar servicios profesionales al Instituto Distrital de Patrimonio Cultural en el desarrollo de insumos urbano arquitectonicos para los planes, programas y proyectos del Instituto. </t>
  </si>
  <si>
    <t xml:space="preserve">Prestar servicios profesionales al Instituto Distrital de Patrimonio Cultural  para formular y desarrollar insumos relacionados con la gestión de los programas, planes, proyectos e intervenciones integrales del Instituto. </t>
  </si>
  <si>
    <t xml:space="preserve">Prestar servicios profesionales al Instituto Distrital de Patrimonio Cultural para elaborar insumos en el componente de innovación en la formulación de proyectos del Instituto. </t>
  </si>
  <si>
    <t>Prestar servicios de apoyo a la gestión del Instituto Distrital de Patrimonio Cultural en la producción de insumos documentales relacionados con los planes y proyectos del Instituto.</t>
  </si>
  <si>
    <t xml:space="preserve">Prestar servicios profesionales al Instituto Distrital de Patrimonio Cultural para desarrollar actividades técnicas y operativas de los planes, programas y proyectos del instituto. </t>
  </si>
  <si>
    <t xml:space="preserve">Prestar servicios profesionales al Instituto Distrital de Patrimonio Cultural para realizar insumos en el componente de accesibilidad y movilidad en la formulación  de proyectos del Instituto. </t>
  </si>
  <si>
    <t xml:space="preserve">Prestar servicios profesionales al Instituto Distrital de Patrimonio Cultural para apoyar las actividades técnicas y administrativas de los planes, programas y proyectos del Instituto. </t>
  </si>
  <si>
    <t>Prestar servicios profesionales al Instituto Distrital de Patrimonio Cultural en la consolidación normativa y arquitectónica de la propuesta de espacio público para el Plan Especial de Manejo y Protección -PEMP- del Centro Histórico de Bogotá D.C y otros proyectos.</t>
  </si>
  <si>
    <t xml:space="preserve">Prestar servicios profesionales al Instituto Distrital de Patrimonio Cultural para elaborar insumos en el componente habitacional en la formulación  de proyectos del Instituto. </t>
  </si>
  <si>
    <t xml:space="preserve">Prestar servicios profesionales al Instituto Distrital de Patrimonio Cultural para orientar el direccionamiento estratégico de los planes, programas y proyectos del Instituto. </t>
  </si>
  <si>
    <t xml:space="preserve">Prestar servicios profesionales al Instituto Distrital de Patrimonio Cultural para orientar y desarrollar estrategias, programas y proyectos en el marco de la aplicación de instrumentos de financiación y gestión  para la recuperación de los sectores y Bienes de Interés Cultural en el Distrito Capital. </t>
  </si>
  <si>
    <t>Prestar servicios profesionales al Instituto Distrital de Patrimonio Cultural para apoyar el desarrollo de insumos y actividades relacionadas con las estrategias, programas y proyectos en el marco de la aplicación de instrumentos de financiación y gestión  para la recuperación de los sectores y Bienes de Interés Cultural en el Distrito Capital</t>
  </si>
  <si>
    <t xml:space="preserve">Prestar servicios profesionales al Instituto Distrital de Patrimonio Cultural para ejecutar  actividades relacionadas con las estrategias, programas y proyectos en el marco de la aplicación de instrumentos de financiación y gestión para la recuperación de los sectores y Bienes de Interés Cultural en el Distrito Capital. </t>
  </si>
  <si>
    <t>Meta Plan de Desarrollo 2016-2020</t>
  </si>
  <si>
    <t>Realizar la consultoría para elaborar los estudios técnicos, jurídicos, financieros y diseños definitivos para la construcción de las Galerías comerciales del edificio Liévano primera planta colindante con la carrera 8 entre calle 10 y calle 11.</t>
  </si>
  <si>
    <t>Ejecutar bajo la modalidad de precios unitarios los primeros auxilios del inmueble denominado Casa Cadel.</t>
  </si>
  <si>
    <t>Ejecutar bajo la modalidad de precios unitarios los primeros auxilios del inmueble ubicado en la Calle 12b N. 3 - 07, denominado "Casa Colorada".</t>
  </si>
  <si>
    <t>Prestar servicios profesionales de apoyo a la supervisión al proyecto de primeros auxilios del inmueble denominado Casa Colorada.</t>
  </si>
  <si>
    <t>Realizar los estudios y propuesta para los primeros auxilios, el apuntalamiento y sobre cubierta requerida para el inmueble ubicado en la Calle 12b N. 3 - 07, denominado "Casa Colorada".</t>
  </si>
  <si>
    <t>Pago de trámites y documentación inherente al Proyecto de Intervención en la fachada de la Plaza de Toros La Santamaría.</t>
  </si>
  <si>
    <t>Pago de expensas con cargo variable para la Licencia de Construcción del predio denominado Casa Tito</t>
  </si>
  <si>
    <t>Ejecutar bajo la modalidad de precios unitarios fijos las obras requeridas para el inmueble ubicado en la Calle 12B No. 2-58, denominado Casa Genoveva en la ciudad de Bogotá, D. C.</t>
  </si>
  <si>
    <t>Pago de expensas con cargo variable para la modificación de la Licencia de Construcción del predio Calle 12b N° 2-58, denominado Sede Principal o Casa Genoveva en la ciudad de Bogotá, D. C.</t>
  </si>
  <si>
    <t>Realizar la interventoría integral de la obra cuyo objeto es: "Ejecutar bajo la modalidad de precios unitarios fijos las obras requeridas para el inmueble ubicado en la Calle 12B No. 2-58, denominado Casa Genoveva en la ciudad de Bogotá, D. C."</t>
  </si>
  <si>
    <t>Valor presupuestado para adelantar un traslado presupuestal al rubro Pasivos Exigibles por concepto del saldo a favor del Convenio Interadministrativo No. 363 de 2017 suscrito con la Universidad Nacional.</t>
  </si>
  <si>
    <t>Realizar los estudios y diseños para la intervención integral de bienes muebles-inmuebles en el espacio público de la ciudad de Bogotá, D.C.</t>
  </si>
  <si>
    <t>Ejecución de obras requeridas en el monumento Banderas en la ciudad de Bogotá, D.C.</t>
  </si>
  <si>
    <t>Realizar el proyecto eléctrico y de iluminación para el monumento Simón Bolívar ubicado en la Plaza de Bolívar.</t>
  </si>
  <si>
    <t>Ejecución de obras de primeros auxilios requeridas en el monumento a Los Héroes en la ciudad de Bogotá, D.C.</t>
  </si>
  <si>
    <t>Prestar servicios de apoyo a la gestión al Instituto Distrital de Patrimonio Cultural para la correcta ejecución de las intervenciones adelantadas sobre bienes muebles en espacio público, de acuerdo con la programación establecida.</t>
  </si>
  <si>
    <t>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</si>
  <si>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Prestar servicios profesionales al Instituto Distrital de Patrimonio Cultural para acompañar el seguimiento a las acciones de intervención de los bienes muebles - inmuebles en el espacio público y colecciones públicas de la ciudad de Bogotá. D.C.</t>
  </si>
  <si>
    <t xml:space="preserve">Prestar servicios profesionales al Instituto Distrital de Patrimonio Cultural para apoyar el seguimiento desde la disciplina de conservación - restauración a las actividades de mantenimiento, administración y conservación de los bienes muebles - inmuebles en el espacio público de Bogotá D.C. </t>
  </si>
  <si>
    <t>Prestar servicios profesionales al Instituto Distrital de Patrimonio Cultural para apoyar el seguimiento técnico en sitio de las intervenciones adelantadas sobre bienes muebles en espacio público de Bogotá D.C.</t>
  </si>
  <si>
    <t>Prestar servicios profesionales al Instituto Distrital de Patrimonio Cultural para apoyar la gestión del Grupo de Bienes Muebles en las actividades relacionadas con la intervención y conservación de patrimonio mueble ubicado en el espación público de Bogotá, en especial bajo el Programa Adopta un Monumento de la entidad.</t>
  </si>
  <si>
    <t>Prestar servicios profesionales al Instituto Distrital de Patrimonio Cultural para orientar y realizar el fomento y seguimiento de las acciones de administración, mantenimiento, conservación y restauración de los bienes muebles de la ciudad de Bogotá. D.C.</t>
  </si>
  <si>
    <t>Prestar servicios profesionales al Instituto Distrital de Patrimonio Cultural para orientar, guiar y realizar el seguimiento técnico de las intervenciones adelantadas por la entidad en Bienes Muebles ubicados en el espacio público de Bogotá D.C.</t>
  </si>
  <si>
    <t>Prestar servicios profesionales al Instituto Distrital de Patrimonio Cultural para realizar la gestión interinstitucional (público-privada) del Programa Adopta un Monumento para la protección, mantenimiento, administración y conservación de los bienes muebles - inmuebles en el espacio público de Bogotá, D.C.</t>
  </si>
  <si>
    <t>Suministro de productos químicos e insumos especiales requeridos para las intervenciones técnicas que se realizan sobre los Bienes de Interés Cultural muebles e inmuebles en la ciudad de Bogotá D.C.</t>
  </si>
  <si>
    <t>Realizar la intervención y mantenimiento de las Fachadas de las Iglesias Sanfrancisco, Egipto y Candelaria en la ciudad de Bogotá.</t>
  </si>
  <si>
    <t>Realizar la interventoría integral para la intervención y mantenimiento de las Fachadas de las Iglesias Sanfrancisco, Egipto y Candelaria en la ciudad de Bogotá.</t>
  </si>
  <si>
    <t>Prestar servicios profesionales al Instituto Distrital de Patrimonio Cultural, apoyando a la Subdirección de Divulgación y Apropiación del Patrimonio en la administración de los aplicativos y gestión de alianzas que involucren el componente de TIC’s en la divulgación del patrimonio cultural.</t>
  </si>
  <si>
    <t>Prestar servicios profesionales al Instituto Distrital de Patrimonio Cultural para apoyar la elaboración de insumos cartográficos y alfanuméricos para el Sistema de Información Geográfica -SIG_PC-.</t>
  </si>
  <si>
    <t>Prestar servicios profesionales al Instituto Distrital de Patrimonio Cultural para apoyar la puesta en marcha del Modelo de Participación Ciudadana y Control Social de la entidad.</t>
  </si>
  <si>
    <t>Prestar servicios profesionales al Instituto Distrital de Patrimonio Cultural para la implementación  y el fortalecimiento del Sistema de Información Geográfica - SIGPC, en la entidad</t>
  </si>
  <si>
    <t>Prestar servicios profesionales al Instituto Distrital de Patrimonio Cultural apoyando el soporte técnico del Sistema de Información Geográfico relacionado con la evaluación de solicitudes de intervención en Bienes de Interés Cultural y el desarrollo de proyectos urbanos.</t>
  </si>
  <si>
    <t>Prestar servicios profesionales al IDPC, para apoyar  las actividades relacionadas con el componente urbano y de espacio público de los planes, programas y proyectos, de conformidad con las competencias del IDPC.</t>
  </si>
  <si>
    <t>Prestar servicios profesionales al Instituto Distrital de Patrimonio Cultural, IDPC, para desarrollar actividades de gestión, formulación, evaluación y seguimiento de los planes, programas y proyectos relacionados con los instrumentos normativos y de planeamiento territorial, así como aquellos dirigidos a la protección de los bienes o sectores de interés cultural de la ciudad de Bogotá (PEMP), de conformidad con sus competencias.</t>
  </si>
  <si>
    <t>Prestar servicios profesionales al IDPC apoyando la generación de insumos técnicos para el componente de espacio público, de conformidad con las competencias del IDPC.</t>
  </si>
  <si>
    <t>Saldo componente</t>
  </si>
  <si>
    <t>01-03 0020</t>
  </si>
  <si>
    <t>03-374</t>
  </si>
  <si>
    <t>05-02 0020</t>
  </si>
  <si>
    <t>Prestar sus servicios profesionales al Instituto Distrital de Patrimonio Cultural en la estructuración del componente administrativo y en particular de las condiciones de manejo jurídico normativo del Plan Especial de Manejo y Protección -PEMP- Centro Histórico de Bogotá D.C.</t>
  </si>
  <si>
    <t xml:space="preserve">Prestar servicios profesionales al Instituto Distrital de Patrimonio Cultural en la elaboración de los productos relacionados con los programas, planes, proyectos e intervenciones integrales del Instituto. </t>
  </si>
  <si>
    <t>Prestar servicios al Instituto Distrital de Patrimonio Cultural para apoyar en la elaboración de insumos técnicos para los proyectos de la entidad.</t>
  </si>
  <si>
    <t>Nº CÓD. CONTROL</t>
  </si>
  <si>
    <t>Nº Cód. Control</t>
  </si>
  <si>
    <t>PAULA ANDREA ÁVILA ESPINEL</t>
  </si>
  <si>
    <t>Servicios públicos</t>
  </si>
  <si>
    <t>CARLOS GUILLERMO VALENCIA MALDONADO</t>
  </si>
  <si>
    <t>FERNANDO  SANCHEZ SABOGAL</t>
  </si>
  <si>
    <t>JOSE NICOLAS MARTINEZ ARENAS</t>
  </si>
  <si>
    <t>ANGYE CATERYNN PEÑA VARON</t>
  </si>
  <si>
    <t>CESAR FERSEN ANDERY PADILLA RODRIGUEZ</t>
  </si>
  <si>
    <t>SANTIAGO  URREGO GARAY</t>
  </si>
  <si>
    <t>JOSE LUIS ORTIZ CARDENAS</t>
  </si>
  <si>
    <t>JORGE LEONARDO TORRES ROMERO</t>
  </si>
  <si>
    <t>giovanny francisco lopez perez</t>
  </si>
  <si>
    <t>HELENA MARIA FERNANDEZ SARMIENTO</t>
  </si>
  <si>
    <t>MARTHA LILIANA TRIGOS PICON</t>
  </si>
  <si>
    <t>JAIR ALEJANDRO ALVARADO SOTO</t>
  </si>
  <si>
    <t>DIEGO ANTONIO RODRIGUEZ CARRILLO</t>
  </si>
  <si>
    <t>RODOLFO ANTONIO PARRA RODRIGUEZ</t>
  </si>
  <si>
    <t>LAURA KATHERINE PEREZ ALMANZA</t>
  </si>
  <si>
    <t>GIOVANNY ANDRES CUBILLOS MORENO</t>
  </si>
  <si>
    <t>OSCAR JAVIER MARTINEZ REYES</t>
  </si>
  <si>
    <t>WILSON ORLANDO DAZA MONTAÑO</t>
  </si>
  <si>
    <t>NUBIA ALEXANDRA CORTES REINA</t>
  </si>
  <si>
    <t>LEONEL  SERRATO VASQUEZ</t>
  </si>
  <si>
    <t>LAURA RENNEE DEL PINO BUSTOS</t>
  </si>
  <si>
    <t>ANGELA MARIA RUIZ ARAQUE</t>
  </si>
  <si>
    <t>PABLO ANDRES ANGEL PEREZ</t>
  </si>
  <si>
    <t>JULIANA ANDREA SANCHEZ RODRIGUEZ</t>
  </si>
  <si>
    <t>ALVARO IVAN SALAZAR DAZA</t>
  </si>
  <si>
    <t>WINER ENRIQUE MARTINEZ CUADRADO</t>
  </si>
  <si>
    <t>JUAN PABLO LOPEZ PENAGOS</t>
  </si>
  <si>
    <t>EDGAR ANDRES FIGUEROA VICTORIA</t>
  </si>
  <si>
    <t>NATALIA  ORTEGA RENGIFO</t>
  </si>
  <si>
    <t>LIZETH PAOLA LOPEZ BARRERA</t>
  </si>
  <si>
    <t>PAULA ANDREA AYALA BARON</t>
  </si>
  <si>
    <t>CAROLINA  ORTIZ PEDRAZA</t>
  </si>
  <si>
    <t>Karem Lizette Cespedes Hernandez</t>
  </si>
  <si>
    <t>JULIETH GEORYANNA RODRIGUEZ JAIMES</t>
  </si>
  <si>
    <t>OSCAR JAVIER BECERRA MORA</t>
  </si>
  <si>
    <t>ANDRES JULIAN JIMENEZ DURAN</t>
  </si>
  <si>
    <t>ARMANDO  LOZANO REYES</t>
  </si>
  <si>
    <t>SANDRA JINNETH SABOGAL BERNAL</t>
  </si>
  <si>
    <t>LIDA CONSTANZA MEDRANO RINCON</t>
  </si>
  <si>
    <t>CHALOT  GAVIRIA VELANDIA</t>
  </si>
  <si>
    <t>MELVA SAHIDY PASTRANA MORALES</t>
  </si>
  <si>
    <t>FRANK ADRIANO AGUIRRE SALAMANCA</t>
  </si>
  <si>
    <t>SANDRA MILENA FORERO BALLESTEROS</t>
  </si>
  <si>
    <t>jhon edwin morales herrera</t>
  </si>
  <si>
    <t>ANDRES IVAN ALBARRACIN SALAMANCA</t>
  </si>
  <si>
    <t>ALEJANDRO  MENDOZA JARAMILLO</t>
  </si>
  <si>
    <t>MARILUZ  LOAIZA CANTOR</t>
  </si>
  <si>
    <t>JUAN SEBASTIAN ORTIZ ROJAS</t>
  </si>
  <si>
    <t>KAREN ROCIO FORERO GARAVITO</t>
  </si>
  <si>
    <t>SANDRA PATRICIA MENDOZA VARGAS</t>
  </si>
  <si>
    <t>JONATHAN  OLARTE GUANA</t>
  </si>
  <si>
    <t>JAVIER ENRIQUE MOTTA MORALES</t>
  </si>
  <si>
    <t>ANDREA VIVIANA BRITO</t>
  </si>
  <si>
    <t>INGRID JOHANA PARADA MENDIVELSO</t>
  </si>
  <si>
    <t>OSWALDO JAVIER URREGO VARGAS</t>
  </si>
  <si>
    <t>ARIEL RODRIGO FERNANDEZ BACA</t>
  </si>
  <si>
    <t>LUZ MERY BOLIVAR RINCON</t>
  </si>
  <si>
    <t>MARIBEL  CHARRY DIAZ</t>
  </si>
  <si>
    <t>ANA MARIA MONTOYA CORREA</t>
  </si>
  <si>
    <t>PAOLA RENATA BARRAGAN ZAMORA</t>
  </si>
  <si>
    <t>juan sebastian robayo castillo</t>
  </si>
  <si>
    <t>DIEGO JAVIER PARRA CORTES</t>
  </si>
  <si>
    <t>Angie Lizeth Murillo Pineda</t>
  </si>
  <si>
    <t>HELLEN  QUIROGA MORA</t>
  </si>
  <si>
    <t>207b</t>
  </si>
  <si>
    <t>Prestar servicios de apoyo a la gestión del Instituto Distrital de Patrimonio Cultural en la producción de insumos documentales relacionados con los planes y proyectos del Instituto, en particular del Plan Especial de Manejo y Protección -PEMP- del Centro Histórico de Bogotá D.C.</t>
  </si>
  <si>
    <t>PROYECTO1024 FORMACION EN CATEDRA DE PATRIMONIO CULTURAL</t>
  </si>
  <si>
    <t>COMPONENTE</t>
  </si>
  <si>
    <t>APROPIACION</t>
  </si>
  <si>
    <t>PAGOS</t>
  </si>
  <si>
    <t>AVANCE CDP</t>
  </si>
  <si>
    <t>AVANCE RP</t>
  </si>
  <si>
    <t>AVANCE PAGOS</t>
  </si>
  <si>
    <t>Formacion a docentes</t>
  </si>
  <si>
    <t>Sistematizacion de la experiencia</t>
  </si>
  <si>
    <t>TOTAL PROYECTO</t>
  </si>
  <si>
    <t>PMR</t>
  </si>
  <si>
    <t>PROYECTO 1107 DIVULGACION Y APROPIACION DEL PATRIMONIO CULTURAL DEL DISTRITO CAPITAL</t>
  </si>
  <si>
    <t>13. Oferta cultural para la valoración y divulgación del patrimonio material e  inmaterial de la ciud</t>
  </si>
  <si>
    <t>PROYECTO 1110 FORTALECIMIENTO Y DESARROLLO EN LA GESTION INSTITUCIONAL</t>
  </si>
  <si>
    <t>PROYECTO 1112 INSTRUMENTOS DE PLANEACIÓN Y GESTIÓN PARA LA PRESERVACIÓN Y SOSTENIBILIDAD DEL PATRIMONIO CULTURAL</t>
  </si>
  <si>
    <t>PROYECTO 1114 INTERVENCIÓN Y CONSERVACION DE LOS BIENES MUEBLES E INMUEBLES EN SECTORES DE INTERES CULTURAL DEL DISTRITO CAPITAL</t>
  </si>
  <si>
    <t>Plaza La Santamaría</t>
  </si>
  <si>
    <t>Plaza de Mercado de la Concordia</t>
  </si>
  <si>
    <t>PROYECTO</t>
  </si>
  <si>
    <t>COMPROMETIDO</t>
  </si>
  <si>
    <t>AVANCE</t>
  </si>
  <si>
    <t>TOTAL</t>
  </si>
  <si>
    <t>GASTOS DE FUNCIONAMIENTO</t>
  </si>
  <si>
    <t>NOMBRE</t>
  </si>
  <si>
    <t>TOTAL GASTOS DE FUNCIONAMIENTO</t>
  </si>
  <si>
    <t>Estímulos a iniciativas de la ciudadanía en temas de patrimonio cultural</t>
  </si>
  <si>
    <t>Personal de apoyo transversal en la gestión institucional</t>
  </si>
  <si>
    <t>Desarrollar actividades de comunicación e
información</t>
  </si>
  <si>
    <t>Adecuación y sostenibilidad del Sistema Integrado de Gestión Distrital, bajo el estándar del Modelo Integrado de Planeación y Gestión</t>
  </si>
  <si>
    <t>Instrumentos de gestión, financiación e incentivos para la recuperación y sostenibilidad del patrimonio cultural</t>
  </si>
  <si>
    <t>RESUMEN PRESUPUESTO 2019 COMPROMETIDO</t>
  </si>
  <si>
    <t>Casa Cadel</t>
  </si>
  <si>
    <t>Casa Colorada</t>
  </si>
  <si>
    <t>Sede Principal o Casa Genoveva</t>
  </si>
  <si>
    <t>Galerias Líevano</t>
  </si>
  <si>
    <t>Concejo de Bogotá</t>
  </si>
  <si>
    <t>Asesoría técnica para la protección y promoción del patrimonio cultural material del Distrito Capital</t>
  </si>
  <si>
    <t>Estudios y diseños para la intervención integral de bienes muebles</t>
  </si>
  <si>
    <t>Monumento a Los Héroes</t>
  </si>
  <si>
    <t>Monumento Banderas</t>
  </si>
  <si>
    <t>Simón Bolívar ubicado en la Plaza de Bolívar-Iluminación</t>
  </si>
  <si>
    <t>Intervención y Protección en Monumentos</t>
  </si>
  <si>
    <t>Pasivos Exigibles</t>
  </si>
  <si>
    <t>Intervención y mantenimiento de las Fachadas de las Iglesias San Francisco, Egipto y Candelaria</t>
  </si>
  <si>
    <t>GASTOS DE PERSONAL</t>
  </si>
  <si>
    <t>GASTOS GENERALES</t>
  </si>
  <si>
    <t xml:space="preserve">TOTAL GASTOS </t>
  </si>
  <si>
    <t>TABLERO DE CONTROL PROYECTOS DE INVERSION 2019</t>
  </si>
  <si>
    <t>ARL POSITIVA</t>
  </si>
  <si>
    <t>INSTITUTO DISTRITAL DE PATRIMONIO CULTURAL</t>
  </si>
  <si>
    <t>CAMILO  CASAS ABRIL</t>
  </si>
  <si>
    <t>Premio Dibujatón: Ilustra el patrimonio de Bogotá.</t>
  </si>
  <si>
    <t xml:space="preserve">Premio de Fotografía Ciudad de Bogotá </t>
  </si>
  <si>
    <t xml:space="preserve">Beca nuevas tecnologías para la apropiación del Patrimonio Cultural de Bogotá.               </t>
  </si>
  <si>
    <t xml:space="preserve">Beca para la visibilización de los saberes y prácticas de mujeres portadoras de Patrimonio Cultural Inmaterial en Bogotá    </t>
  </si>
  <si>
    <t>Beca de apropiación del Patrimonio Cultural para población con discapacidad sensorial.</t>
  </si>
  <si>
    <t xml:space="preserve">Beca de investigación sobre el comercio tradicional en el centro histórico de Bogotá          </t>
  </si>
  <si>
    <t xml:space="preserve">Beca de investigación histórica sobre un barrio de Bogotá                                          </t>
  </si>
  <si>
    <t xml:space="preserve">Beca de investigación y divulgación de una colección de bienes muebles en Bogotá                                         </t>
  </si>
  <si>
    <t xml:space="preserve">Beca Patrimonios Locales: salvaguardia del Patrimonio Cultural Inmaterial de Bogotá.                                         </t>
  </si>
  <si>
    <t>ANGIE MILENA MORALES MAURY</t>
  </si>
  <si>
    <t>BIBIANA  CASTRO RAMIREZ</t>
  </si>
  <si>
    <t>DIANA CAROLINA RUA RANGEL</t>
  </si>
  <si>
    <t>JORGE ELKIN BUITRAGO ARENAS</t>
  </si>
  <si>
    <t>XIMENA PAOLA BERNAL CASTILLO</t>
  </si>
  <si>
    <t>SONIA ESPERANZA CUARTAS BECERRA</t>
  </si>
  <si>
    <t>WILSON  PACHECO GUTIERREZ</t>
  </si>
  <si>
    <t>gustavo alfredo bueno rojas</t>
  </si>
  <si>
    <t>NUBIA NAYIBE VELASCO CALVO</t>
  </si>
  <si>
    <t>DIANA PAOLA GAITAN MARTINEZ</t>
  </si>
  <si>
    <t>LEONARDO  OCHICA SALAMANCA</t>
  </si>
  <si>
    <t>GIOVANY ANDRE ALFONSO FORERO</t>
  </si>
  <si>
    <t>EDGARD FRANCISCO GUERRERO GIRALDO</t>
  </si>
  <si>
    <t>FABIAN ELIECER CERVERA LINARES</t>
  </si>
  <si>
    <t>CLEMENT GUILLAUME ROUX</t>
  </si>
  <si>
    <t>MONICA ANGEL LASCAR</t>
  </si>
  <si>
    <t>MELISSA  SOLORZANO TORO</t>
  </si>
  <si>
    <t>MIGUEL ANTONIO RODRIGUEZ SILVA</t>
  </si>
  <si>
    <t>WALTER MAURICIO MARTINEZ ROSAS</t>
  </si>
  <si>
    <t>MARIA ANTONIETA GARCIA RESTREPO</t>
  </si>
  <si>
    <t>IRENE CAROLINA CORREDOR ROJAS</t>
  </si>
  <si>
    <t>JOSE LEONARDO CRISTANCHO CASTAÑO</t>
  </si>
  <si>
    <t>MARIA CLARA MENDEZ ALVAREZ</t>
  </si>
  <si>
    <t>GLORIA ISABEL CARRILLO BUITRAGO</t>
  </si>
  <si>
    <t>Diana Marcela Gomez Bernal</t>
  </si>
  <si>
    <t>ANGEL ENRIQUE MARTINEZ RUIZ</t>
  </si>
  <si>
    <t>JUAN SEBASTIAN CARRANZA MONROY</t>
  </si>
  <si>
    <t>MARIA FARIDE PARDO SHAKER</t>
  </si>
  <si>
    <t>BONILLA RODRIGUEZ NATHALY ANDREA</t>
  </si>
  <si>
    <t xml:space="preserve"> Prestar servicios profesionales al Instituto Distrital de Patrimonio Cultural en las actividades relacionadas con el seguimiento y control de los planes, metas e indicadores de la Subdirección de Gestión Corporativa.</t>
  </si>
  <si>
    <t>MARY ELIZABETH ROJAS MUÑOZ</t>
  </si>
  <si>
    <t>DEBORATH LUCIA GASCON OLARTE</t>
  </si>
  <si>
    <t>JAIBER ALFONSO SARMIENTO RUIZ</t>
  </si>
  <si>
    <t>MARIA ISABEL VANEGAS SILVA</t>
  </si>
  <si>
    <t>EDGAR ANDRES MONCADA RUBIO</t>
  </si>
  <si>
    <t>ANGELICA ESPERANZA ACUÑA HERNANDEZ</t>
  </si>
  <si>
    <t>CARLOS HERNANDO SANDOVAL MORA</t>
  </si>
  <si>
    <t>CHARLY ALEXANDER ROCIASCO MENDEZ</t>
  </si>
  <si>
    <t>CRISTIAN STEPH VELASQUEZ ALEJO</t>
  </si>
  <si>
    <t>LUZ MARINA ZAPATA FLOREZ</t>
  </si>
  <si>
    <t>MILLER ALEJANDRO CASTRO PEREZ</t>
  </si>
  <si>
    <t>NANCY  ZAMORA</t>
  </si>
  <si>
    <t>OMAR ALEXANDER PATIÑO PINEDA</t>
  </si>
  <si>
    <t>Oscar Fabian Uyaban Dueñas</t>
  </si>
  <si>
    <t>ADRIANA  BERNAO GUTIERREZ</t>
  </si>
  <si>
    <t>YURY ALEJANDRA QUINTERO CASTAÑO</t>
  </si>
  <si>
    <t>JHON  GUAQUE</t>
  </si>
  <si>
    <t>ANDRES  CARDENAS VILLAMIL</t>
  </si>
  <si>
    <t>YULY ALEJANDRA MORALES TREJOS</t>
  </si>
  <si>
    <t>camilo andres moreno malagon</t>
  </si>
  <si>
    <t>MARIA CRISTINA SALINAS RUIZ</t>
  </si>
  <si>
    <t>MONICA  PALACIOS OVIEDO</t>
  </si>
  <si>
    <t>DANILO  SANCHEZ SUARIQUE</t>
  </si>
  <si>
    <t>DAVID ALEXANDER WILCHES FLOREZ</t>
  </si>
  <si>
    <t>DANIEL YIDID GRANADOS GELVES</t>
  </si>
  <si>
    <t>JUAN ANDRES POVEDA RIAÑO</t>
  </si>
  <si>
    <t>edwin alexander leon gonzalez</t>
  </si>
  <si>
    <t>EDWIN ARTURO RUIZ MORENO</t>
  </si>
  <si>
    <t>VICTORIA ANDREA MUÑOZ ORDOÑEZ</t>
  </si>
  <si>
    <t>HELBERT MAURICIO GUZMAN MATIAS</t>
  </si>
  <si>
    <t>HELBER AURELIO SILVA LEGUIZAMON</t>
  </si>
  <si>
    <t>IRMA  CASTAÑEDA RAMIREZ</t>
  </si>
  <si>
    <t>JEIMMY SOLEY QUIROGA RAMIREZ</t>
  </si>
  <si>
    <t>JOSE ANTONIO RAMIREZ OROZCO</t>
  </si>
  <si>
    <t>JUAN CARLOS ALVARADO PEÑA</t>
  </si>
  <si>
    <t>KRISTHIAM ANDRES CARRIZOSA TRUJILLO</t>
  </si>
  <si>
    <t>LAURA FLAVIE ZIMMERMANN</t>
  </si>
  <si>
    <t>MAGALLY SUSANA MOREA PEÑA</t>
  </si>
  <si>
    <t>DIANA MARCELA RAMIREZ CASTILLO</t>
  </si>
  <si>
    <t>MARIELA  CAJAMARCA DIAZ</t>
  </si>
  <si>
    <t>NATALIA  TORRES GARZON</t>
  </si>
  <si>
    <t>NUBIA STELLA LIZARAZO SIERRA</t>
  </si>
  <si>
    <t>OLGA LUCIA VERGARA ARENAS</t>
  </si>
  <si>
    <t>ORLANDO  ARIAS CAICEDO</t>
  </si>
  <si>
    <t>LINA MARIA MORENO MALAGON</t>
  </si>
  <si>
    <t>RONALD  MORERA ESTEVEZ</t>
  </si>
  <si>
    <t>SANDRA PATRICIA PALACIOS ARCE</t>
  </si>
  <si>
    <t>VICTOR MANUEL ALFONSO MEDINA</t>
  </si>
  <si>
    <t>LEYSI YURANI GIRALDO MEDINA</t>
  </si>
  <si>
    <t>ALBERTO ANDRES GOMEZ MOSQUERA</t>
  </si>
  <si>
    <t>RAMON EDUARDO VILLAMIZAR MALDONADO</t>
  </si>
  <si>
    <t>ANGELA MARIA CASTRO CEPEDA</t>
  </si>
  <si>
    <t>GINNA MICHELL SUAREZ ALARCON</t>
  </si>
  <si>
    <t>EDNA CAMILA DEL CONSUELO ACERO TINOCO</t>
  </si>
  <si>
    <t>CATALINA MARGARITA MO NAGY PATIÑO</t>
  </si>
  <si>
    <t>HERNAN DAVID ALDANA CARRASCO</t>
  </si>
  <si>
    <t>VALENTIN ALEJANDRO URBINA PALMERA</t>
  </si>
  <si>
    <t>LAURA CRISTINA BALCAZAR DIAZ</t>
  </si>
  <si>
    <t>MARIA DEL PILAR ZAMBRANO GOMEZ</t>
  </si>
  <si>
    <t>YOLANDA  OVIEDO ROJAS</t>
  </si>
  <si>
    <t>MARIA CLAUDIA CARRIZOSA RICAURTE</t>
  </si>
  <si>
    <t>ALICIA VICTORIA BELLO DURAN</t>
  </si>
  <si>
    <t>CLAUDIA PATRICIA SILVA YEPES</t>
  </si>
  <si>
    <t>DAVID HUMBERTO DELGADO RODRIGUEZ</t>
  </si>
  <si>
    <t>ANDRES FELIPE VILLAMIL VILLAMIL</t>
  </si>
  <si>
    <t>JULIAN  VALENCIA SANTOYO</t>
  </si>
  <si>
    <t>DAVID ERNESTO ARIAS SILVA</t>
  </si>
  <si>
    <t>ALEXANDER  VALLEJO</t>
  </si>
  <si>
    <t>ROMY ERVIN GANOA</t>
  </si>
  <si>
    <t>JHOAN SEBASTIAN SANCHEZ</t>
  </si>
  <si>
    <t>SIMON ANDRES ROJAS GUTIERREZ</t>
  </si>
  <si>
    <t>DIANA CAROLINA SHOOL MONTOYA</t>
  </si>
  <si>
    <t>MILDRED TATIANA MORENO CASTRO</t>
  </si>
  <si>
    <t>DIANA PAOLA BEDOYA GARCIA</t>
  </si>
  <si>
    <t>KATHERINE AURORA MEJIA LEAL</t>
  </si>
  <si>
    <t>DIEGO  MARTIN ACERO</t>
  </si>
  <si>
    <t>MARITZA  FORERO HERNANDEZ</t>
  </si>
  <si>
    <t>Oficio-16493</t>
  </si>
  <si>
    <t>ANA MARIA CADENA TOBON</t>
  </si>
  <si>
    <t>ARL</t>
  </si>
  <si>
    <t>CDP EXPEDIDOS</t>
  </si>
  <si>
    <t>GIROS</t>
  </si>
  <si>
    <t>JUAN CAMILO GONZALEZ MEDINA</t>
  </si>
  <si>
    <t>GERMAN DARIO ROMERO SUAREZ</t>
  </si>
  <si>
    <t>PAULA JIMENA MATIZ LOPEZ</t>
  </si>
  <si>
    <t>Adición y prorroga del contrato 304  de 2018 cuyo objeto es: Contratar la prestación del servicio integral de aseo, cafetería y fumigación, incluidos los insumos, para las sedes del Instituto Distrital de Patrimonio Cultural.</t>
  </si>
  <si>
    <t>304-2018</t>
  </si>
  <si>
    <t>Prestar servicios profesionales al Instituto Distrital de Patrimonio Cultural para hacer seguimiento y monitoreo a las labores de supervisión en la gestión contractual a cargo de las subdirecciones de la entidad producto de procesos de licitación pública, selección abreviada o concurso de méritos, así como el seguimiento a la gestión institucional dirigida a la implementación del Sistema  de Gestión.</t>
  </si>
  <si>
    <t>Prestar servicios profesionales especializados a la Dirección General del Instituto Distrital de Patrimonio Cultural para acompañar las acciones estratégicas de mejoramiento continuo y seguimiento institucional de la entidad.</t>
  </si>
  <si>
    <t>Prestar servicios profesionales especializados a la Dirección General del Instituto Distrital de Patrimonio Cultural para acompañar las acciones de seguimiento y las respuestas a las solicitudes de información estratégica hechas a la entidad.</t>
  </si>
  <si>
    <t>Personal de Apoyo transversal</t>
  </si>
  <si>
    <t>Adición al contrato 159 de 2019 cuyo objeto es: (Cód. 7) Prestar servicios profesionales al Instituto Distrital de Patrimonio Cultural para orientar los procesos de formación en patrimonio cultural, en el marco del proyecto de inversión 1024 - Formación en patrimonio cultural.</t>
  </si>
  <si>
    <t xml:space="preserve">Prestar servicios profesionales al Instituto Distrital de Patrimonio Cultural para llevar a cabo revisiones ortotipográficas y gramaticales de los textos de las exposiciones del Museo de Bogotá. </t>
  </si>
  <si>
    <t xml:space="preserve">Prestar servicios profesionales al Instituto Distrital de Patrimonio Cultural para realizar la traducción del español al inglés de textos requeridos para las exposiciones  del Museo de Bogotá. </t>
  </si>
  <si>
    <t>Adquisiciòn de equipos audiovisuales y accesorios para el guión de la colección permanente del Museo de Bogotá.</t>
  </si>
  <si>
    <t xml:space="preserve">Compraventa de objetos de carácter histórico y científico para el Museo de Bogotá del Instituto Disttrital de patrimonio cultural </t>
  </si>
  <si>
    <t>Prestar servicios profesionales al Instituto Distrital de Patrimonio Cultural para llevar a cabo el alistamiento en procesos de conservaciòn a las piezas seleccionadas para la exposiciòn permanente del Museo de Bogotá.</t>
  </si>
  <si>
    <t>Prestar servicios profesionales  al Instituto Distrital de Patrimonio Cultural en actividades técnicas y de seguimiento en los procesos de ejecución y terminación de proyectos de obra, interventoría o convenios ejecutados por el Instituto.</t>
  </si>
  <si>
    <t>Prestar servicios profesionales al IDPC, para realizar actividades relacionadas con el componente urbano y de espacio
público de los planes, programas y  proyectos, de conformidad  con las competencias del IDPC.</t>
  </si>
  <si>
    <t>Prestar servicios profesionales a la gestión al Instituto Distrital de Patrimonio Cultural en el desarrollo de actividades administrativas relativas a las intervenciones adelantadas sobre bienes muebles en espacio público de Bogotá D.C.</t>
  </si>
  <si>
    <t>Prestar servicios profesionales  al Instituto Distrital de Patrimonio Cultural en el desarrollo de actividades administrativas relativas a las actividades de asesoría técnica a terceros, revisión, evaluación, verificación y análisis de las solicitudes de intervención de los Bienes de Interés Cultural (BIC) del Distrito Capital.</t>
  </si>
  <si>
    <t>Adición y prórroga al contrato 295 de 2018, cuyo objeto es: Contratar la renovación y ampliación del almacenamiento de la solución de respaldo de información para el Instituto Distrital de Patrimonio Cultural.</t>
  </si>
  <si>
    <t>MAURICIO  CORTES GARZON</t>
  </si>
  <si>
    <t>SHARON NATHALY BALLESTEROS SUAREZ</t>
  </si>
  <si>
    <t>Prestar servicios profesionales al Instituto Distrital de Patrimonio Cultural, en la elaboración de insumos técnicos para los proyectos del Instituto.</t>
  </si>
  <si>
    <t>295/2018</t>
  </si>
  <si>
    <t>Meta 2</t>
  </si>
  <si>
    <t>Meta 3</t>
  </si>
  <si>
    <t>PAGO PASIVOS</t>
  </si>
  <si>
    <t>203B</t>
  </si>
  <si>
    <t>DANIEL FELIPE GUTIERREZ VARGAS</t>
  </si>
  <si>
    <t>NUBIA MARCELA RINCON BUENHOMBRE</t>
  </si>
  <si>
    <t>DIEGO ARMANDO ORTIZ PEREZ</t>
  </si>
  <si>
    <t>LUIS ALEJANDRO FORERO RODRIGUEZ</t>
  </si>
  <si>
    <t>WILLINGTON YESID DELGADO MALDONADO</t>
  </si>
  <si>
    <t>DANIEL ALEJANDRO URUEÑA ROBAYO</t>
  </si>
  <si>
    <t>SHERIL NATALIA SALAZAR BAYONA</t>
  </si>
  <si>
    <t>OSCAR DANIEL CLAVIJO TAVERA</t>
  </si>
  <si>
    <t>ERNESTO  MOURE ERAZO</t>
  </si>
  <si>
    <t>SANDRA CAROLINA NORIEGA AGUILAR</t>
  </si>
  <si>
    <t>IDELBER  SANCHEZ</t>
  </si>
  <si>
    <t>AUDIDATA COLOMBIA SAS</t>
  </si>
  <si>
    <t>ANA MILENA PRADA URIBE</t>
  </si>
  <si>
    <t>EASYCLEAN G&amp;E SAS   .</t>
  </si>
  <si>
    <t>JUAN DAVID QUINTERO PARRA</t>
  </si>
  <si>
    <t>ANGIE MILENA ESPINEL MENESES</t>
  </si>
  <si>
    <t>Apoyar a la Fundación Erigaie para la realización de actividades orientadas al reconocimiento, visibilización, apropiación, protección y salvaguardia  del patrimonio cultural material e inmaterial en la ciudad de Bogotá, a través de la ejecución del proyecto: "HISTORIAS FRAGMENTADAS", de conformidad con el proyecto presentado y concertado en el Programa Distrital de Apoyos Concertados, en el marco del Plan de Desarrollo "Bogotá mejor para todos"</t>
  </si>
  <si>
    <t>Apoyar a Fotomuseo Museo Nacional de la Fotografía de Colombia para la realización de actividades orientadas al reconocimiento, visibilización, apropiación, protección y salvaguardia  del patrimonio cultural material e inmaterial en la ciudad de Bogotá, a través de la ejecución del proyecto: "FOTOGRÁFICA BOGOTÁ 2019 - VIII ENCUENTRO INTERNACIONAL DE FOTOGRAFÍA", de conformidad con el proyecto presentado y concertado en el Programa Distrital de Apoyos Concertados – Proyectos Metropolitanos, en el marco del Plan de Desarrollo “Bogotá mejor para todos”.</t>
  </si>
  <si>
    <t>RAFAEL ERNESTO MENDEZ CARDENAS</t>
  </si>
  <si>
    <t>FLOREZ &amp; ALVAREZ S A S</t>
  </si>
  <si>
    <t>YULI ANDREA MAHECHA REINA</t>
  </si>
  <si>
    <t>FERNANDO AUGUSTO VERGARA GARCIA</t>
  </si>
  <si>
    <t>JUAN FELIPE PINILLA &amp; ASOCIADOS DERECHO-URBANO SAS</t>
  </si>
  <si>
    <t>JOSE LEONARDO PEDRAZA GOMEZ</t>
  </si>
  <si>
    <t>YEIMI PAOLA PEDROZA MOCETON</t>
  </si>
  <si>
    <t>ANTONIO JOSE FUERTES CHAPARRO</t>
  </si>
  <si>
    <t>MARIA CAROLINA LEIVA FIERRO</t>
  </si>
  <si>
    <t>EDMAR ENRIQUE TORRES RECALDE</t>
  </si>
  <si>
    <t>MARIA CAMILA SANCHEZ SAMPER</t>
  </si>
  <si>
    <t>RITA ADRIANA LOPEZ MONCAYO</t>
  </si>
  <si>
    <t>Prestar servicios profesionales al Instituto Distrital de Patrimonio Cultural para la coordinación del proyecto Museo de la ciudada Autoconstruida en el desarrollo de las fases de planeación, producción y ejecución.</t>
  </si>
  <si>
    <t>PANAMERICANA LIBRERIA Y PAPELERIA S A</t>
  </si>
  <si>
    <t>DIANA MARIA BERNAL FALLA</t>
  </si>
  <si>
    <t>ANA MARCELA CASTRO GONZALEZ</t>
  </si>
  <si>
    <t>MAGDA FABIOLA ROJAS RAMIREZ</t>
  </si>
  <si>
    <t>DANIELA  MARTÍNEZ ORTÍZ</t>
  </si>
  <si>
    <t>MILTON OSWALDO RUIZ MICAN</t>
  </si>
  <si>
    <t>YANESSA  LILCHYN</t>
  </si>
  <si>
    <t>Diseño, fabricación e instalación de una estructura protectora removible para el Tranvía de Mulas, pieza museográfica central de la sala – Sobre rieles: el Tranvía en Bogotá-, del Museo de Bogotá.</t>
  </si>
  <si>
    <t>Saldo fuente de financiación recursos administrados de destinación específica.</t>
  </si>
  <si>
    <t>COLOMBIANA DE COMERCIO SA</t>
  </si>
  <si>
    <t>VALERIA  FLOREZ GONZALEZ</t>
  </si>
  <si>
    <t>HERACLITO  LANDINEZ SUAREZ</t>
  </si>
  <si>
    <t>FREDY ANDRES USAQUEN AGUIRRE</t>
  </si>
  <si>
    <t>ALEXANDER  MORALES AGUIRRE</t>
  </si>
  <si>
    <t>CLEMENCIA  IBAÑEZ DE CANO</t>
  </si>
  <si>
    <t>SOCIEDAD HOTELERA TEQUENDAMA S A</t>
  </si>
  <si>
    <t>TECHNOLOGY WORLD GROUP SAS</t>
  </si>
  <si>
    <t>PAOLA ANDREA RANGEL MARTINEZ</t>
  </si>
  <si>
    <t>CESAR EDUARDO PORRAS POSADA</t>
  </si>
  <si>
    <t>MARIA JIMENA LOAIZA REINA</t>
  </si>
  <si>
    <t>Plan de Adecuación del SIG - MIPG</t>
  </si>
  <si>
    <t>Gestionar el 100% del plan de adecuación y sostenibilidad del SIG-MIPG</t>
  </si>
  <si>
    <t>01-03 0020 Mantenimiento y mejoramiento de la infraestructura cultural</t>
  </si>
  <si>
    <t>02-03 0114 Adquisición de Equipos, materiales, suministros</t>
  </si>
  <si>
    <t>05-02 0152 Adquisición de equipos y software para el
mejoramiento de la gestión institucional</t>
  </si>
  <si>
    <t>05-02 0020 Personal contratado para las actividades propias de los procesos de mejoramiento de gestión de la entidad</t>
  </si>
  <si>
    <t>03-01 0066 Fomento, apoyo y divulgación de eventos y expresiones artísticas, culturales y del patrimonio</t>
  </si>
  <si>
    <t>04-01 0187 Actividades de formación en arte, cultura, patrimonio, recreación y deporte</t>
  </si>
  <si>
    <t>04-01 0185 Actividades de investigación para la valoración, protección, conservación, sostenibilidad y apropiación del Patrimonio Cultural</t>
  </si>
  <si>
    <t>01-01 0525 Recuperación y aprovechamiento de bienes de interes cultural</t>
  </si>
  <si>
    <t>01-03 0103 Administración, mantenimiento y mejoramiento de los bienes muebles e inmuebles ubicados en el espacio público del Distrito Capital</t>
  </si>
  <si>
    <t>03-04 0316 Personal de apoyo para las actividades de valoración, protección y conservación del Patrimonio Cultural</t>
  </si>
  <si>
    <t>BIC intervenidos (Plazade Mercado La Concordia)</t>
  </si>
  <si>
    <t>BIC intervenidos (Valor dirigido para reconocer la afiliación de riesgos laborales Nivel 5)</t>
  </si>
  <si>
    <t>03 - Recursos Administrados 147-Otros Recursos del balance de destinación específica</t>
  </si>
  <si>
    <t>BIC intervenidos (Plazade Mercado La Concordia)Adición Convenio Fase 2</t>
  </si>
  <si>
    <t>03-20</t>
  </si>
  <si>
    <t>Prestar servicios profesionales al Instituto Distrital de Patrimonio Cultural para acompañar el componente histórico y museológico de los procesos curatoriales desarrollados por el Museo de Bogotá.</t>
  </si>
  <si>
    <t>Prestar servicios profesionales al IDPC para orientar el desarrollo de los procesos curatoriales y de investigación requeridos en el marco de las exposiciones temporales del Museo de Bogotá</t>
  </si>
  <si>
    <t>Prestar servicios profesionales al IDPC para apoyar el desarrollo del plan de exposiciones temporales del Museo de Bogotá y los requerimientos asociados a los planes y proyectos especiales de la entidad</t>
  </si>
  <si>
    <t>Prestar servicios profesionales al Instituto Distrital de Patrimonio Cultural para la realización del diseño museográfico de los proyectos adelantados por el Museo de Bogotá.</t>
  </si>
  <si>
    <t xml:space="preserve">Prestar servicios profesionales al Instituto Distrital de Patrimonio Cultural en la realización de tareas de diseño gráfico del Museo de Bogotá.
</t>
  </si>
  <si>
    <t>Prestar servicios profesionales al Instituto Distrital de Patrimonio Cultural en la realización de tareas de diseño gráfico del Museo de Bogotá.</t>
  </si>
  <si>
    <t>Prestar servicios profesionales al Instituto Distrital de Patrimonio Cultural para orientar los procesos de gestión de la colección del Museo de Bogotá.</t>
  </si>
  <si>
    <t>Prestar servicios profesionales al Instituto Distrital de Patrimonio Cultural para orientar la planeación e implementación de la oferta de servicios educativos y culturales del Museo de Bogotá</t>
  </si>
  <si>
    <t>Prestar servicios profesionales al Instituto Distrital de Patrimonio Cultural para acompañar el componente pedagógico y didáctico del portafolio de servicios educativos y culturales del Museo de Bogotá</t>
  </si>
  <si>
    <t xml:space="preserve">Prestar servicios profesionales al IDPC en la realización del diseño, de la programación cultural y apoyar el desarrollo de las actividades del portafolio de servicios educativos y culturales del Museo de Bogotá.  </t>
  </si>
  <si>
    <t>Prestar servicios profesionales al IDPC en la ejecución de los procesos de mediación y generación de contenidos pedagógicos del portafolio de servicios educativos y culturales del Museo de Bogotá.</t>
  </si>
  <si>
    <t>Prestar servicios de apoyo a la gestión del IDPC en la planificación, y ejecución y registro  de resultados del portafolio de servicios educativos y culturales del Museo de Bogotá.</t>
  </si>
  <si>
    <t>Prestar servicios de apoyo a la gestión del IDPC en los trámites administrativos y operativos generados en la operación del Museo de Bogotá</t>
  </si>
  <si>
    <t>Reduccción de presupuesto seún Circular 001 de 2019 de la Secretaría Distrital de Hacienda</t>
  </si>
  <si>
    <t>Prestar servicios profesionales al Instituto Distrital de Patrimonio Cultural para elaborar planimetría, modelados, renders y demás información gráfica en la formulación de proyectos del Plan Especial de Manejo y Protección -PEMP- del Centro Histórico de Bogotá D.C.</t>
  </si>
  <si>
    <t>BIC intervenidos (Concejo e Bogotá)</t>
  </si>
  <si>
    <t xml:space="preserve">Programa Fachadas 
</t>
  </si>
  <si>
    <t>BIC intervenidos (Sede Principal o Casa Genoveva)</t>
  </si>
  <si>
    <t>Ejecutar bajo la modalidad de precios unitarios fijos las obras de adecuación del acceso principal del edificio del Concejo de Bogotá ubicado en la calle 36 no, 28a-41 de bogotá d.c., en el marco del Convenio 170316 de 2017 suscrito entre la SHD y el IDPC.</t>
  </si>
  <si>
    <t>Realizar la interventoría integral de la obra que tiene por objeto: “Ejecutar bajo la modalidad de precios unitarios fijos las obras de adecuación del acceso principal del edificio del Concejo de Bogotá ubicado en la Calle 36 No. 28A-41 de Bogotá D. C., en el marco del Convenio No. 170316 de 2017 suscrito entre la SDH y el IDPC.”</t>
  </si>
  <si>
    <t>Prestar servicios profesionales al Instituto Distrital de Patrimonio Cultural para apoyar la supervisión y seguimiento a los procesos y acciones del Convenio No. 170316 de 2017 suscrito entre la SDH y el IDPC, así como los contratos derivados del mismo.</t>
  </si>
  <si>
    <t>Ejecución de la tercera etapa de las obras complementarias para el funcionamiento de la Plaza de Mercado Distrital La Concordia y la conexión vertical con la Galería De Arte Santa Fe, ubicadas en la carrera 1a # 14 - 42 (antigua) / calle 12c # 1 - 40 (nueva), en la ciudad de Bogotá D.C."</t>
  </si>
  <si>
    <t>Adición y prórroga al Contrato de Obra No. 411 de 2017, que tiene por objeto: "Ejecución de la segunda etapa de las obras correspondientes a la intervención de la Plaza de Mercado Distrital La Concordia y la ampliación y adecuación de la sede de la nueva Galería Santa Fe, bajo la modalidad de precios unitarios fijos sin fórmula de ajuste, ubicadas en la carrera 1a # 14 - 42 (antigua) / calle 12c # 1 - 40 (nueva), en la ciudad de Bogotá D.C."</t>
  </si>
  <si>
    <t xml:space="preserve"> Adición y prórroga al Contrato de Interventoría No. 416 de 2017, que tiene por objeto: "Realizar la interventoría técnica, administrativa y financiera de la obra cuyo objeto es: Ejecución de la segunda etapa de las obras correspondientes a la intervención de la Plaza de Mercado Distrital La Concordia y la ampliación y adecuación de la sede de la nueva Galería Santa Fe, bajo la modalidad de precios unitarios fijos sin fórmula de ajuste, ubicadas en la carrera 1a # 14 - 42 (antigua) / calle 12c # 1 - 40 (nueva), en la ciudad de Bogotá D.C."</t>
  </si>
  <si>
    <t>BIC intervenidos (Casa Cadel)</t>
  </si>
  <si>
    <t>BIC  intervenidos (Casa Colorada)</t>
  </si>
  <si>
    <t>BIC  intervenidos (Plaza Santamaría)</t>
  </si>
  <si>
    <t xml:space="preserve">BIC  intervenidos </t>
  </si>
  <si>
    <t>BIC intervenidos (Plaza Santamaría)</t>
  </si>
  <si>
    <t>BIC intervenidos (Casa Colorada)</t>
  </si>
  <si>
    <t>BIC intervenidos (Galerías Líevano)</t>
  </si>
  <si>
    <t xml:space="preserve">Prestar servicios profesionales al Instituto Distrital de Patrimonio Cultural para adelantar acciones de implementación de la fase de arqueología pública del Plan de Manejo Arqueológico del Centro Histórico, orientadas a la construcción de un instrumento de fácil consulta para la ciudadanía y entidades involucradas con el patrimonio arqueológico y cultural.  </t>
  </si>
  <si>
    <t>Programa Fachadas 
(Intervención y mantenimiento de las Fachadas de las Iglesias San Francisco y Candelaria )</t>
  </si>
  <si>
    <t xml:space="preserve">(Intervención y mantenimiento de las Fachadas de las Iglesias San Francisco y Candelaria ) Programa Fachadas </t>
  </si>
  <si>
    <t>Contratar la realización de pruebas y procesos de laboratorio requeridos, así como la entrega de análisis y resultados para el concepto de intervención de la fachada de la iglesia de San Francisco, ubicada en la Av. Jimenez de Quesada #7-10, de la ciudad de Bogotá d.c</t>
  </si>
  <si>
    <t>Realizar la interventoría técnica, administrativa y financiera de la obra cuyo objeto es: Ejecutar bajo la modalidad de precios unitarios fijos las obras de intervención, conservación y restauración de las fachada de las iglesias San Francisco y Candelaria declaradas bienes de interés cultural, localizadas en la ciudad de Bogotá D.C</t>
  </si>
  <si>
    <t xml:space="preserve">
Programa Fachadas 
</t>
  </si>
  <si>
    <t xml:space="preserve">Contratar el alquiler de equipos para trabajos en alturas para la ejecución de las intervenciones técnicas de enlucimiento, limpieza y mantenimiento de los bienes inmuebles y muebles ubicados en el espacio público, declarados bienes de interés cultural. </t>
  </si>
  <si>
    <t>Prestar servicios profesionales al Instituto Distrital de Patrimonio Cultural para la ejecución de las actividades relacionadas con el Sistema Integrado de Conservación, en concordancia con la normatividad vigente.</t>
  </si>
  <si>
    <t>Adición al contrato 140 cuyo objeto es: Prestar servicios profesionales al Instituto Distrital de Patrimonio Cultural para apoyar a la Asesoría Jurídica o quien haga sus veces, en los procesos de selección sin límite de cuantía, en las etapas precontractual, contractual y post-contractual.</t>
  </si>
  <si>
    <t>118b</t>
  </si>
  <si>
    <t>152b</t>
  </si>
  <si>
    <t>Prestar servicios profesionales al Instituto Distrital de Patrimonio Cultural para apoyar las actividades de divulgación, participación ciudadana y control social en el Instituto Distrital de Patrimonio Cultural</t>
  </si>
  <si>
    <t>Prestar servicios profesionales  como abogado en asuntos contractuales  y demas temas jurídicos que desarrolle la Subdireccion de Protección e Intervención del patrimonio  del IDPC</t>
  </si>
  <si>
    <t>Redución de recursos</t>
  </si>
  <si>
    <t>Realizar las obras de intervención de conservación y restauración del conjunto escultórico del Monumento a las Banderas del escultor Alonso Neira Martínez</t>
  </si>
  <si>
    <t>Realizar la interventoría integral de la obra cuyo objeto es: "Realizar las obras de intervención de conservación y restauración del conjunto escultórico del Monumento a las Banderas del escultor Alonso Neira Martínez"</t>
  </si>
  <si>
    <t>Ejecutar bajo la modalidad de precios unitarios fijos sin fórmula de reajuste las obras de reparaciones locativas para el monumento a los héroes, en la ciudad de Bogotá D.C..</t>
  </si>
  <si>
    <t>Contratar el alquiler de equipos para trabajos en alturas, para la ejecución de las intervenciones técnicas de enlucimiento, limpieza y mantenimiento de los bienes inmuebles y muebles ubicados en el espacio público, declarados Bienes de Interés Cultural.</t>
  </si>
  <si>
    <t>Prestar servicios profesionales para apoyar al Instituto Distrital de Patrimonio Cultural en actividades técnicas y de seguimiento en los procesos de ejecución y terminación de proyectos de obra, interventoría o convenios ejecutados por el Instituto..</t>
  </si>
  <si>
    <t>Prestar servicios profesionales especializados al Instituto Distrital de Patrimonio Cultural en la planeación estratégica y desarrollo de las acciones de intervención y protección del patrimonio cultural del Distrito Capital.</t>
  </si>
  <si>
    <t>Adquisición de bienes muebles para dotar la sala Gonzalo Jiménez de Quesada del Museo de Bogotá del Instituto Distrital de Patrimonio Cultural.</t>
  </si>
  <si>
    <t>Prestar servicios profesionales al Instituto Distrital de Patrimonio Cultural para la gestión y desarrollo de procesos de divulgación y posicionamiento de los proyectos del Museo de Bogotá</t>
  </si>
  <si>
    <t>Prestar servicios profesionales al Instituto Distrital de Patrimonio Cultural, para apoyar la ejecución del Plan del Sistema Integrado de Gestión, SIG.</t>
  </si>
  <si>
    <t>Prestar servicios profesionales al Instituto Distrital de Patrimonio Cultural, para apoyar la ejecución del Plan de adecuación y sostenibilidad del SIG-MIPG.</t>
  </si>
  <si>
    <t>Adición y Prórroga al Contrato No. 60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ANDREA YIZETH CESPEDES VILLAR</t>
  </si>
  <si>
    <t>ANDREA YIZETH CESPEDES VILLAR</t>
  </si>
  <si>
    <t>Adición y Prórroga al Contrato No. 55 de 2019, cuyo objeto es: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YENIFER ANDREA LAGOS BUENO</t>
  </si>
  <si>
    <t>Adición y Prórroga al Contrato No. 61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EFRAIN JOSE CANEDO CASTRO</t>
  </si>
  <si>
    <t>EFRAIN JOSE CANEDO CASTRO</t>
  </si>
  <si>
    <t>Adición y Prórroga al Contrato No. 52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JAVIER FERNANDO MATEUS TOVAR</t>
  </si>
  <si>
    <t>LAURA ANGELICA MORENO LEMUS</t>
  </si>
  <si>
    <t xml:space="preserve">Adición y Prórroga al Contrato No. 49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LAURA ANGELICA MORENO LEMUS  </t>
  </si>
  <si>
    <t>ANA MARIA NOGUERA DIAZ</t>
  </si>
  <si>
    <t>SANTIAGO ULISES JARA RAMIREZ</t>
  </si>
  <si>
    <t>FOTOMUSEO MUSEO NACIONAL DE LA FOTOGRAFIA DE COLOMBIA</t>
  </si>
  <si>
    <t>FUNDACION MUSEO CIENCIAS DE LA SALUD</t>
  </si>
  <si>
    <t>yenifer andrea lagos bueno</t>
  </si>
  <si>
    <t>JAVIER FERNANDO MATEUS TOVAR</t>
  </si>
  <si>
    <t>MARTHA LILIANA PATIÑO BOSIGA</t>
  </si>
  <si>
    <t>JULIAN EDUARDO ARANA ROJAS</t>
  </si>
  <si>
    <t>MONICA  COY DE MARQUEZ</t>
  </si>
  <si>
    <t>NATALIA  ACHIARDI ORTIZ</t>
  </si>
  <si>
    <t>SERGIO IVAN ROJAS BERRIO</t>
  </si>
  <si>
    <t xml:space="preserve"> Prestar servicios profesionales como arquitecto al Instituto Distrital de Patrimonio Cultural, en temas relacionados con estructuración y ejecución de obras en proyectos de conservación y restauración en Bienes de Interés Cultural del D.C.</t>
  </si>
  <si>
    <t>DIANA MARCELA GARCIA SIERRA</t>
  </si>
  <si>
    <t>SANDRA ESTER MENDOZA LAFAURIE</t>
  </si>
  <si>
    <t>felipe  ochoa gomez</t>
  </si>
  <si>
    <t>WILMAR DUVAN TOVAR LEYVA</t>
  </si>
  <si>
    <t>SOL MILENA GUERRA ZAPATA</t>
  </si>
  <si>
    <t>02-03 0114</t>
  </si>
  <si>
    <t>05-02 0152</t>
  </si>
  <si>
    <t>03-21</t>
  </si>
  <si>
    <t>03-Recursos Administrados 374-Rendimientos Financieros Destinación Específica</t>
  </si>
  <si>
    <t>03-01 0066</t>
  </si>
  <si>
    <t>03-04 0187</t>
  </si>
  <si>
    <t>(Cód. 462) Realizar la interventoría integral  de la obra cuyo objeto es: Ejecución de la tercera etapa de las obras complementarias para el funcionamiento de la Plaza de Mercado Distrital La Concordia y la conexión vertical con la Galería de Arte Santa Fe, ubicadas en la carrera 1a # 14 - 42 (antigua) / calle 12c # 1 - 40 (nueva), en la ciudad de Bogotá D.C."</t>
  </si>
  <si>
    <t>317-2018</t>
  </si>
  <si>
    <t>Adiciòn al Contrato Nº317-2018: Contratar el servicio de transporte terrestre de carga con conductor y combustible, para transportar insumos, materiales, herramientas y equipos que requiera el Instituto Distrital de Patrimonio Cultural dentro del perímetro urbano de la ciudad de Bogotá D.C.</t>
  </si>
  <si>
    <t>Adiciòn al Contrato Nº 212-2019: Còd.298 Prestar servicios profesionales al Instituto Distrital de Patrimonio Cultural en el acompañamiento técnico y verificación de los proyectos de manejo y protección del patrimonio cultural, y solicitudes de inclusiones, exclusiones y cambios de categoria de BIC del Distrito Capital.</t>
  </si>
  <si>
    <t>Prestar servicios profesionales al Instituto Distrital de Patrimonio Cultural apoyando los tramites administrativos y conceptos técnicos utilizando normas aplicables para intervenciones sobre los inmuebles de interés cultural del Distrito Capital.</t>
  </si>
  <si>
    <t>455-470</t>
  </si>
  <si>
    <t>436-471</t>
  </si>
  <si>
    <t>CONSTRUCCIONES RETO SAS</t>
  </si>
  <si>
    <t>SOL MIYERY GAITAN MARTINEZ</t>
  </si>
  <si>
    <t>GINA CATHERINE LEON CABRERA</t>
  </si>
  <si>
    <t>MEGASEGURIDAD LA PROVEEDORA LTDA</t>
  </si>
  <si>
    <t>Prestar servicios profesionales al Instituto Distrital de Patrimonio Cultural para el desarrollo del alcance normativo del Plan Especial de Manejo y Protección -PEMP- del Centro Histórico de Bogotá D.C., y otros proyectos.</t>
  </si>
  <si>
    <t>Prestar servicios profesionales al Instituto Distrital de Patrimonio Cultural para apoyar la formulación, aplicación y puesta en marcha de instrumentos de financiación para la sostenibilidad de los Bienes de Interés Cultural en el Distrito Capital.</t>
  </si>
  <si>
    <t xml:space="preserve">
Adición y Prórroga al Contrato No. 60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ANDREA YIZETH CESPEDES VILLAR</t>
  </si>
  <si>
    <t xml:space="preserve">
Adición y Prórroga al Contrato No. 55 de 2019, cuyo objeto es: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YENIFER ANDREA LAGOS BUENO</t>
  </si>
  <si>
    <t xml:space="preserve">
Adición y Prórroga al Contrato No. 52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JAVIER FERNANDO MATEUS TOVAR</t>
  </si>
  <si>
    <t xml:space="preserve">
Adición y Prórroga al Contrato No. 49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LAURA ANGELICA MORENO LEMUS  </t>
  </si>
  <si>
    <t xml:space="preserve">
Adición y Prórroga al Contrato No. 44 de 2019, cuyo objeto es: Prestar servicios profesionales al Instituto Distrital de Patrimonio Cultural en la revisión, verificación y consolidación de la información fotográfica como insumo para las fichas del inventario- valoración y normativa del patrimonio cultural inmueble del Plan Especial de Manejo y protección –PEMP- del Centro Histórico de Bogotá D.C.
DIEGO MENESES</t>
  </si>
  <si>
    <t xml:space="preserve">
Adición y Prórroga al Contrato No. 42 de 2019, cuyo objeto es: Prestar servicios profesionales al Instituto Distrital de Patrimonio Cultural para el direccionamiento, verificación y consolidación del inventario y valoración del patrimonio cultural inmueble en el marco de la propuesta integral del Patrimonio Inmueble del Plan Especial de Manejo y Protección -PEMP - del Centro Histórico de Bogota D.C.
LEONOR ISBELIA GOMEZ HERNANDEZ</t>
  </si>
  <si>
    <t>Actualización del estudio de suelos y cimentaciones para la Nave Central de la Iglesia del Voto Nacional, localizado en la Carrera 15 No. 10 – 43 de la ciudad de Bogotá.</t>
  </si>
  <si>
    <t xml:space="preserve">Prestar servicios profesionales al Instituto Distrital de Patrimonio Cultural apoyando la ejecucion, difusion y promocion de estrategias, proyectos y programas de intervencion y proteccion del patrimonio. </t>
  </si>
  <si>
    <t>Contratar el servicio de transporte terrestre de carga con conductor y combustible para transportar insumos, materiales, herramientas, equipos y material museográfico que requiera el instituto distrital de patrimonio cultural dentro del perímetro urbano de la ciudad de Bogotá D.C</t>
  </si>
  <si>
    <t>Adición y Prorroga al Contrato 474-2018:"Ejecutar bajo la modalidad de precios unitarios la obra de intervención de la segunda etapa  del inmueble ubicado en la Calle 12 B N° 2-91 denominado Casa Tito".</t>
  </si>
  <si>
    <t>474/2018</t>
  </si>
  <si>
    <t>Adición y Prorroga al Contrato 469-2018 cuyo objeto es: Realizar la interventoría de la obra cuyo objeto es: "'Ejecutar bajo la modalidad de precios unitarios, la obra de intervención de la segunda etapa  del inmueble ubicado en la Calle 12 B N° 2-91 denominado Casa Tito.".</t>
  </si>
  <si>
    <t>469/2018</t>
  </si>
  <si>
    <t>DANILO  SANCHEZ SUARIQUE-Oscar Mario Yusty Trujillo</t>
  </si>
  <si>
    <t>481/2018</t>
  </si>
  <si>
    <t>Adición y Prorroga al contrato N°481-2018, cuyo es: Realizar la interventoría integral del contrato de obra cuyo objeto es: "Realizar las obras de intervención de conservación-restauración de monumentos y/o esculturas en el espacio público en la ciudad de Bogotá D.C."</t>
  </si>
  <si>
    <t>Adición y Prorroga al contrato N°486-2018, cuyo es:Realizar las obras de intervención de conservación-restauración de monumentos y/o esculturas en el espacio público en la ciudad de Bogotá D.C.</t>
  </si>
  <si>
    <t>486/2018</t>
  </si>
  <si>
    <t>JUAN FELIPE ESPINOSA DE LOS MONTEROS</t>
  </si>
  <si>
    <t>INSTITUCIONAL STAR SERVICES LTDA</t>
  </si>
  <si>
    <t>Prestar servicios de apoyo a la gestión al Instituto Distrital de Patrimonio Cultural para el monitoreo de las acciones de intervención adelantadas sobre bienes muebles en espacio público de Bogotá D.C.</t>
  </si>
  <si>
    <t>Prestar servicios profesionales al Instituto Distrital de Patrimonio Cultural realizando el analisis y la evaluación de las solicitudes de intervención para la protección de los bienes inmuebles de interés cultural del Distrito Capital.</t>
  </si>
  <si>
    <t>Prestar servicios profesionales al Instituto Distrital de Patrimonio Cultural en la realización de propuestas museográficas de los proyectos adelantados por el Museo de Bogotá</t>
  </si>
  <si>
    <t xml:space="preserve">Prestar servicios profesionales al Instituto Distrital de Patrimonio Cultural en la ejecución de los procesos de mediación y generación de contenidos pedagógicos del portafolio de servicios educativos.
</t>
  </si>
  <si>
    <t>Prestar servicios profesionales al Instituto Distrital de Patrimonio Cultural para realizar la museografía del proyecto Museo de la ciudad autoconstruida.</t>
  </si>
  <si>
    <t>Prestar servicios profesionales al Instituto Distrital de Patrimonio Cultural en la realización de tareas de diseño gráfico del proyecto Museo de la ciudad autoconstruida</t>
  </si>
  <si>
    <t>Prestar servicios profesionales al Instituto Distrital de Patrimonio Cultural para el desarrollo de la oferta de servcios del área de educación del proyecto Museo de la ciudad autoconstruida.</t>
  </si>
  <si>
    <t>Prestar servicios profesionales al Instituto Distrital de Patrimonio Cultural en la formulación y ejecución de los procesos de mediación y generación de contenidos del proyecto Museo de la ciudad autoconstruida.</t>
  </si>
  <si>
    <t>Prestar servicios profesionales al Instituto Distrital de Patrimonio Cultural para apoyar el proceso curatorial y las actividades relacionadas con la puesta en marcha del proyecto Museo de la ciudad autoconstruida.</t>
  </si>
  <si>
    <t>Prestar servicios profesionales al Instituto Distrital de Patrimonio Cultural para acompañar y revisar la propuesta curatorial y museográfica para el proyecto Museo de la ciudad autoconstruida.</t>
  </si>
  <si>
    <t>Prestar servicios profesionales al Instituto Distrital de Patrimonio Cultural para apoyar la realización de las evidencias audiovisuales requeridas para el montaje del proyecto Museo de la ciudad autoconstruida.</t>
  </si>
  <si>
    <t>Cesión de derechos patrimoniales de fotografías de Germán Tellez requeridas para la colección del Museo de Bogotá del Instituto Distrital de Patrimonio Cultural.</t>
  </si>
  <si>
    <t>Contratar la realización audiovisual de los soportes museográficos  requeridos para el proyecto Museo de la ciudad autoconstruída</t>
  </si>
  <si>
    <t>Contratar el servicio de transporte terrestre de carga con conductor y combustible para transportar insumos, materiales, herramientas, equipos y material museográfico que requiera el instituto distrital de patrimonio cultural dentro del perímetro urbano de la ciudad de Bogotá D.C.</t>
  </si>
  <si>
    <t xml:space="preserve">Apoyar a la Organización de la Comunidad Raizal con Residencia Fuera del Archipiélago de San Andrés, Providencia y Santa Catalina para la realización de actividades orientadas al reconocimiento, visibilización, apropiación, protección y salvaguardia  del patrimonio cultural material e inmaterial de la comunidad Raizal en la ciudad de Bogotá,  en el marco del plan de desarrollo Bogotá mejor para todos.  </t>
  </si>
  <si>
    <t xml:space="preserve">Apoyar a el Proceso Organizativo del Pueblo Rom - Gitano de Colombia para la realización de actividades orientadas al reconocimiento, visibilización, apropiación, protección y salvaguardia del patrimonio cultural material e inmaterial de la comunidad Rrom en la ciudad de Bogotá, en el marco del Plan de Desarrollo "Bogotá mejor para todos".    </t>
  </si>
  <si>
    <t xml:space="preserve">Apoyar a la Organización del Pueblo Gitano de Colombia, Unión Romaní de Colombia para la realización de actividades orientadas al reconocimiento, visibilización, apropiación, protección y salvaguardia  del patrimonio cultural material e inmaterial de la comunidad Rrom en la ciudad de Bogotá, en el marco del Plan de Desarrollo "Bogotá mejor para todos".   </t>
  </si>
  <si>
    <t>Saldo del componente SIG-MIPG</t>
  </si>
  <si>
    <t>HECTOR CAMILO GOMEZ CAMARGO</t>
  </si>
  <si>
    <t>MARCELA  TRISTANCHO MANTILLA</t>
  </si>
  <si>
    <t>JOHANNA MARCELA GALINDO URREGO</t>
  </si>
  <si>
    <t>CARLOS ARTURO ROJAS PEREZ</t>
  </si>
  <si>
    <t>ANA MARIA COLLAZOS SOLANO</t>
  </si>
  <si>
    <t>ASTRID KARINA FAJARDO CARVAJAL</t>
  </si>
  <si>
    <t>LEONOR ISBELIA GOMEZ HERNANDEZ</t>
  </si>
  <si>
    <t>CARLOS ANDRES TORRES MOLINA</t>
  </si>
  <si>
    <t>DIEGO ANDRES MEJIA VILA</t>
  </si>
  <si>
    <t>UT MONUMENTOS 2019</t>
  </si>
  <si>
    <t xml:space="preserve">CONSORCIO INMUEBLE CALLE 12B   </t>
  </si>
  <si>
    <t xml:space="preserve">CONSORCIO LA CANDELARIA 2019   </t>
  </si>
  <si>
    <t>MARIA CAROLINA RUEDA PEREZ-CRISTIAN ANDRES GUTIERREZ PRIETO</t>
  </si>
  <si>
    <t>FUNDACIÓN ERIGAIE</t>
  </si>
  <si>
    <t>DIEGO IVAN MENESES FIGUEROA</t>
  </si>
  <si>
    <t>Adición</t>
  </si>
  <si>
    <t>Reducción</t>
  </si>
  <si>
    <t>Resolución 228</t>
  </si>
  <si>
    <t>DIANA  ROSAS RIAÑO</t>
  </si>
  <si>
    <t>LILIANA  GRACIA HINCAPIE</t>
  </si>
  <si>
    <t>MARIA JOSE ALMARALES DIAZ</t>
  </si>
  <si>
    <t>LINA DEL MAR MORENO TOVAR</t>
  </si>
  <si>
    <t>LUISA ANGELA CARO DIAZ</t>
  </si>
  <si>
    <t>TANIA  CORREA BOHORQUEZ</t>
  </si>
  <si>
    <t>ILONA GRACIELA MURCIA IJJASZ</t>
  </si>
  <si>
    <t>EDWIN GERARDO GUZMAN MOLINA</t>
  </si>
  <si>
    <t>VALOR PRESUPUESTADO PARA LOS JURADOS QUE EVALUARÁN LAS PROPUESTAS DEL PROGRAMA DISTRITAL DE ESTÍMULOS 2018 - BECA PARA LA VISIBILIZACIÓN DE LOS SABERES Y PRÁCTICAS DE MUJERES PORTADORAS DE MANIFESTACIONES DE PATRIMONIO CULTURAL INMATERIAL EN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</si>
  <si>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VALOR PRESUPUESTADO PARA LOS JURADOS QUE EVALUARÁN LAS PROPUESTAS DEL PROGRAMA DISTRITAL DE ESTÍMULOS 2018 - BECA PARA LA VISIBILIZACIÓN Y APROPIACIÓN DEL PATRIMONIO CULTURAL INMATERIAL DE LAS COMUNIDADES NEGRAS, AFRODESCENDIENTES Y PALENQUERAS DE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</si>
  <si>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 xml:space="preserve">VALOR PRESUPUESTADO PARA LOS JURADOS QUE EVALUARÁN LAS PROPUESTAS DEL PROGRAMA DISTRITAL DE ESTÍMULOS 2018 - BECA PARA LA VISIBILIZACIÓN Y APROPIACIÓN DEL PATRIMONIO CULTURAL INMATERIAL DE LAS COMUNIDADES NEGRAS, AFRODESCENDIENTES Y PALENQUERAS DE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   </t>
  </si>
  <si>
    <t>VALOR PRESUPUESTADO PARA LOS JURADOS QUE EVALUARÁN LAS PROPUESTAS DEL PROGRAMA DISTRITAL DE ESTÍMULOS 2018 - BECA  DE INVESTIGACIÓN HISTÓRICA SOBRE UN BARRIO DE BOGOTÁ. SEGÚN RESOLUCIÓN NO 0231 DEL 09 DE ABRIL DE 2019, ¿ POR MEDIO DE LA CUAL SE DESIGNAN LOS JURADOS QUE EVALUARAN LAS PROPUESTAS DE LA CONVOCATORIA: BECA DE INVESTIGACION HISTORICA SOBRE UN BARRIO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</si>
  <si>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2018 - BECA PATRIMONIOS LOCALES - SALVAGUARDIA DEL PATRIMONIO CULTURAL INMATERIAL DE BOGOTÁ. SEGÚN RESOLUCIÓN NO 0230 DEL 09 DE ABRIL DE 2019, ¿ POR MEDIO DE LA CUAL SE DESIGNAN LOS JURADOS QUE EVALUARAN LAS PROPUESTAS DE LA CONVOCATORIA: BECA PATRIMONIOS LOCALES: SALVAGUARDIA DEL PATRIMONIO CULTURAL INMATERIAL DE BOGOTA Y BECA DE INVESTIGACION Y DIVULGACION DE UNA COLECCIÓN DE BIENES MUEBLES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</si>
  <si>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2018 - BECA PARA LA VISIBILIZACIÓN DE LOS SABERES Y PRÁCTIRCAS DE MUJERES PORTADORAS DE MANIFESTACIONES DE PATRIMONIO CULTURAL INMATERIAL EN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</si>
  <si>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JUAN FELIPE PEREZ DIAZ</t>
  </si>
  <si>
    <t>ANA PAULA GOMEZ URIBE</t>
  </si>
  <si>
    <t>VIVIANA ANDREA OLAVE QUINTERO</t>
  </si>
  <si>
    <t>JAIRZINHO FRANCISCO PANQUEBA CIFUENTES</t>
  </si>
  <si>
    <t>VALOR PRESUPUESTADO PARA LOS JURADOS QUE EVALUARÁN LAS PROPUESTAS DEL PROGRAMA DISTRITAL DE ESTÍMULOS 2019 - BECA PARA LA VISIBILIZACIÓN Y APROPIACIÓN DEL PATRIMONIO CULTURAL INMATERIAL DE LAS COMUNIDADES NEGRAS, AFRODESCENDIENTES Y PALENQUERAS DE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</si>
  <si>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PARA LA VISIBILIZACIÓN DE LOS SABERES Y PRÁCTICAS DE MUJERES PORTADORAS DE MANIFESTACIONES DE PATRIMONIO CULTURAL INMATERIAL EN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</si>
  <si>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DE INVESTIGACIÓN HISTÓRICA SOBRE UN BARRIO DE BOGOTÁ. SEGÚN RESOLUCIÓN NO 0231 DEL 09 DE ABRIL DE 2019, ¿ POR MEDIO DE LA CUAL SE DESIGNAN LOS JURADOS QUE EVALUARAN LAS PROPUESTAS DE LA CONVOCATORIA: BECA DE INVESTIGACION HISTORICA SOBRE UN BARRIO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</si>
  <si>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PATRIMONIOS LOCALES - SALVAGUARDIA DEL PATRIMONIO CULTURAL INMATERIAL DE BOGOTÁ. SEGÚN RESOLUCIÓN NO 0230 DEL 09 DE ABRIL DE 2019, ¿ POR MEDIO DE LA CUAL SE DESIGNAN LOS JURADOS QUE EVALUARAN LAS PROPUESTAS DE LA CONVOCATORIA: BECA PATRIMONIOS LOCALES: SALVAGUARDIA DEL PATRIMONIO CULTURAL INMATERIAL DE BOGOTA Y BECA DE INVESTIGACION Y DIVULGACION DE UNA COLECCIÓN DE BIENES MUEBLES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</si>
  <si>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DE INVESTIGACIÓN Y DIVULGACIÓN DE UNA COLECCIÓN DE BIENES MUEBLES EN BOGOTÁ.  SEGÚN RESOLUCIÓN NO 0230 DEL 09 DE ABRIL DE 2019, ¿ POR MEDIO DE LA CUAL SE DESIGNAN LOS JURADOS QUE EVALUARAN LAS PROPUESTAS DE LA CONVOCATORIA: BECA PATRIMONIOS LOCALES: SALVAGUARDIA DEL PATRIMONIO CULTURAL INMATERIAL DE BOGOTA Y BECA DE INVESTIGACION Y DIVULGACION DE UNA COLECCIÓN DE BIENES MUEBLES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</si>
  <si>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PATRIMONIOS LOCALES - SALVAGUARDIA DEL PATRIMONIO CULTURAL INMATERIAL DE BOGOTÁ.  SEGÚN RESOLUCIÓN NO 0230 DEL 09 DE ABRIL DE 2019, ¿ POR MEDIO DE LA CUAL SE DESIGNAN LOS JURADOS QUE EVALUARAN LAS PROPUESTAS DE LA CONVOCATORIA: BECA PATRIMONIOS LOCALES: SALVAGUARDIA DEL PATRIMONIO CULTURAL INMATERIAL DE BOGOTA Y BECA DE INVESTIGACION Y DIVULGACION DE UNA COLECCIÓN DE BIENES MUEBLES DE BOGOTA, DEL PROGRAMA DISTRITAL DE ESTÍMULOS DEL INSTITUTO DISTRITAL DE PATRIMONIO CULTURAL ¿ IDPC 2019 Y SE ORDENA EL DESEMBOLSO DE LOS ESTÍMULOS ECONÓMICOS ASIGNADOS.¿</t>
  </si>
  <si>
    <t>RITA ADRIANA LOPEZ MONCAYO- IMAGEN URBANA JE  S A S</t>
  </si>
  <si>
    <t>BEATRIZ ELENA RAMIREZ GONZALEZ</t>
  </si>
  <si>
    <t>QUINTERO Y RIAÑO S A</t>
  </si>
  <si>
    <t>RAPIDO GIGANTE S.A.</t>
  </si>
  <si>
    <t>JUAN DAVID MURILLO SANDOVAL</t>
  </si>
  <si>
    <t>LUZ MARINA CRUZ RAMIREZ</t>
  </si>
  <si>
    <t>FREDY LEONARDO GUTIERREZ
GOMEZ</t>
  </si>
  <si>
    <t>MARIA CAMILA JIMENEZ ROMERO</t>
  </si>
  <si>
    <t>Adicionar el Contrato 210-2019: (Cód. 378) Prestar servicios profesionales al Instituto Distrital de Patrimonio Cultural en la planeación, seguimiento y control de la ejecución administrativa y de metas del proyecto de inversión de la Subdirección de Intervención.</t>
  </si>
  <si>
    <t>MONIKA INGERI THERRIEN</t>
  </si>
  <si>
    <t>JUAN DE JESUS GUERRERO
GOMEZ</t>
  </si>
  <si>
    <t>DISETECH S A S</t>
  </si>
  <si>
    <t>Resolución 283</t>
  </si>
  <si>
    <t>Resolución 263</t>
  </si>
  <si>
    <t>Resolución 239</t>
  </si>
  <si>
    <t>Resolución 231</t>
  </si>
  <si>
    <t>CAMPEROS DURAN MANUEL</t>
  </si>
  <si>
    <t>LIZETTE JULIANA DAVILA GAMBOA</t>
  </si>
  <si>
    <t>SANDRA MILENA RAMIREZ MARTINEZ</t>
  </si>
  <si>
    <t>JULIANA  BARRERO CASTELLANOS</t>
  </si>
  <si>
    <t>ALONSO  GUTIERREZ ARISTIZABAL</t>
  </si>
  <si>
    <t>JAIRO ANDRES AVILA GOMEZ</t>
  </si>
  <si>
    <t>VALOR PRESUPUESTADO PARA LOS JURADOS QUE EVALUARÁN LAS PROPUESTAS DEL PROGRAMA DISTRITAL DE ESTÍMULOS 2019 - BECA DE INVESTIGACIÓN SOBRE EL COMERCIO TRADICIONAL EN EL CENTRO HISTÓRICO DE BOGOTÁ. SEGÚN RESOLUCIÓN NO 0283 DEL 30 DE ABRIL DE 2019, ¿ POR MEDIO DE LA CUAL SE DESIGNAN LOS JURADOS QUE EVALUARAN LAS PROPUESTAS DE LA CONVOCATORIA: BECA NUEVAS TECNOLOGÍAS PARA LA APROPIACIÓN DEL PATRIMONIO CULTURAL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</si>
  <si>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DE INVESTIGACIÓN SOBRE EL COMERCIO TRADICIONAL EN EL CENTRO HISTÓRICO DE BOGOTÁ. SEGÚN RESOLUCIÓN NO 0263 DEL 24 DE ABRIL DE 2019, ¿ POR MEDIO DE LA CUAL SE DESIGNAN LOS JURADOS QUE EVALUARAN LAS PROPUESTAS DE LA CONVOCATORIA: BECA DE INVESTIGACIÓN SOBRE EL COMERCIO TRADICIONAL EN EL CENTRO HISTÓRICO DE BOGOTÁ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</si>
  <si>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DE INVESTIGACIÓN HISTÓRICA SOBRE UN BARRIO DE BOGOTÁ. SEGÚN RESOLUCIÓN NO 0231 DEL 09 DE ABRIL DE 2019, ¿ POR MEDIO DE LA CUAL SE DESIGNAN LOS JURADOS QUE EVALUARAN LAS PROPUESTAS DE LA CONVOCATORIA: BECA DE INVESTIGACION HISTORICA SOBRE UN BARRIO DE BOGOTA DEL PROGRAMA DISTRITAL DE ESTÍMULOS DEL INSTITUTO DISTRITAL DE PATRIMONIO CULTURAL ¿ IDPC 2019 Y SE ORDENA EL DESEMBOLSO DE LOS ESTÍMULOS ECONÓMICOS ASIGNADOS.¿</t>
  </si>
  <si>
    <t xml:space="preserve">VALOR PRESUPUESTADO PARA LOS JURADOS QUE EVALUARÁN LAS PROPUESTAS DEL PROGRAMA DISTRITAL DE ESTÍMULOS 2019 - BECA DE INVESTIGACIÓN HISTÓRICA SOBRE UN BARRIO DE BOGOTÁ. SEGÚN RESOLUCIÓN NO 0231 DEL 09 DE ABRIL DE 2019, ¿ POR MEDIO DE LA CUAL SE DESIGNAN LOS JURADOS QUE EVALUARAN LAS PROPUESTAS DE LA CONVOCATORIA: BECA DE INVESTIGACION HISTORICA SOBRE UN BARRIO DE BOGOTA DEL PROGRAMA DISTRITAL DE ESTÍMULOS DEL INSTITUTO DISTRITAL DE PATRIMONIO CULTURAL ¿ IDPC 2019 Y SE ORDENA EL DESEMBOLSO DE LOS ESTÍMULOS ECONÓMICOS ASIGNADOS.¿       </t>
  </si>
  <si>
    <t>Prestar servicios profesionales al Instituto Distrital de Patrimonio Cultural para apoyar la formulación, aplicación y puesta en marcha de instrumentos de financiación para la sostenibilidad de los bienes de interés cultural en el Distrito Capital.</t>
  </si>
  <si>
    <t>Resolución 355</t>
  </si>
  <si>
    <t>KEVIN SANTIAGO ZAMBRANO PINEDA</t>
  </si>
  <si>
    <t>Resolución 314</t>
  </si>
  <si>
    <t>MILENA CAROLINA CASTELLANOS PINILLA</t>
  </si>
  <si>
    <t>Resolución 284</t>
  </si>
  <si>
    <t>LAURA ANDREA ZUÑIGA MINA</t>
  </si>
  <si>
    <t>Resolución 341</t>
  </si>
  <si>
    <t>DIANA MELISSA SOLARTE GARCIA</t>
  </si>
  <si>
    <t>Resolución 342</t>
  </si>
  <si>
    <t>Resolución 340</t>
  </si>
  <si>
    <t>OLGA LUCIA CASTAÑEDA SALCEDO</t>
  </si>
  <si>
    <t>LAURA  VELASQUEZ GONZALEZ</t>
  </si>
  <si>
    <t>Resolución 313</t>
  </si>
  <si>
    <t xml:space="preserve">CORPORACION CAIDADE   </t>
  </si>
  <si>
    <t>DANIELA  VALCARCEL HERNANDEZ</t>
  </si>
  <si>
    <t>JUAN  ESCOBAR</t>
  </si>
  <si>
    <t>Resolución 230</t>
  </si>
  <si>
    <t>Resolución 281</t>
  </si>
  <si>
    <t>OLGA MARCELA CRUZ MONTALVO</t>
  </si>
  <si>
    <t>PAOLA PATRICIA PARRA MORANTES</t>
  </si>
  <si>
    <t>CRISTIAN ALEJANDRO SUAREZ CARO</t>
  </si>
  <si>
    <t>JUAN CAMILO NATES RAMIREZ</t>
  </si>
  <si>
    <t>Prestar servicios profesionales al Instituto Distrital de Patrimonio Cultural para apoyar la consolidación de la propuesta normativa del Plan Especial de Manejo y Protección -PEMP- del Centro Histórico de Bogotá D.C., y otros proyectos.</t>
  </si>
  <si>
    <t>Prestar servicios profesionales al Instituto Distrital de Patrimonio Cultural para apoyar las actividades del inventario del patrimonio cultural inmueble de Bogotá D.C.</t>
  </si>
  <si>
    <t>Prestar servicios profesionales al Instituto Distrital de Patrimonio Cultural para desarrollo de norma en sectores de interés cultural del D.C.</t>
  </si>
  <si>
    <t>Prestar servicios profesionales al Instituto Distrital de Patrimonio Cultural para apoyar la elaboración de insumos técnicos para desarrollo de norma en sectores de interés cultural del D.C.</t>
  </si>
  <si>
    <t xml:space="preserve"> 
Prestar servicios profesionales al Instituto Distrital de Patrimonio Cultural para la implementación  y el fortalecimiento del Sistema de Información Geográfica - SIGPC de la entidad, y apoyo en el desarrollo de proyectos urbanos.</t>
  </si>
  <si>
    <t xml:space="preserve">Adquisición de equipos de control ambiental para el archivo de gestión del Instituto Distrital de Patrimonio Cultural.  </t>
  </si>
  <si>
    <t>Prestar servicios profesionales al Instituto Distrital de Patrimonio Cultural para realizar monitoreo y seguimiento a la implementación y sostenibilidad del Sistema Integrado de Gestión, bajo el referente del Modelo Integrado de Planeación y Gestión-MIPG.</t>
  </si>
  <si>
    <t>Prestar servicios profesionales a la Subdirección de Gestión Corporativa para apoyar en el seguimiento y trámite de las actuaciones disciplinarias de competencia del Instituto.</t>
  </si>
  <si>
    <t>Prestar  servicios profesionales  a la Subdirección de Gestión Corporativa para la realización del avalúo comercial de los predios del Instituto Distrital de Patrimonio Cultural.</t>
  </si>
  <si>
    <t>Adición y prórroga al contrato 138 cuyo objeto es: Contratar el alquiler e instalación de computadores de escritorio con su respectiva configuración y puesta en funcionamiento en las instalaciones del Instituto Distrital de Patrimonio Cultural.</t>
  </si>
  <si>
    <t>CLAUDIA HERNANDEZ ARQ SAS</t>
  </si>
  <si>
    <t>K10 DESIGN S A S</t>
  </si>
  <si>
    <t>GRUPO CAF TECNOLOGIA SAS</t>
  </si>
  <si>
    <t xml:space="preserve">Prestar servicios profesionales al IDPC apoyando el seguimiento de la gestión de planes y proyectos que adelanta la Subdirección de Gestión Territorial para la preservación y sostenibilidad del patrimonio cultural. </t>
  </si>
  <si>
    <t>Viabilidades</t>
  </si>
  <si>
    <t>Marcela  Casas Muñoz</t>
  </si>
  <si>
    <t>ESTEFANIA  GENTILE HERNANDEZ</t>
  </si>
  <si>
    <t>PAULA ANDREA MAHECHA MAHECHA</t>
  </si>
  <si>
    <t>Adición al contrato 460 de 2018 cuyo objeto es: Ejecutar las obras por precios unitarios fijos para la restauración de las naves de la Basílica Menor del Sagrado Corazón de Jesús - Iglesia del Voto Nacional.</t>
  </si>
  <si>
    <t xml:space="preserve">Prestar servicios de apoyo a la gestión en las actividades relacionadas con solicitudes y manejo de los archivos de la Subdirección de Protección e Intervención del Patrimonio que permitan el cumplimiento del subsistema interno de gestión documental. </t>
  </si>
  <si>
    <t>Pago de trámites y documentación inherente a las obras de adecuación del acceso principal del edificio del Concejo de Bogotá ubicado en la calle 36 no, 28a-41 de Bogotá D.C., en el marco del Convenio 170316 de 2017, suscrito entre la SHD y el IDPC.</t>
  </si>
  <si>
    <t xml:space="preserve">Prestar servicios de apoyo a la gestión al Instituto Distrital de Patrimonio Cultural en áreas de seguridad industrial y acompañamiento en las labores de campo adelantadas por la Subdirección de Protección e Intervención del Patrimonio. </t>
  </si>
  <si>
    <t>CANAL CAPITAL</t>
  </si>
  <si>
    <t>411/2017</t>
  </si>
  <si>
    <t>416/2017</t>
  </si>
  <si>
    <t>Prestar servicios profesionales al Instituto Distrital de Patrimonio Cultural para la producción de información de la primera fase del inventario de Bienes de Interés Cultural Inmueble del sector de Interés Cultural de Teusaquillo según normativa vigente.</t>
  </si>
  <si>
    <t>Prestar servicios profesionales al Instituto Distrital de Patrimonio Cultural, para apoyar a la Subdirección de Gestión Corporativa en la elaboración de una metodología que permita establecer el valor actualizado de los bienes muebles de patrimonio cultural de propiedad y/o a cargo de la entidad.</t>
  </si>
  <si>
    <t>Prestar servicios profesionales al Instituto Distrital de Patrimonio Cultural, en las diferentes fases de los procesos de selección (pre contractual, contractual y post contractual) y en las actividades propias del proceso de gestión contractual que requiera la Oficina Asesora Jurídica.</t>
  </si>
  <si>
    <t>Contratar el servicio de mantenimiento a todo costo de los bienes en madera de propiedad del Instituto Distrital de Patrimonio Cultural.</t>
  </si>
  <si>
    <t>Celebrar el contrato interadministrativo con la Unidad Administrativa Especial de Catastro Distrital – UAECD para la realización del avalúo comercial de algunos predios de propiedad del Instituto Distrital de Patrimonio Cultural.</t>
  </si>
  <si>
    <t>Compra y suministro de insumos para equipos de impresión de las dependencias del Instituto Distrital de Patrimonio Cultural.</t>
  </si>
  <si>
    <t>03 - Recursos Administrados 21 - Administrados de Libre Destinación</t>
  </si>
  <si>
    <t>UNIDAD ADMINISTRATIVA ESPECIAL DE CATASTRO DISTRITAL</t>
  </si>
  <si>
    <t>CONSORCIO MO CONCORDIA 2017</t>
  </si>
  <si>
    <t>CONSORCIO NVP</t>
  </si>
  <si>
    <t>LUIS GUILLERMO SALAZAR CAICEDO</t>
  </si>
  <si>
    <t>Adición y prórroga al contrato 371 de 2019 cuyo Objeto es: Adquisición de equipos de cómputo y periféricos requeridos para el desarrollo administrativo y misional del Instituto Distrital de Patrimonio Cultural</t>
  </si>
  <si>
    <t>Prestar servicios profesionales como arquitecto al Instituto Distrital de Patrimonio Cultural en actividades técnicas requeridas para el desarrollo de proyectos de conservación e intervención que adelante la subdirección de protección e intervención.</t>
  </si>
  <si>
    <t>195b</t>
  </si>
  <si>
    <t xml:space="preserve">Prestar servicios profesionales al Instituto Distrital de Patrimonio Cultural para realizar actividades financieras y administrativas relacionadas con los proyectos de inversión a cargo de la Subdirección de Divulgación y Apropiación del Patrimonio. </t>
  </si>
  <si>
    <t>347-606</t>
  </si>
  <si>
    <t xml:space="preserve">BUENOS &amp; CREATIVOS SAS   </t>
  </si>
  <si>
    <t>ROBERTO JOSE LONDONO NIÑO</t>
  </si>
  <si>
    <t xml:space="preserve">PROCESO ORGANIZATIVO DEL PUEBLO ROM GITANO DE COLOMBIA  </t>
  </si>
  <si>
    <t>ORGANIZACION DEL PUEBLO GITANO DE COLOMBIA UNION ROMANI DE COLOMBIA</t>
  </si>
  <si>
    <t>ORGANIZACION DE LA COMUNIDAD RAIZAL CON RESIDENCIA FUERA DEL ARCHIPIELAGO DE SAN ANDRES PROVIDENCIA Y SANTA CATALINA</t>
  </si>
  <si>
    <t>PATRICIA  NAVAS ROTHLISBERGER</t>
  </si>
  <si>
    <t>YENNY SAGRARIO GUEVARA ALVAREZ</t>
  </si>
  <si>
    <t>GUSTAVO DE JESUS GUTIERREZ MARIN</t>
  </si>
  <si>
    <t>juanita  enciso gomez</t>
  </si>
  <si>
    <t>HERNAN ARTURO DIAZ MEDINACELLY</t>
  </si>
  <si>
    <t>Flor Marina Rodriguez Valderrama</t>
  </si>
  <si>
    <t xml:space="preserve">GESCOM SAS   </t>
  </si>
  <si>
    <t>DANIELA  DUQUE GIL</t>
  </si>
  <si>
    <t>JOHN EFREN TORRES GAMBOA</t>
  </si>
  <si>
    <t>JOSE DAVID BENAVIDES TORRES</t>
  </si>
  <si>
    <t xml:space="preserve">GRUPO CORAL SAS   </t>
  </si>
  <si>
    <t>MiguelAngel Vivero Avila</t>
  </si>
  <si>
    <t>347-702</t>
  </si>
  <si>
    <t>Factura-18032 -20208</t>
  </si>
  <si>
    <t>DANIELA ROMERO ANGEL</t>
  </si>
  <si>
    <t>BIC intervenidos (fachada Palacio Liévano)</t>
  </si>
  <si>
    <t>Adición al Contrato 361-2018 cuyo objeto es: "Ejecutar bajo la modalidad de precios unitarios sin fórmula de reajuste las obras necesarias para la conservación y restauración de las fachadas del Edificio Liévano y del Palacio Municipal, actual sede de la Alcaldía Mayor de Bogotá en la ciudad de Bogotá, D.C., en el marco del convenio 097 de 2017, suscrito entre la Secretaría General, la Secretaría de Gobierno, la Secretaría Jurídica y el Instituto Distrital de Patrimonio Cultural"</t>
  </si>
  <si>
    <t>Adición al Contrato 433-2018 cuyo objeto es:Realizar la interventoría técnica, administrativa y financiera de la obra que tiene por objeto: "Ejecutar bajo la modalidad de precios unitarios sin fórmula de reajuste las obras necesarias para la conservación y restauración de las fachadas del Edificio Liévano y del Palacio Municipal, actual sede de la Alcaldía Mayor de Bogotá en la ciudad de Bogotá, D.C., en el marco del convenio 097 de 2017, suscrito entre la Secretaría General, la Secretaría de Gobierno, la Secretaría Jurídica y el Instituto Distrital de Patrimonio Cultural".</t>
  </si>
  <si>
    <t>361-2018</t>
  </si>
  <si>
    <t>433-2018</t>
  </si>
  <si>
    <t>Palacio Liévano (Fachada)</t>
  </si>
  <si>
    <t>LINA MARIA FORERO JIMENEZ</t>
  </si>
  <si>
    <t>LINA MARCELA MORENO ROA</t>
  </si>
  <si>
    <t>GINA MILENA MAYORGA ALBA</t>
  </si>
  <si>
    <t>ANA MILENA QUINTERO AGAMEZ</t>
  </si>
  <si>
    <t>MANUEL JOSE AMAYA ARIAS</t>
  </si>
  <si>
    <t>ANA MARIA FLOREZ FLOREZ</t>
  </si>
  <si>
    <t>JUAN JOSE ALVEAR MEJIA</t>
  </si>
  <si>
    <t>SANTIAGO LUCIANO BELTRAN GOMEZ</t>
  </si>
  <si>
    <t>ALFORD EDUARDO PEDRAZA VEGA</t>
  </si>
  <si>
    <t>ADRIANA CAMILA OSORIO GONZALEZ</t>
  </si>
  <si>
    <t>MARIO SERGIO ALEJANDRO VALENCIA MENDEZ</t>
  </si>
  <si>
    <t>JUAN DAVID SANCHEZ ZAPATA</t>
  </si>
  <si>
    <t>EMPERATRIZ  GONZALEZ PALENCIA</t>
  </si>
  <si>
    <t>PLAN OPERATIVO ANUAL DE INVERSIÓN - POAI</t>
  </si>
  <si>
    <t>SARA LUCIA GÓMEZ MACHADO</t>
  </si>
  <si>
    <t>ÁNGELA MARÍA CADENA GÓMEZ</t>
  </si>
  <si>
    <t>DIANA  PEDRAZA RINCÓN</t>
  </si>
  <si>
    <t>ANA CECILIA ESCOBAR RAMÍREZ</t>
  </si>
  <si>
    <t>LIDA ROCÍO ROA MONSALVE</t>
  </si>
  <si>
    <t>VANESSA  GONZÁLEZ VEJOLLIN</t>
  </si>
  <si>
    <t>NURY YENSSY BOHÓRQUEZ SÁNCHEZ</t>
  </si>
  <si>
    <t>INSTITUCIONAL STAR SERVICES LTDA.</t>
  </si>
  <si>
    <t>SARA BEATRIZ ACUÑA GÓMEZ</t>
  </si>
  <si>
    <t>Prestar servicios profesionales al Instituto Distrital de Patrimonio Cultural para apoyar la gestión logística de los recorridos de ciudad realizados en el marco del proyecto de inversión 1024 - Formación en patrimonio cultural.</t>
  </si>
  <si>
    <t>YANETH  MORA HERNÁNDEZ</t>
  </si>
  <si>
    <t>JENNY LORENA BOHÓRQUEZ MORENO</t>
  </si>
  <si>
    <t>YENNY  SÁNCHEZ</t>
  </si>
  <si>
    <t>FABIO ALBERTO LÓPEZ SUAREZ</t>
  </si>
  <si>
    <t>PROCESO DE DIRECCIONAMIENTO ESTRATÉGICO</t>
  </si>
  <si>
    <t>94B</t>
  </si>
  <si>
    <t>TECNI REPUESTOS INDUSTRIALES LTDA</t>
  </si>
  <si>
    <t>LAURA SOFIA VILLOTA MARTINEZ</t>
  </si>
  <si>
    <t>GERMAN ANDRES REINO MARTINEZ</t>
  </si>
  <si>
    <t>Prestar servicios profesionales al Instituto Distrital de Patrimonio Cultural para el diseño de la segunda etapa de los materiales metodológicos y didácticos de la cátedra de patrimonio cultural</t>
  </si>
  <si>
    <t>Tramites</t>
  </si>
  <si>
    <t>Adición al contrato  IDPC-PS-323-2019 cuyo objeto es: 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</si>
  <si>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Adición cto 305 de 2019 Prestar los servicios requeridos por el Instituto Distrital de Patrimonio Cultural para atender las actividades y proyectos relacionados con la formación y divulgación del patrimonio cultural del Distrito Capital.</t>
  </si>
  <si>
    <t>Prestar servicios profesionales al Instituto Distrital de Patrimonio Cultural como desarrollador FrontEnd para la programación de interfaces visuales.</t>
  </si>
  <si>
    <t>Prestar servicios profesionales al Instituto Distrital de Patrimonio Cultural como desarrollador BackEnd para la programación del sitio web con sus diferentes componentes</t>
  </si>
  <si>
    <t>Prestar servicios profesionales en diseño para definir las estrategias gráficas para una adecuada experiencia de usuario del sitio web del Instituto Distrital de Patrimonio Cultural</t>
  </si>
  <si>
    <t>Prestar servicios profesionales al Instituto Distrital de Patrimonio Cultural Profesional para el desarrollo de la arquitectura de contenidos del sitio web.</t>
  </si>
  <si>
    <t>Prestar servicios profesionales al Instituto Distrital de Patrimonio Cultural para gestionar estrategias de prensa del IDPC en el marco de la implementación de proyectos especiales de la entidad</t>
  </si>
  <si>
    <t>Prestar servicios profesionales al Instituto Distrital de Patrimonio Cultural para realizar el registro fotográfico requerido para el desarrollo de diferentes proyectos del IDPC.</t>
  </si>
  <si>
    <t>JOHAN ALBERTO GARZON CASTAÑEDA</t>
  </si>
  <si>
    <t>Suministro de insumos para equipos de impresión de las dependencias del Instituto Distrital de Patrimonio Cultural.</t>
  </si>
  <si>
    <t>Adición y Prorroga del Contrato 39 de 2019, cuyo objeto es: Prestar servicios profesionales al Instituto Distrital de Patrimonio Cultural para desarrollar actividades técnicas y operativas de los planes, programas y proyectos del Instituto.</t>
  </si>
  <si>
    <t>Prestar servicios profesionales al Instituto Distrital de Patrimonio Cultural para adelantar la primera fase del inventario de Bienes de Interés Cultural Inmueble del Sector de Interés Cultural de Teusaquillo, de acuerdo a las metas establecidas por la entidad y según la normativa vigente.</t>
  </si>
  <si>
    <t>Adición al contrato de obra IDPC-OB-387-2019 cuyo objeto es: "Ejecutar bajo la modalidad de precios unitarios fijos sin  fórmula de reajuste las obras de reparaciones locativas para el monumento a los Héroes, en la ciudad de Bogotá D.C.”</t>
  </si>
  <si>
    <t>Adición No.02 al Contrato 474-2018:"Ejecutar bajo la modalidad de precios unitarios la obra de intervención de la segunda etapa  del inmueble ubicado en la Calle 12 B N° 2-91 denominado Casa Tito".</t>
  </si>
  <si>
    <t>Saldo del componente</t>
  </si>
  <si>
    <t>GOLD SYS LTDA</t>
  </si>
  <si>
    <t>Resolución 362</t>
  </si>
  <si>
    <t>Resolución 382</t>
  </si>
  <si>
    <t>CAMILO  VIECO FLOREZ</t>
  </si>
  <si>
    <t>ALEJANDRO ALFREDO CARDENAS PALACIOS</t>
  </si>
  <si>
    <t>LAURA  MORENO BARBOSA</t>
  </si>
  <si>
    <t>GUILLERMO ARTURO SANTOS SAENZ</t>
  </si>
  <si>
    <t>LILIANA ANDREA CLAVIJO GARCIA</t>
  </si>
  <si>
    <t>MARIA DEL PILAR RODRIGUEZ SAUMET</t>
  </si>
  <si>
    <t>Resolución 480</t>
  </si>
  <si>
    <t>JONATHAN STIVEN AREVALO SEPULVEDA</t>
  </si>
  <si>
    <t>ANIBAL ANDRES SALCEDO GIRALDO</t>
  </si>
  <si>
    <t>ANDERSON JOHAN CUBILLOS TOVAR</t>
  </si>
  <si>
    <t>Resolución 495</t>
  </si>
  <si>
    <t>LUIS FELIPE LEON ANDRADE</t>
  </si>
  <si>
    <t>PAOLA ELIZABETH HERNANDEZ ROMERO</t>
  </si>
  <si>
    <t>ANDRIUS  LA ROTTA ESQUIVEL</t>
  </si>
  <si>
    <t>JORGE ALBERTO FLOREZ GARZON</t>
  </si>
  <si>
    <t>CONSORCIO UVM</t>
  </si>
  <si>
    <t>RENE ALEJANDRO GOMEZ LAVERDE</t>
  </si>
  <si>
    <t>OLD INGENIERIA LTDA</t>
  </si>
  <si>
    <t>YUDY KATHERINE MEDINA CARVAJAL</t>
  </si>
  <si>
    <t>Prestar servicios profesionales al Instituto Distrital de Patrimonio Cultural para la traducción del guión permanente del Museo de Bogotá.</t>
  </si>
  <si>
    <t>Prestar servicios profesionales al Insituto Distrital de Patrimonio Cultural para el desarrollo integral del proyecto Museo de la Ciudad Autoconstruida.</t>
  </si>
  <si>
    <t>Contratar la adquisición de licencias Filemaker para los equipos del Museo de Bogotá.</t>
  </si>
  <si>
    <t>553b</t>
  </si>
  <si>
    <t>Adición al contrato 343 de 2019 cuyo objeto es: Prestar servicios de apoyo a la gestión al Instituto Distrital de Patrimonio Cultural en los procesos de digitalización de la Colección del Museo de Bogotá.</t>
  </si>
  <si>
    <t>ALCSETEC ALIANZAS COMERCIALES Y SERVICIOS TECNOLOGICOS SAS</t>
  </si>
  <si>
    <t>LA PREVISORA S A COMPAÑIA DE SEGUROS</t>
  </si>
  <si>
    <t>COMERCIALIZADORA ELECTROMERO S A S</t>
  </si>
  <si>
    <t>CASA QUIMICOS SAS</t>
  </si>
  <si>
    <t xml:space="preserve">Adición y Prórroga del Contrato No. 165 de 2019, cuyo objeto es: Prestar servicios profesionales al Instituto Distrital de Patrimonio Cultural para elaborar insumos arquitectónicos en la formulación de proyectos y del Plan Especial de Manejo y Protección -PEMP- del Centro Histórico de Bogotá D.C, a partir de la consolidación de la formulación del mismo.  </t>
  </si>
  <si>
    <t>RODOLFO  HERRERA HERNANDEZ</t>
  </si>
  <si>
    <t>Prestar servicios profesionales al Instituto Distrital de Patrimonio Cultural para el desarrollo de perfil de proyectos para el Centro Histórico de Bogotá D.C.</t>
  </si>
  <si>
    <t xml:space="preserve">Adición y Prórroga del Contrato 163 de 2019, cuyo objeto es: Prestar servicios profesionales al Instituto Distrital de Patrimonio Cultural apoyando la consolidación de la propuesta para la norma urbana patrimonial del Plan Especial de Manejo y Protección -PEMP- del Centro Histórico de Bogotá D.C y otros proyectos. </t>
  </si>
  <si>
    <t>Prestar servicios profesionales al Instituto Distrital de Patrimonio Cultural para orientar los procesos curatoriales, de investigación requeridos para el desarrollo de las exposiciones temporales del Museo de Bogotá.</t>
  </si>
  <si>
    <t>Saldo CDP vs Apropiación</t>
  </si>
  <si>
    <t>Adquisición de sillas ergonómicas y superficies completas para los puestos de trabajo del personal del Instituto Distrital de Patrimonio Cultural.</t>
  </si>
  <si>
    <t>Adquisición de Sala de espera para el Instituto Distrital de Patrimonio Cultural.</t>
  </si>
  <si>
    <t>Adquisición e instalación de los accesorios de red para las conexiones de datos de la casa Genoveva del Instituto Distrital de Patrimonio Cultural.</t>
  </si>
  <si>
    <t>Adquisición de electrodomésticos, puntos ecológicos y accesorios para los baños de la casa Genoveva del Instituto Distrital de Patrimonio Cultural.</t>
  </si>
  <si>
    <t>Adquisición de UPS para la regulación de energía de la casa Genoveva del Instituto Distrital de Patrimonio Cultural.</t>
  </si>
  <si>
    <t>N° CDP</t>
  </si>
  <si>
    <t>JUAN DE JESUS GUERRERO GOMEZ</t>
  </si>
  <si>
    <t>JULIO MARIO SILVA CONTRERAS</t>
  </si>
  <si>
    <t>CARLOS ARTURO NIÑO MURCIA</t>
  </si>
  <si>
    <t>CARLOS ANDRES LOPEZ FRANCO</t>
  </si>
  <si>
    <t>VERONICA ANA CRISTINA DELGADO TORRES</t>
  </si>
  <si>
    <t>797-798-801</t>
  </si>
  <si>
    <t>FELIPE ANDRES LOZANO ORTEGA</t>
  </si>
  <si>
    <t>Ivonne Lorena Petecua Aguirre</t>
  </si>
  <si>
    <t>Ejecutar bajo la modalidad de precios unitarios fijos las obras de intervención, conservación y restauración de la fachada de la iglesia Candelaria, declarada Bien de Interés Cultural, localizada en la ciudad de Bogotá D.C.</t>
  </si>
  <si>
    <t>Contratar la elaboración de un informe técnico del estudio de tráfico para gestionar ante la Secretaría Distrital de Movilidad la solicitud del PMT, que permita la intervención de enlucimiento en la Iglesia de Egipto, localizada en la ciudad de Bogotá D.C.</t>
  </si>
  <si>
    <t>544-545-552-553-586</t>
  </si>
  <si>
    <t>Adición y prorroga al contrato 299 de 2019 cuyo objeto es: Prestar servicios profesionales especializados a la Dirección General del Instituto Distrital de Patrimonio Cultural para acompañar las acciones estratégicas de mejoramiento continuo y seguimiento institucional de la entidad.</t>
  </si>
  <si>
    <t>CONSORCIO LA CANDELARIA 2020</t>
  </si>
  <si>
    <t>Prestar servicios profesionales al Instituto Distrital de Patrimonio Cultural para orientar y verificar la evaluación patrimonial de las solicitudes de Intervención de bienes ubicados en el espacio público y en espacio público de sectores de interés cultural del D.C.</t>
  </si>
  <si>
    <t>Prestar servicios de apoyo a la gestión al Instituto Distrital de Patrimonio Cultural en el desarrollo de actividades administrativas relacionadas con la evaluación de las solicitudes y consultas de equiparación a estrato uno y acciones de control urbano que se presenten sobre inmuebles y sectores de interés cultural del Distrito Capital.</t>
  </si>
  <si>
    <t>Prestar servicios profesionales al Instituto Distrital de Patrimonio Cultural, para realizar actividades relacionadas con el componente urbano y de espacio público de los planes y proyectos, de conformidad con las competencias de la entidad.</t>
  </si>
  <si>
    <t>Realizar los estudios técnicos, diseños, permisos y licencias  que determinen las acciones para la intervención de los sectores 4 y 5 de la Plaza la Santamaría.</t>
  </si>
  <si>
    <t>Realizar la interventoría integral de  los estudios técnicos, diseños, permisos y licencias que determinen las acciones para la intervención de los sectores 4 y 5 de la Plaza la Santamaría.</t>
  </si>
  <si>
    <t>Adición al Contrato de Obra 329-2019, cuyo objeto es: "Ejecutar bajo la modalidad de precios unitarios fijos las obras requeridas para el inmueble ubicado en la Calle 12B No. 2-58, denominado Casa Genoveva en la ciudad de Bogotá, D.C."</t>
  </si>
  <si>
    <t>Adición y prórroga al contrato 296 de 2019 cuyo objeto es: Prestar servicios profesionales al Instituto Distrital de Patrimonio Cultural, en las actividades de seguimiento y monitoreo a las labores de supervisión en la gestión contractual a cargo de las subdirecciones de la entidad, producto de procesos de licitación pública, selección abreviada o concurso de méritos, así como el seguimiento a la gestión institucional dirigida a la implementación del Sistema de Gestión.</t>
  </si>
  <si>
    <t>Prestar servicios profesionales al Instituto Distrital de Patrimonio Cultural en el desarrollo de materiales pedagógicos y didácticos, en soportes físicos y/o virtuales relacionados tanto con la colección permanente como con las exposiciones temporales y las acciones de divulgación del Museo de Bogotá.</t>
  </si>
  <si>
    <t xml:space="preserve">Prestar servicios profesionales al Instituto Distrital de Patrimonio Cultural en la ejecución de los procesos de mediación y generación de contenidos pedagógicos del portafolio de servicios educativos. </t>
  </si>
  <si>
    <t>Prestar servicios profesionales como arquitecto al Instituto Distrital de Patrimonio Cultural para desarrollar actividades técnicas y operativas  del proyecto del Museo Renovado</t>
  </si>
  <si>
    <t>N/A</t>
  </si>
  <si>
    <t>Adición y Prórroga al Contrato  74-2019 (Cód.276) Prestar servicios profesionales al Instituto Distrital de Patrimonio Cultural para apoyar las actividades de gestión del Sistema de Información Geográfico para el inventario de bienes inmuebles del  Distrito Capital a cargo de la Subdirección de Intervención.</t>
  </si>
  <si>
    <t>Adición y Prórroga al Contrato  103-2019 (Cód.280)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</si>
  <si>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Prórroga al Contrato  93-2019 (Cód.281)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</si>
  <si>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Prórroga al Contrato 117-2019 (Cód.284)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</si>
  <si>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Prórroga al Contrato 92-2019 (Cód.285)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</si>
  <si>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Prórroga al Contrato 100-2019 (Cód.286) Prestar servicios profesionales al Instituto Distrital de Patrimonio Cultural para apoyar la revisión y acompañamiento del componente estructural y de ingeniería de las acciones y solicitudes de intervención en Bienes de Interés Cultural (BIC).</t>
  </si>
  <si>
    <t>Adición y Prórroga al Contrato 101-2019 (Cód.287) Prestar servicios profesionales al Instituto Distrital de Patrimonio Cultural para apoyar la revisión y acompañamiento del componente estructural y de ingeniería de las acciones y solicitudes de intervención en Bienes de Interés Cultural (BIC).</t>
  </si>
  <si>
    <t>Adición y Prórroga al Contrato 123-2019 (Cód.291) 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</si>
  <si>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Adición y Prórroga al Contrato 108-2019 (Cód.294) Prestar servicios profesionales al Instituto Distrital de Patrimonio Cultural para apoyar las actividades de soporte técnico y evaluación de las solicitudes de equiparación a estrato 1 y de control urbano de intervenciones en BIC.</t>
  </si>
  <si>
    <t>Adición y Prórroga al Contrato 105-2019 (Cód.295) Prestar servicios profesionales al Instituto Distrital de Patrimonio Cultural para apoyar las actividades de soporte técnico y evaluación de las solicitudes de equiparación a estrato 1 y de control urbano de intervenciones en BIC.</t>
  </si>
  <si>
    <t>Adición y Prórroga al Contrato 95-2019 (Cód.296) Prestar servicios profesionales al Instituto Distrital de Patrimonio Cultural para apoyar las actividades de soporte técnico y evaluación de las solicitudes de equiparación a estrato 1 y de control urbano de intervenciones en BIC.</t>
  </si>
  <si>
    <t>Adición y Prórroga al Contrato 115-2019 (Cód.299) Prestar servicios profesionales al Instituto Distrital de Patrimonio Cultural, apoyando los tramites de evaluación de los proyectos de manejo y protección del patrimonio cultural, y solicitudes de intervención sobre Bienes y Sectores de Interés Cultural.</t>
  </si>
  <si>
    <t>Adición y Prórroga al Contrato 122-2019 (Cód.300) Prestar servicios profesionales al Instituto Distrital de Patrimonio Cultural, apoyando los tramites de evaluación de los proyectos de manejo y protección del patrimonio cultural, y solicitudes de intervención sobre Bienes y Sectores de Interés Cultural.</t>
  </si>
  <si>
    <t>Adición y Prórroga al Contrato 124-2019 (Cód.308) Prestar servicios profesionales especializados al Instituto Distrital de Patrimonio Cultural, como apoyo jurídico a la evaluación de las solicitudes de intervención sobre Bienes y Sectores de Interés Cultural.</t>
  </si>
  <si>
    <t>Adición y Prórroga al Contrato 128-2019 (Cód.309) Prestar servicios profesionales al Instituto Distrital de Patrimonio Cultural, como apoyo jurídico a la evaluación de las solicitudes de intervención sobre Bienes y Sectores de Interés Cultural.</t>
  </si>
  <si>
    <t>Adición al contrato 440 de 2019 cuyo objeto es: Contratar el servicio de mantenimiento a todo costo de los bienes en madera de propiedad del Instituto Distrital de Patrimonio Cultural.</t>
  </si>
  <si>
    <t>Adición al contrato 323 de 2019 cuyo objeto es: 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</si>
  <si>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Adición al contrato 286 de 2019 cuyo objeto esContratar la prestación del servicio integral de aseo, cafetería y fumigación, incluidos los insumos, para las sedes del Instituto Distrital de Patrimonio Cultural.</t>
  </si>
  <si>
    <t>JAIRO  CHAPARRO VALDERRAMA</t>
  </si>
  <si>
    <t>MAGDA CATALINA RUIZ DIAZ</t>
  </si>
  <si>
    <t>CARLOS ANDRES MONCADA RIOS</t>
  </si>
  <si>
    <t>UNIPLES SA</t>
  </si>
  <si>
    <t>Adición al cto 183 cuyo objeto es: Prestar servicios profesionales al Instituto Distrital de Patrimonio Cultural para apoyar la implementación de las acciones de fomento a las prácticas del patrimonio cultural.</t>
  </si>
  <si>
    <t>JORGE ALKIBER PEREZ CARDONA</t>
  </si>
  <si>
    <t>Prestar servicios de apoyo a la gestión al Instituto Distrital de Patrimonio Cultural, en las actividades administrativas de la Subdirección de Gestión Corporativa.</t>
  </si>
  <si>
    <t>123b</t>
  </si>
  <si>
    <t>Contratar la fase I correspondiente al análisis y diagnóstico, como insumo para formular el Plan Especial de Manejo y Protección (PEMP) del Parque Nacional Olaya Herrera, Bien de Interés Cultural del ámbito nacional localizado en Bogotá D.C.</t>
  </si>
  <si>
    <t>Documento de Análisis y Diagnóstico del Plan Especial de Manejo y Protección del Parque Nacional Enrique Olaya Herrera</t>
  </si>
  <si>
    <t>547-582-622</t>
  </si>
  <si>
    <t>601-709</t>
  </si>
  <si>
    <t>585-594-630</t>
  </si>
  <si>
    <t>G&amp;M COMERCIALIZADORA SAS</t>
  </si>
  <si>
    <t>OFIEXPORT SAS</t>
  </si>
  <si>
    <t>623-633</t>
  </si>
  <si>
    <t>624-634</t>
  </si>
  <si>
    <t>626-635</t>
  </si>
  <si>
    <t>625-636</t>
  </si>
  <si>
    <t xml:space="preserve">Adición Cto 327 cuyo objeto es : Prestar servicios profesionales al Instituto Distrital de Patrimonio Cultural para apoyar las actividades de implementación del proyecto de apropiación social del Patrimonio Cultural Inmaterial "Patrimonios Locales".  </t>
  </si>
  <si>
    <t>Adición al Cto 249 cuyo objeto es: Prestar servicios profesionales  al Instituto Distrital de Patrimonio Cultural para llevar a cabo los procesos de corrección de estilo de los textos y publicaciones adelantadas por la Subdirección de Divulgación y Apropiación del Patrimonio.</t>
  </si>
  <si>
    <t xml:space="preserve">
Prestar servicios profesionales al Instituto Distrital de Patrimonio Cultural para la realización de un diagnóstico socio cultural de la zona Ciudad Bolívar que permita identificar necesidades, actores, expectativas locales y posibles puntos de riesgo como insumo para orientar la formulación de actividades y funcionamiento del Museo de la Ciudad Autoconstruida - MCA una vez se plantee su entrada en operación.
</t>
  </si>
  <si>
    <t>RICARDO ANDRES PERILLA JIMENEZ</t>
  </si>
  <si>
    <t>JESUS ALBERTO MARTINEZ ARIAS</t>
  </si>
  <si>
    <t>LUISA FERNANDA CASTAÑEDA URREA</t>
  </si>
  <si>
    <t>Adición y Prorroga al Contrato N°102 (Cód.279)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</si>
  <si>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Prorroga al Contrato N°222 (Cód.301) Prestar servicios profesionales al Instituto Distrital de Patrimonio Cultural, apoyando los tramites de evaluación de los proyectos de manejo y protección del patrimonio cultural, y solicitudes de intervención sobre Bienes y Sectores de Interés Cultural.</t>
  </si>
  <si>
    <t>Adquisicion de torniquete de acceso para las instalaciones del IDPC</t>
  </si>
  <si>
    <t>Adición y Prórroga del Contrato 39 de 2019, cuyo objeto es: Prestar servicios profesionales al Instituto Distrital de Patrimonio Cultural para desarrollar actividades técnicas y operativas de los planes, programas y proyectos del Instituto.</t>
  </si>
  <si>
    <t>Adición y Prórroga del Contrato 173 de 2019, cuyo objeto es Prestar servicios de apoyo a la gestión al Instituto Distrital de Patrimonio Cultural para apoyar las acciones requeridas en la consolidación de la propuesta normativa del Plan Especial de Manejo y Protección -PEMP- del Centro Histórico de Bogotá D.C.</t>
  </si>
  <si>
    <t>Adición y Prórroga del Contrato 162 de 2019, cuyo objeto es Prestar servicios de apoyo a la gestión al Instituto Distrital de Patrimonio Cultural para apoyar las acciones requeridas en la consolidación de la propuesta normativa del Plan Especial de Manejo y Protección -PEMP- del Centro Histórico de Bogotá D.C.</t>
  </si>
  <si>
    <t xml:space="preserve">Adición y Prórroga del Contrato 256 de 2019, cuyo objeto es Prestar servicios profesionales al Instituto Distrital de Patrimonio Cultural apoyando la consolidación de la propuesta para la norma urbana patrimonial del Plan Especial de Manejo y Protección -PEMP- del Centro Histórico de Bogotá D.C y otros proyectos. </t>
  </si>
  <si>
    <t>Prestar servicios profesionales al Instituto Distrital de Patrimonio Cultural para realizar una investigación sobre Julián Lombana, quien diseñó y construyó importantes obras arquitectónicas al inicio del Siglo XX en Bogotá.</t>
  </si>
  <si>
    <t>Positiva</t>
  </si>
  <si>
    <t>587-590-659</t>
  </si>
  <si>
    <t>Adición al cto 451 de 2019 cuyo objeto es: Prestar servicios profesionales al Instituto Distrital de Patrimonio Cultural para realizar la museografía del proyecto Museo de la ciudad autoconstruida.</t>
  </si>
  <si>
    <t>Contratar el mantenimiento correctivo y preventivo de las cámaras de vigilancia del Museo de Bogotá</t>
  </si>
  <si>
    <t>460-2018</t>
  </si>
  <si>
    <t>Adición y prórroga No. 1 al Contrato de Interventoría 468 de 2018 cuyo objeto es: Realizar la Interventoría Integral del Contrato de Obra que tiene por objeto: Ejecutar las obras por precios unitarios para la Restauración del presbiterio, transepto y cúpula de la Basílica Menor del Sagrado Corazón de Jesús; Iglesia del Voto Nacional</t>
  </si>
  <si>
    <t>BIC  intervenidos (Basilica Menor Iglesia del Voto Nacional Etapa II)</t>
  </si>
  <si>
    <t>BIC  intervenidos (Basilica Menor Iglesia del Voto Nacional Etapa III)</t>
  </si>
  <si>
    <t>Adición y prórroga No. 2 al Contrato de Obra 460 de 2018 cuyo objeto es: Ejecutar las obras por precios unitarios para la Restauración del presbiterio, transepto y cúpula de la Basílica Menor del Sagrado Corazón de Jesús; Iglesia del Voto Nacional</t>
  </si>
  <si>
    <t>Adición y prórroga No. 2 al Contrato de Interventoría 468 de 2018 cuyo objeto es: Realizar la Interventoría Integral del Contrato de Obra que tiene por objeto: Ejecutar las obras por precios unitarios para la Restauración del presbiterio, transepto y cúpula de la Basílica Menor del Sagrado Corazón de Jesús; Iglesia del Voto Nacional</t>
  </si>
  <si>
    <t>Ejecutar bajo la modalidad de precios unitarios las obras para la intervención de la tercera etapa del inmueble ubicado en la calle 12 b n° 2-91 denominado Casa Tito, localizada en la ciudad de Bogotá D.C.</t>
  </si>
  <si>
    <t>Realizar la interventoría integral del contrato de obra cuyo objeto es: “Ejecutar bajo la modalidad de precios unitarios las obras para la intervención de la tercera etapa del inmueble ubicado en la calle 12 b n° 2-91 denominado Casa Tito, localizada en la ciudad de Bogotá D.C.”</t>
  </si>
  <si>
    <t>Prestar sus servicios profesionales al  IDPC En los asuntos jurídicos que se desarrollen en la Subdirección de protección e intervención del patrimonio</t>
  </si>
  <si>
    <t>Prestar sus servicios profesionales al IDPC para apoyar en el seguimiento técnico y administrativo de los procesos y proyectos de intervención y protección del patrimonio cultural, para garantizar su desarrollo, cumplimiento y correcta finalizacion.</t>
  </si>
  <si>
    <t xml:space="preserve">Prestar sus servicios profesionales como abogado al  IDPC En los asuntos jurídicos que se desarrollen en la Subdirección de protección e intervención del patrimonio. </t>
  </si>
  <si>
    <t>Elaboración de elementos ornamentales de la unidad funeraria de la Tumba Del General Francisco De Paula Santander, localizada en el Cementerio Central de Bogotá D.C.</t>
  </si>
  <si>
    <t>Adición y Prorroga al Contrato N°111 (Cód.388) Prestar servicios profesionales al Instituto Distrital de Patrimonio Cultural para realizar la planificación, programación y control de las acciones de intervención y protección a cargo de la Subdirección de Intervención.</t>
  </si>
  <si>
    <t>Adición y Prorroga al Contrato N°127 (Cód.381) Prestar servicios profesionales al Instituto Distrital de Patrimonio Cultural para apoyar la estructuración técnica y presupuestos de los procesos de selección que se desarrollan para la gestión e intervención del patrimonio cultural del Distrito Capital.</t>
  </si>
  <si>
    <t>Adición y Prorroga al Contrato N°219 (Cód.375) Prestar servicios profesionales al Instituto Distrital de Patrimonio Cultural apoyando la estructuración técnica de los procesos precontractuales para las acciones de gestión e intervención del patrimonio cultural del Distrito Capital.</t>
  </si>
  <si>
    <t>Adición y Prorroga al Contrato N°223 (Cód.376) Prestar servicios profesionales al Instituto Distrital de Patrimonio Cultural apoyando la estructuración técnica de los procesos precontractuales para las acciones de gestión e intervención del patrimonio cultural del Distrito Capital.</t>
  </si>
  <si>
    <t>Adición y Prorroga al Contrato N°276 (Cód.372) Prestar servicios de apoyo a la gestión al Instituto Distrital de Patrimonio Cultural para acompañar la recepción, registro de documentos y expedientes en el marco de los procesos adelantados por la Subdirección de Intervención.</t>
  </si>
  <si>
    <t>Adición y Prorroga al Contrato N°393 (Cód.468) Prestar servicios profesionales al Instituto Distrital de Patrimonio Cultural para apoyar el seguimiento técnico y administrativo en sitio de las intervenciones adelantadas por el Programa de Enlucimiento de Fachadas.</t>
  </si>
  <si>
    <t>Adición y Prorroga al Contrato N°285 (Cód.360) Prestar servicios profesionales al Instituto Distrital de Patrimonio Cultural para apoyar la gestión del Grupo de Bienes Muebles en las actividades relacionadas con la intervención y conservación de patrimonio mueble ubicado en el espación público de Bogotá, en especial bajo el Programa Adopta un Monumento de la entidad.</t>
  </si>
  <si>
    <t>Adición y Prorroga al Contrato N°120 (Cód.283)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</si>
  <si>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Prorroga al Contrato N°254 (Cód.290) Prestar servicios profesionales al Instituto Distrital de Patrimonio Cultural apoyando las actividades de elaboración y redacción de conceptos técnicos respecto a las normas aplicables para intervenciones sobre los inmuebles de interés cultural del Distrito Capital.</t>
  </si>
  <si>
    <t>Adición y Prorroga al Contrato N°266 (Cód.282)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</si>
  <si>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Prorroga al Contrato N°267 (Cód.304) Prestar servicios profesionales al IDPC, para apoyar  las actividades relacionadas con el componente urbano y de espacio público de los planes, programas y proyectos, de conformidad con las competencias del IDPC.</t>
  </si>
  <si>
    <t>Adición y Prorroga al Contrato N°379 (Cód.522) Prestar servicios profesionales al Instituto Distrital de Patrimonio Cultural apoyando los tramites administrativos y conceptos técnicos utilizando normas aplicables para intervenciones sobre los inmuebles de interés cultural del Distrito Capital.</t>
  </si>
  <si>
    <t>Adición y Prorroga al Contrato N°382 (Cód.289) Prestar servicios profesionales al Instituto Distrital de Patrimonio Cultural realizando el analisis y la evaluación de las solicitudes de intervención para la protección de los bienes inmuebles de interés cultural del Distrito Capital.</t>
  </si>
  <si>
    <t>Prestar servicios profesionales al Instituto Distrital de Patrimonio Cultural en las actividades de asesoría técnica a terceros, revisión, evaluación, verificación y análisis de las solicitudes de intervención de los Bienes de Interés Cultural (BIC) del Distrito Capital.</t>
  </si>
  <si>
    <t>Adición y Prorroga al Contrato N°270 (Cód.305) Prestar servicios profesionales al IDPC, para apoyar  las actividades relacionadas con el componente urbano y de espacio público de los planes, programas y proyectos, de conformidad con las competencias del IDPC.</t>
  </si>
  <si>
    <t>Plan Especial de Manejo y Protección del Parque Nacional Enrique Olaya Herrera</t>
  </si>
  <si>
    <t xml:space="preserve"> Elaborarel 0,5 del documento de Análisis y Diagnóstico como insumo para la formulación del Plan Especial de Manejo y Protección —PEMP del Parque Nacional Olaya Herrera</t>
  </si>
  <si>
    <t xml:space="preserve"> Elaborar el 0,5 del documento de Análisis y Diagnóstico como insumo para la formulación del Plan Especial de Manejo y Protección —PEMP del Parque Nacional Enrique Olaya Herrera</t>
  </si>
  <si>
    <t xml:space="preserve"> Saldo Componente</t>
  </si>
  <si>
    <t>Monumentos en espacio público 
(Alameda)</t>
  </si>
  <si>
    <t>Monumentos en espacio público (Alameda)</t>
  </si>
  <si>
    <t>Realizar la interventoría integral de la obra cuyo objeto es: "ejecutar bajo la modalidad de precios unitarios fijos la intervención de conservación – restauración de la escultura denominada "Alameda" localizada en la localidad de bosa en Bogotá"</t>
  </si>
  <si>
    <t>Ejecutar bajo la modalidad de precios unitarios fijos la intervención de conservación – restauración de la escultura denominada "alameda" localizada en la localidad de bosa en bogotá</t>
  </si>
  <si>
    <t>BIC intervenidos (Sede Casa Tito Etapa II)</t>
  </si>
  <si>
    <t>BIC intervenidos (Sede Casa Tito Etapa III)</t>
  </si>
  <si>
    <t>Total Recursos Voto Nacional Etapa II</t>
  </si>
  <si>
    <t>Total Recursos Voto Nacional Etapa III</t>
  </si>
  <si>
    <t>Total Recursos Monumentos en espacio público</t>
  </si>
  <si>
    <t>Total recursos Programa Fachadas</t>
  </si>
  <si>
    <t>01-146</t>
  </si>
  <si>
    <t>01- Recursos del Distrito 146 Recursos del balance de libre distinaciòn</t>
  </si>
  <si>
    <t>505-506-554-605-625-626-629-630-671</t>
  </si>
  <si>
    <t>T &amp; T TRANSITO Y TRANSPORTE INGENIERIA SAS</t>
  </si>
  <si>
    <t>YENNY ANDREA FORERO PEÑA</t>
  </si>
  <si>
    <t>LUIS MANUEL PALACIOS RODRIGUEZ</t>
  </si>
  <si>
    <t>898-903</t>
  </si>
  <si>
    <t>904-905</t>
  </si>
  <si>
    <t>JUAN PABLO BERNAL VERGARA</t>
  </si>
  <si>
    <t>JORGE ALEJANDRO MANCERA OBANDO</t>
  </si>
  <si>
    <t>Jaime  Caicedo Guerrero</t>
  </si>
  <si>
    <t>JOSE ALEXANDER PINZON RIVERA</t>
  </si>
  <si>
    <t>FABIAN FELIPE FORERO OSORIO</t>
  </si>
  <si>
    <t>POWERSUN S.A.S</t>
  </si>
  <si>
    <t xml:space="preserve">CONSORCIO MO BANDERAS 2019- FIDUBOGOTA SA CCA FIDUGOB   </t>
  </si>
  <si>
    <t>NANCY  ZAMORA- DIANA CONSTANZA DIAZ BAHAMON</t>
  </si>
  <si>
    <t>LILLIANA MARIA CALLE CARVAJAL-GIOVANNA  MORALES AGUIRRE</t>
  </si>
  <si>
    <t>ELSY ROCIO VIVAS BABATIVA- ALEXANDRA NAYIBE RUBIO RODRIGUEZ</t>
  </si>
  <si>
    <t>POSITIVA ARL</t>
  </si>
  <si>
    <t>FREDY ALEXANDER GAMEZ
RODRIGUEZ</t>
  </si>
  <si>
    <t>María Camila Ramirez Ramirez</t>
  </si>
  <si>
    <t>572-591-686</t>
  </si>
  <si>
    <t>ADICION AL CONTRATO N° 417 DE 2019 CUYO OBJETO ES: "(CÓD. 477) CONTRATAR EL ALQUILER DE EQUIPOS PARA TRABAJOS EN ALTURAS, PARA LA EJECUCIÓN DE LAS INTERVENCIONES TÉCNICAS DE ENLUCIMIENTO, LIMPIEZA Y MANTENIMIENTO DE LOS BIENES INMUEBLES Y MUEBLES UBICADOS EN EL ESPACIO PÚBLICO, DECLARADOS BIENES DE INTERÉS CULTURAL.</t>
  </si>
  <si>
    <t>NATALIA PATRICIA PINO LUIS</t>
  </si>
  <si>
    <t xml:space="preserve">ESRI COLOMBIA S. A. S.   </t>
  </si>
  <si>
    <t>Monumento Alameda</t>
  </si>
  <si>
    <t>Voto Nacional Etapa 2</t>
  </si>
  <si>
    <t>Voto Nacional Etapa 3</t>
  </si>
  <si>
    <t>Sede Casa Tito Etapa 2</t>
  </si>
  <si>
    <t>Sede Casa Tito Etapa 3</t>
  </si>
  <si>
    <t>Adición y prórroga al cto 340 de 2019 cuyo objeto es: Prestar servicios de apoyo a la gestión del Instituto Distrital de Patrimonio Cultural en la planificación, y ejecución y registro de resultados del portafolio de servicios educativos y culturales del Museo de Bogotá</t>
  </si>
  <si>
    <t>Adición y prórroga al cto 343 de 2019 cuyo objeto es: Prestar servicios de apoyo a la gestión al Instituto Distrital de Patrimonio Cultural en los procesos de digitalización de la Colección del Museo de Bogotá.</t>
  </si>
  <si>
    <t>Adición y prórroga al cto 344 de 2019 cuyo objeto es: Prestar servicios de apoyo a la gestión al Instituto Distrital de Patrimonio Cultural en los procesos de montaje y actividades logísticas requeridas por el Museo de Bogotá.</t>
  </si>
  <si>
    <t>Adición y prórroga al cto 376 de 2019 cuyo objeto es: Prestar servicios profesionales al Instituto Distrital de Patrimonio Cultural en la ejecución de los procesos de mediación y generación de contenidos pedagógicos del portafolio de servicios educativos.</t>
  </si>
  <si>
    <t>Adición y prórroga al cto 338 de 2019 cuyo objeto es: Prestar servicios de apoyo a la gestión al Instituto Distrital de Patrimonio Cultural en los trámites administrativos y operativos generados en la operación del Museo de Bogotá</t>
  </si>
  <si>
    <t>Adición y prórroga al cto 160 de 2019 cuyo objeto es: Prestar servicios profesionales al Instituto Distrital de Patrimonio Cultural para orientar la estrategia de apropiación social del patrimonio cultural.</t>
  </si>
  <si>
    <t>JUAN SEBASTIAN PINTO MUÑOZ</t>
  </si>
  <si>
    <t>Adición y prórroga al cto 240 de 2019 cuyo objeto es: Prestar servicios profesionales como abogado al Instituto Distrital de Patrimonio Cultural, para el acompañamiento jurídico de la Subdirección de Divulgación y Apropiación del Patrimonio acorde con la competencia funcional de la dependencia, manteniendo los  procesos y procedimientos de gestión jurídica definidos en la entidad.</t>
  </si>
  <si>
    <t>Adición y prórroga al cto 239 de 2019 cuyo objeto es: Prestar servicios profesionales al Instituto Distrital de Patrimonio Cultural para apoyar la formulación, actualización, seguimiento al proceso de planeación y las actividades relacionadas con el sistema integrado de gestión, de la Subdirección de Divulgación y Apropiación del Patrimonio.</t>
  </si>
  <si>
    <t xml:space="preserve">Adición y prórroga al cto 434 de 2019 cuyo objeto es: Prestar servicios profesionales al Instituto Distrital de Patrimonio Cultural para realizar actividades financieras y administrativas relacionadas con los proyectos de inversión a cargo de la Subdirección de Divulgación y Apropiación del Patrimonio. </t>
  </si>
  <si>
    <t>MARIA ALEJANDRA TORO VESGA</t>
  </si>
  <si>
    <t>CARLOS  LEMA POSADA</t>
  </si>
  <si>
    <t>CAROLINA DEL PILAR MARTINEZ PEÑA</t>
  </si>
  <si>
    <t>Adición y prórroga al cto 106 de 2019 cuyo objeto es: Prestar servicios profesionales al Instituto Distrital de Patrimonio Cultural para orientar las actividades periodísticas y de prensa requeridas en la estrategia de apropiación social del patrimonio cultural.</t>
  </si>
  <si>
    <t>Adición al contrato 195 cuyo objeto es: Prestar servicios profesionales al Instituto Distrital de Patrimonio Cultural para apoyar el diseño de piezas gráficas y de comunicación requeridas para la ejecución de la estrategia de comunicaciones de la entidad y de apropiación social del patrimonio cultural.</t>
  </si>
  <si>
    <t>Adición y prórroga al cto 188 cuyo objeto es : Prestar servicios profesionales al Instituto Distrital de Patrimonio Cultural para administrar y actualizar los contenidos de la página web y redes sociales de la entidad, así como la generación de contenidos requeridos para el desarrollo de la estrategia de comunicaciones y de apropiación social del patrimonio cultural.</t>
  </si>
  <si>
    <t>Adición y prórroga al cto 141 cuyo objeto es : Prestar servicios profesionales al Instituto Distrital de Patrimonio Cultural para orientar la ejecución de los proyectos editoriales y de investigación desarrollados en el marco de la estrategia de apropiación social del patrimonio cultural.</t>
  </si>
  <si>
    <t>Adición y prórroga al cto 345 de 2019 cuyo objeto es Prestar servicios profesionales al Instituto Distrital de Patrimonio Cultural en la ejecución de los procesos de mediación y generación de contenidos pedagógicos del portafolio de servicios educativos y culturales del Museo de Bogotá.</t>
  </si>
  <si>
    <t>Adición y prórroga al cto 346 de 2019 cuyo objeto es Prestar servicios profesionales al Instituto Distrital de Patrimonio Cultural en la ejecución de los procesos de mediación y generación de contenidos pedagógicos del portafolio de servicios educativos y culturales del Museo de Bogotá.</t>
  </si>
  <si>
    <t>Monumentos en espacio público  (Intervención y Protección en Monumentos del Distrito)</t>
  </si>
  <si>
    <t>Desarrollar actividades de obra necesarias como estrategia de conservación de monumentos y obras escultóricas del distrito capital.</t>
  </si>
  <si>
    <t>468-2018</t>
  </si>
  <si>
    <t>Prestar servicios profesionales  al Instituto Distrital de Patrimonio Cultural para apoyar los procesos de diseño de publicaciones del IDPC</t>
  </si>
  <si>
    <t>YESICA MILENA ACOSTA MOLINA</t>
  </si>
  <si>
    <t>Adición y Prorroga al Contrato 21 cuyo objeto es:(Cód. 307) Prestar servicios profesionales especializados al Instituto Distrital de Patrimonio Cultural, como apoyo jurídico a la evaluación de las solicitudes de intervención sobre Bienes y Sectores de Interés Cultural.</t>
  </si>
  <si>
    <t>Adición y Prorroga al Contrato 72 cuyo objeto es:(Cód. 288) Prestar servicios profesionales al Instituto Distrital de Patrimonio Cultural para orientar y apoyar la verificación técnica de la documentación expedida con ocasión de las solicitudes de intervención de anteproyectos y conceptos de norma en Bienes de Interés Cultural (BIC) de Bogotá que se radican ante la entidad.</t>
  </si>
  <si>
    <t>Adición y Prorroga al Contrato 73 cuyo objeto es:(Cód. 273) Prestar servicios de apoyo a la gestión al Instituto Distrital de Patrimonio Cultural para atención y notificación al usuario, y demás actividades administrativas de la Subdirección de Intervención.</t>
  </si>
  <si>
    <t>Adición y Prorroga al Contrato 75 cuyo objeto es:(Cód. 277) Prestar servicios profesionales especializados al Instituto Distrital de Patrimonio Cultural para orientar y apoyar la verificación técnica de la documentación expedida en relación a la evaluación y asesoría técnica de las solicitudes de intervención en Bienes de Interés Cultural del Distrito Capital.</t>
  </si>
  <si>
    <t>Adición y Prorroga al Contrato 107 cuyo objeto es:(Cód. 394) Prestar servicios profesionales al Instituto Distrital de Patrimonio Cultural para orientar el acompañamiento y seguimiento en el desarrollo del manejo arqueológico en los proyectos de Intervención en los que el Instituto se vea involucrado.</t>
  </si>
  <si>
    <t>Adición y Prorroga al Contrato 126 cuyo objeto es:(Cód. 292) Prestar servicios profesionales al Instituto Distrital de Patrimonio Cultural para apoyar las actividades de soporte técnico y evaluación de las solicitudes y acciones de control urbano que se presenten sobre BIC y SIC del Distrito Capital.</t>
  </si>
  <si>
    <t>Adición y Prorroga al Contrato 301 cuyo objeto es:(Cód. 310) Prestar servicios profesionales al Instituto Distrital de Patrimonio Cultural, en las actividades relacionadas con los trámites de evaluación de los proyectos de manejo y protección del patrimonio</t>
  </si>
  <si>
    <t>Adición y Prorroga al Contrato 17 cuyo objeto es:(Cód. 373) Prestar servicios de apoyo administrativo al Instituto Distrital de Patrimonio Cultural en los procesos contractuales de la Subdirección de Intervención.</t>
  </si>
  <si>
    <t>Adición y Prorroga al Contrato 255 cuyo objeto es:(Cód. 377) Prestar servicios profesionales al Instituto Distrital de Patrimonio Cultural apoyando la estructuración técnica de los procesos precontractuales para las acciones de gestión e intervención del patrimonio cultural del Distrito Capital.</t>
  </si>
  <si>
    <t>Adición y Prorroga al Contrato 30 cuyo objeto es:(Cód. 352)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</si>
  <si>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Adición y Prorroga al Contrato 65 cuyo objeto es:(Cód. 350)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</si>
  <si>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Adición y Prorroga al Contrato 66 cuyo objeto es:(Cód. 351)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</si>
  <si>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Adición y Prorroga al Contrato 67 cuyo objeto es:(Cód. 362) Prestar servicios profesionales al Instituto Distrital de Patrimonio Cultural para orientar, guiar y realizar el seguimiento técnico de las intervenciones adelantadas por la entidad en Bienes Muebles ubicados en el espacio público de Bogotá D.C.</t>
  </si>
  <si>
    <t>Adición y Prorroga al Contrato 70 cuyo objeto es:(Cód. 357) Prestar servicios profesionales al Instituto Distrital de Patrimonio Cultural para apoyar el seguimiento desde la disciplina de conservación - restauración a las actividades de mantenimiento, administración y conservación de los bienes muebles - inmuebles en el espacio público de Bogotá D.C.</t>
  </si>
  <si>
    <t>Adición y Prorroga al Contrato 78 cuyo objeto es:(Cód. 354)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</si>
  <si>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Adición y Prorroga al Contrato 71 cuyo objeto es:(Cód. 353)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</si>
  <si>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INGENIEROS CONSULTORES Y
CONSTRUCTORES ARG S A S</t>
  </si>
  <si>
    <t>MAVAGIRE S A</t>
  </si>
  <si>
    <t>LEA VANESSA ESQUIVEL PEÑA</t>
  </si>
  <si>
    <t>Prórroga, adición y modificación al contrato 32 de 2019 cuyo objeto es: Prestar servicios profesionales al Instituto Distrital de Patrimonio Cultural para apoyar las actividades relacionadas con el diseño gráfico y diagramación de las publicaciones y proyectos editoriales adelantados en el marco de la estrategia de apropiación social del patrimonio cultural.</t>
  </si>
  <si>
    <t>Prestar servicios profesionales al Instituto Distrital de Patrimonio Cultural  para apoyar la supervisión y seguimiento del componente Físico - Técnico, para el contrato resultado del Proceso IDPC-CMA-07-2019 , para la Fase I del PEMP, del Parque Nacional Olaya Herrera.</t>
  </si>
  <si>
    <t>Prestar servicios profesionales al Instituto Distrital de Patrimonio Cultural para apoyar la supervisión y seguimiento del componente Administrativo - Financiero, del contrato resultado del Proceso IDPC-CMA-07-2019, relacionado con la Fase I del PEMP, del Parque Nacional Olaya Herrera.</t>
  </si>
  <si>
    <t>CONSORCIO PARQUE NACIONAL 2019</t>
  </si>
  <si>
    <t>HAROL ANTONIO MORTIGO MORENO</t>
  </si>
  <si>
    <t>Ejecutar bajo la modalidad de precios unitarios fijos la intervención de conservación – restauración de la escultura denominada "Alameda", localizada en la localidad de Bosa en la ciudad de Bogotá.</t>
  </si>
  <si>
    <t>Prestar servicios profesionales al Instituto Distrital de Patrimonio Cultural para apoyar la elaboración de documentos técnicos de la propuesta normativa del Plan Especial de Manejo y Protección -PEMP- del Centro Histórico de Bogotá.</t>
  </si>
  <si>
    <t xml:space="preserve">Adición y Prórroga del Contrato No. 216 de 2019, cuyo objeto es: Prestar servicios profesionales al Instituto Distrital de Patrimonio Cultural para elaborar insumos arquitectónicos en la formulación de proyectos y del Plan Especial de Manejo y Protección -PEMP- del Centro Histórico de Bogotá D.C, a partir de la consolidación de la formulación del mismo. </t>
  </si>
  <si>
    <t xml:space="preserve">Adición y Prórroga del Contrato No. 192 de 2019, cuyo objeto es: Prestar servicios profesionales al Instituto Distrital de Patrimonio Cultural para orientar el direccionamiento estratégico de los planes, programas y proyectos del Instituto. </t>
  </si>
  <si>
    <t>Aunar esfuerzos técnicos, humanos, administrativos y financieros para el desarrollo del plan de exposiciones del Museo de Bogotá -MdB</t>
  </si>
  <si>
    <t>Contratar la ejecución de actividades para la puesta en funcionamiento del Museo de la Ciudad Autoconstruída-MCA</t>
  </si>
  <si>
    <t>Prestar servicios profesionales al Instituto Distrital de Patrimonio Cultural para acompañar los procesos de colorimetría requeridos para las imágenes que hacen parte de los proyectos editoriales de la entidad.</t>
  </si>
  <si>
    <t>613b</t>
  </si>
  <si>
    <t>KARIN JULIANA TORRES PINILLA- VICTOR ALFONSO GUERRERO MARTINEZ</t>
  </si>
  <si>
    <t>ANDREA JANETH DUARTE NAVARRETE- LEIDY LILIANA ROJAS CALDERON- DARIO FERDEY YAIMA TOCANCIPA</t>
  </si>
  <si>
    <t>JENNY GISELL QUEVEDO QUEVEDO- SANDRA YANETH ROMO BENAVIDES</t>
  </si>
  <si>
    <t>612b</t>
  </si>
  <si>
    <t>Realizar la interventoría integral de la obra cuyo objeto es: "Ejecutar bajo la modalidad de precios unitarios fijos la intervención de conservación – restauración de la escultura denominada "Alameda", localizada en la localidad de Bosa en la ciudad de Bogotá".</t>
  </si>
  <si>
    <t>Adición y Prórroga del Contrato No. 10 de 2019, cuyo objeto es: Prestar servicios profesionales jurídicos al Instituto Distrital de Patrimonio Cultural, para adelantar acciones jurídicas y de seguimiento contractual y administrativo relacionadas con los procesos liderados por la Subdirección General o quien haga sus veces.</t>
  </si>
  <si>
    <t>Adición y Prórroga del Contrato No. 12 de 2019, cuyo objeto es: Prestar servicios profesionales al Instituto Distrital de Patrimonio Cultural para apoyar los procesos administrativos de la Subdirección General o quien haga sus veces.</t>
  </si>
  <si>
    <t xml:space="preserve">Adición y Prórroga del Contrato No. 13 de 2019, cuyo objeto es: Prestar servicios de apoyo a la gestión al Instituto Distrital de Patrimonio Cultural para ejecutar actividades operativas requeridas por la Subdirección General o quien haga sus veces. </t>
  </si>
  <si>
    <t>Adición y Prórroga del Contrato No. 161 de 2019, cuyo objeto es: Prestar servicios profesionales al Instituto Distrital de Patrimonio Cultural para apoyar las actividades técnicas requeridas en aplicación del Sistema de Información Geográfica -SIG_PC-.</t>
  </si>
  <si>
    <t>Adición y Prórroga del Contrato No. 172 de 2019, cuyo objeto es: Prestar servicios profesionales al Instituto Distrital de Patrimonio Cultural para realizar acciones relacionadas con la implementación y consolidación del Sistema de Información Geográfica -SIG_PC-.</t>
  </si>
  <si>
    <t>Adición y prorroga al contrato No. 11 cuyo objeto es: Prestar servicios profesionales al Instituto Distrital de Patrimonio Cultural para apoyar las actividades requeridas en el seguimiento a la ejecución presupuestal de inversión y a las metas de los proyectos de inversión del Instituto.</t>
  </si>
  <si>
    <t>Adición y plrorroga el contrato No. 334 Cuyo objeto es Prestar servicios profesionales al Instituto Distrital de Patrimonio Cultural, para apoyar la ejecución del Plan de acción del Sistema Integrado de Gestión, SIG.</t>
  </si>
  <si>
    <t xml:space="preserve">Adición y prorroga al contrato No. 89 cuyo objeto es Prestar servicios profesionales al Instituto Distrital de Patrimonio Cultural para orientar y formular acciones para el fortalecimiento y mantenimiento del Subsistema de Gestión Ambiental en el marco del Sistema </t>
  </si>
  <si>
    <t>adición y prorroga al contrato No. 333 cuyo objeto es Prestar servicios profesionales al Instituto Distrital de Patrimonio Cultural, para apoyar la ejecución del Plan de adecuación y sostenibilidad del SIG-MIPG.</t>
  </si>
  <si>
    <t>Adición y prorroga al contrato 02 de 2019cuyo objeto es: (Cód. 199) Prestar servicios de apoyo a la gestión al Instituto Distrital de Patrimonio Cultural, en las actividades asistenciales que requiera la Asesoría Jurídica o quien haga sus veces.</t>
  </si>
  <si>
    <t>Adición y prorroga al contrato 05 de 2019cuyo objeto es: (Cód. 196) Prestar servicios de apoyo a la gestión al Instituto Distrital de Patrimonio Cultural en las actividades relacionadas con la implementación del SECOP II.</t>
  </si>
  <si>
    <t>Adición y prorroga al contrato 07 de 2019cuyo objeto es: (Cód. 154) Prestar servicios profesionales al Instituto Distrital de Patrimonio Cultural en las actividades relacionadas con la gestión financiera y presupuestal de la entidad.</t>
  </si>
  <si>
    <t>Adición y prorroga al contrato 08 de 2019cuyo objeto es: (Cód. 194) Prestar servicios profesionales al Instituto Distrital de Patrimonio Cultural, acompañando jurídicamente los procesos contractuales, así como la revisión, seguimiento y control de la gestión administrativa a cargo de la Subdirección de Gestión Corporativa.</t>
  </si>
  <si>
    <t>Adición y prorroga al contrato 27 de 2019cuyo objeto es: (Cód. 189) Prestar servicios de apoyo a la gestión al Instituto Distrital de Patrimonio Cultural en las actividades operativas relacionadas con la recepción, organización documental y de correspondencia de la entidad.</t>
  </si>
  <si>
    <t>Adición y prorroga al contrato 28 de 2019cuyo objeto es: (Cód. 142) Prestar servicios de apoyo a la gestión al Instituto Distrital de Patrimonio Cultural en las actividades operativas relacionadas con la recepción, organización documental y de correspondencia de la entidad.</t>
  </si>
  <si>
    <t>Adición y prorroga al contrato 29 de 2019cuyo objeto es: (Cód. 171) Prestar servicios de apoyo a la gestión al Instituto Distrital de Patrimonio Cultural en las actividades operativas relacionadas con la recepción, organización documental y de correspondencia de la entidad.</t>
  </si>
  <si>
    <t>Adición y prorroga al contrato 33 de 2019cuyo objeto es: (Cód. 148) Prestar servicios de apoyo a la gestión al Instituto Distrital de Patrimonio Cultural para apoyar a la Asesoría Jurídica o quien haga sus veces, en las actividades relacionadas con la organización y administración del archivo documental.</t>
  </si>
  <si>
    <t>Adición y prorroga al contrato 50 de 2019cuyo objeto es: (Cód. 156) Prestar servicios profesionales al Instituto Distrital de Patrimonio Cultural para brindar el apoyo jurídico requerido en las actuaciones disciplinarias que se adelanten dentro de los procesos de competencia de la entidad.</t>
  </si>
  <si>
    <t>Adición y prorroga al contrato 57 de 2019cuyo objeto es: (Cód. 121) Prestar servicios profesionales al Instituto Distrital de Patrimonio Cultural apoyando la aplicación de los lineamientos enmarcados en la Ley de Transparencia  y del Derecho de Acceso a la Información Pública.</t>
  </si>
  <si>
    <t xml:space="preserve">Adición y prorroga al contrato 59 de 2019cuyo objeto es: (Cód. 122) Prestar servicios profesionales al Instituto de Patrimonio Cultural para realizar acciones de soporte relacionadas con la gestión documental de la entidad y el aplicativo ORFEO. </t>
  </si>
  <si>
    <t>Adición y prorroga al contrato 88 de 2019cuyo objeto es: (Cód. 162) Prestar servicios de apoyo a la gestión al Instituto Distrital de Patrimonio Cultural en las actividades operativas requeridas en el área de almacén e inventarios.</t>
  </si>
  <si>
    <t>Adición y prorroga al contrato 109 de 2019cuyo objeto es: (Cód. 149) Prestar servicios profesionales al Instituto Distrital de Patrimonio Cultural para apoyar el proceso de modernización del Instituto, repuesta a peticiones, requerimientos de entes de control, y demás temas relacionados con la Gestión del Talento Humano de la entidad.</t>
  </si>
  <si>
    <t>695-727</t>
  </si>
  <si>
    <t>MARY ELIZABETH ROJAS MUÑOZ- LUIS CARLOS YUSTY TRUJILLO</t>
  </si>
  <si>
    <t>HAROLD JUSEP AGUDELO CASALLAS- MARY ELIZABETH ROJAS MUÑOZ</t>
  </si>
  <si>
    <t xml:space="preserve">Adición y prorroga al contrato 113 de 2019cuyo objeto es: (Cod. 131)Prestar servicios profesionales al Instituto Distrital de Patrimonio Cultural para apoyar las actividades relacionadas con la adquisición, actualización y mantenimiento de los sistemas de información e infraestructura tecnológica y las acciones de fortalecimiento e implementación de la estrategia de Gobierno en Línea. </t>
  </si>
  <si>
    <t>Adición y prorroga al contrato 114 de 2019cuyo objeto es: (Cód. 174) Prestar servicios de apoyo a la gestión al Instituto Distrital de Patrimonio Cultural en el desarrollo de actividades administrativas de la Subdirección de Gestión Corporativa.</t>
  </si>
  <si>
    <t>Adición y prorroga al contrato 121 de 2019cuyo objeto es: (Cód. 147) Prestar servicios de apoyo a la gestión al Instituto Distrital de Patrimonio Cultural, en las actividades operativas y de mantenimiento requeridas por la entidad.</t>
  </si>
  <si>
    <t>Adición y prorroga al contrato 130 de 2019cuyo objeto es: (Cód. 180) Prestar servicios profesionales al Instituto Distrital de Patrimonio Cultural en las actividades relacionadas con la vinculación, permanencia, retiro de los servidores públicos y demás temas relacionados con la gestión del talento humano de la entidad.</t>
  </si>
  <si>
    <t>Adición y prorroga al contrato 131 de 2019 cuyo objeto es: (Cód. 157) Prestar servicios de apoyo a la gestión al Instituto Distrital de Patrimonio Cultural en las actividades de soporte técnico del sistema de  información y tecnología de la entidad.</t>
  </si>
  <si>
    <t>Adición y prorroga al contrato 132 de 2019cuyo objeto es: (Cód. 128) Prestar servicios de apoyo a la gestión al Instituto Distrital de Patrimonio Cultural en la realización de las actividades de comunicación de la Subdirección de Gestión Corporativa.</t>
  </si>
  <si>
    <t>Adición y prorroga al contrato 136 de 2019cuyo objeto es: (Cód. 140) Prestación de servicios profesionales especializados al Instituto Distrital de Patrimonio Cultural para apoyar el cumplimiento de las actividades relacionadas con las responsabilidades financieras, presupuestales, contables, tributarias, contractuales y de control de la entidad.</t>
  </si>
  <si>
    <t>Adición y prorroga al contrato 137 de 2019cuyo objeto es: (Cód. 181) Prestar servicios profesionales al Instituto Distrital de Patrimonio Cultural para apoyar las actividades relacionadas con el procesamiento de datos que permita la obtención de información confiable y oportuna de carácter financiero, contable y tributario de la entidad.</t>
  </si>
  <si>
    <t>Adición y prorroga al contrato 167 de 2019cuyo objeto es: (Cód. 118b) Prestar servicios de apoyo a la gestión al Instituto Distrital de Patrimonio Cultural, en el desarrollo de las actividades relacionadas con la liquidación de prestaciones sociales y demás temas de la gestión del talento humano de la entidad.</t>
  </si>
  <si>
    <t>Adición y prorroga al contrato 175 de 2019cuyo objeto es: (Cód. 120) Prestar servicios de apoyo a la gestión  al Instituto Distrital de Patrimonio Cultural para ejecutar las actividades relacionadas con el Programa de gestión Documental - PGD  y el Plan Institucional de Archivos PINAR.</t>
  </si>
  <si>
    <t>Adición y prorroga al contrato 182 de 2019cuyo objeto es: (Cód. 145) Prestar servicios profesionales al Instituto Distrital de Patrimonio Cultural para apoyar a la Asesoría Jurídica o quien haga sus veces, en las actividades propias de sus funciones, especialmente las relacionadas con la etapa post-contractual.</t>
  </si>
  <si>
    <t>Adición y prorroga al contrato 193 de 2019cuyo objeto es: (Cód. 124) Prestar servicios de profesionales al Instituto Distrital de Patrimonio Cultural en las actividades relacionadas con la publicación y seguimiento de la actividad contractual en los portales de contratación.</t>
  </si>
  <si>
    <t>Adición y prorroga al contrato 211 de 2019cuyo objeto es: (Cód. 126b) Prestar servicios de apoyo a la gestión al Instituto Distrital de Patrimonio Cultural brindando atención al público en temas relacionados con los trámites de solicitudes requeridas a la entidad.</t>
  </si>
  <si>
    <t>Adición y prorroga al contrato 234 de 2019cuyo objeto es: (Cód. 150) Prestar servicios profesionales al Instituto Distrital de Patrimonio Cultural, en las actividades relacionadas con el seguimiento a los planes, los procesos y procedimientos de la Subdirección de Gestión Corporativa.</t>
  </si>
  <si>
    <t>Adición y prorroga al contrato 246 de 2019cuyo objeto es: (Cód. 437) Prestar servicios profesionales al Instituto Distrital de Patrimonio Cultural en las actividades relacionadas con el seguimiento y control de los planes, metas e indicadores de la Subdirección de Gestión Corporativa.</t>
  </si>
  <si>
    <t>Adición y prorroga al contrato 272 de 2019cuyo objeto es: (Cód. 135) Prestar servicios profesionales al Instituto Distrital de Patrimonio Cultural para apoyar las actividades relacionadas con el SDQS y la atención de PQRS de la entidad.</t>
  </si>
  <si>
    <t>Adición y prorroga al contrato 390 de 2019cuyo objeto es: (Cód. 540) Prestar servicios profesionales a la Subdirección de Gestión Corporativa para apoyar en el seguimiento y trámite de las actuaciones disciplinarias de competencia del Instituto Distrital de Patrimonio Cultural.</t>
  </si>
  <si>
    <t>Adición y prorroga al contrato 404 de 2019cuyo objeto es: (Cód. 552) Prestar servicios profesionales al Instituto Distrital de Patrimonio Cultural, en las diferentes fases de los procesos de selección (pre contractual, contractual y post contractual) y los demás trámites jurídicos que se requieran en la Oficina Asesora Jurídica.</t>
  </si>
  <si>
    <t>Adición y prorroga al contrato 06 de 2019cuyo objeto es: (Cód. 153) Prestar servicios profesionales al Instituto Distrital de Patrimonio Cultural para apoyar jurídicamente la proyección y trámites de documentos precontractuales requeridos por la Subdirección de Gestión Corporativa.</t>
  </si>
  <si>
    <t>Adción y prorroga al contrato No. 4 cuyo objeto es Prestar servicios profesionales al Instituto Distrital de Patrimonio Cultural para apoyar a la Asesoría Jurídica o quien haga sus veces, en la emisión de conceptos jurídicos, así como en la proyección y revisión de los documentos de índole jurídico que le sean asignados, y   apoyando los procesos de selección en todas las etapas de la gestión contractual, especialmente las relacionadas con la etapa post-contractual.</t>
  </si>
  <si>
    <t xml:space="preserve">Adición y prorroga al contrato No. 63 cuyo objeto es (Cód. 185) Prestar servicios de apoyo a la gestión al Instituto Distrital de Patrimonio Cultural para la organización de los archivos de la Entidad. </t>
  </si>
  <si>
    <t>Adición y prorroga al contrato 186 cuyo objeto es (Cód. 152) Prestar servicios profesionales al Instituto Distrital de Patrimonio Cultural, en las actividades de la asesoría de Control Interno incluidas en el Plan Anual de Auditorias.</t>
  </si>
  <si>
    <t>Adición y prorroga al contrato 323 de 2019 cuyo objeto es: 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</si>
  <si>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126B</t>
  </si>
  <si>
    <t>Adición y Prorroga al Contrato Nº96 cuyo objeto es:(Cód.371)Prestar servicios de apoyo a la gestión al Instituto Distrital de Patrimonio Cultural en la asistencia y desarrollo de actividades operativas de la Subdirección de Intervención.</t>
  </si>
  <si>
    <t>Adición y Prorroga al Contrato Nº353 cuyo objeto es:(Cód.514)Prestar servicios profesionales para apoyar al Instituto Distrital de Patrimonio Cultural en actividades técnicas y de seguimiento en los procesos de ejecución y terminación de proyectos de obra, interventoría o convenios ejecutados por el Instituto..</t>
  </si>
  <si>
    <t>Adición y Prorroga al Contrato Nº383 cuyo objeto es:(Cód.387)Prestar servicios profesionales al Instituto Distrital de Patrimonio Cultural para realizar el monitoreo, seguimiento y apoyo a los procesos y proyectos de intervención y/o protección de patrimonio cultural, para garantizar su desarrollo y cumplimiento.</t>
  </si>
  <si>
    <t>Adición y Prorroga al Contrato Nº18 cuyo objeto es:(Cód.385)Prestar servicios profesionales al Instituto Distrital de Patrimonio Cultural para el apoyo y acompañamiento jurídico en las etapas de estructuración, ejecución y liquidación de los contratos que requiera la subdirección de intervención de conformidad con las normas vigentes que rigen la contratación pública. </t>
  </si>
  <si>
    <t>Adición y Prorroga al Contrato Nº19 cuyo objeto es:(Cód.368)Prestar servicios al Instituto Distrital de Patrimonio Cultural para apoyar el seguimiento administrativo y jurídico de los procesos contractuales y proyectos de intervención a cargo de la Subdirección de Intervención.</t>
  </si>
  <si>
    <t>Adición y Prorroga al Contrato Nº332 cuyo objeto es:(Cód.513)Prestar servicios profesionales  como abogado en asuntos contractuales  y demas temas jurídicos que desarrolle la Subdireccion de Protección e Intervención del patrimonio  del IDPC</t>
  </si>
  <si>
    <t>Adición y Prorroga al Contrato Nº26 cuyo objeto es:(Cód.391)Prestar servicios profesionales para apoyar las actividades técnicas y operativas para el desarrollo de los proyectos de protección e intervención del patrimonio a cargo de la Subdirección de Intervención.</t>
  </si>
  <si>
    <t>Adición y Prorroga al Contrato Nº355 cuyo objeto es:(Cód.515)Prestar servicios profesionales especializados al Instituto Distrital de Patrimonio Cultural en la planeación estratégica y desarrollo de las acciones de intervención y protección del patrimonio cultural del Distrito Capital.</t>
  </si>
  <si>
    <t>Adición y Prorroga al Contrato Nº73 cuyo objeto es:(Cód.288)Prestar servicios de apoyo a la gestión al Instituto Distrital de Patrimonio Cultural para atención y notificación al usuario, y demás actividades administrativas de la Subdirección de Intervención.</t>
  </si>
  <si>
    <t>Adición y Prórroga N°1 al Contrato 210-2019: (Cód. 378) Prestar servicios profesionales al Instituto Distrital de Patrimonio Cultural en la planeación, seguimiento y control de la ejecución administrativa y de metas del proyecto de inversión de la Subdirección de Intervención.</t>
  </si>
  <si>
    <t>Adición y Prorroga Nº 2 al Contrato Nº75 cuyo objeto es:(Cód.277)Prestar servicios profesionales especializados al Instituto Distrital de Patrimonio Cultural para orientar y apoyar la verificación técnica de la documentación expedida en relación a la evaluación y asesoría técnica de las solicitudes de intervención en Bienes de Interés Cultural del Distrito Capital.</t>
  </si>
  <si>
    <t>Adición y Prorroga N°2 al Contrato Nº92 cuyo objeto es:(Cód.285)Prestar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</si>
  <si>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Prorroga N° 2 al Contrato Nº100 cuyo objeto es:(Cód.286)Prestar servicios profesionales al Instituto Distrital de Patrimonio Cultural para apoyar la revisión y acompañamiento del componente estructural y de ingeniería de las acciones y solicitudes de intervención en Bienes de Interés Cultural (BIC).</t>
  </si>
  <si>
    <t>Adición y Prorroga N°2 al Contrato Nº117 cuyo objeto es:(Cód.284)Prestar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</si>
  <si>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Prorroga N°2 al Contrato Nº254 cuyo objeto es:(Cód.290)Prestar servicios profesionales al Instituto Distrital de Patrimonio Cultural apoyando las actividades de elaboración y redacción de conceptos técnicos respecto a las normas aplicables para intervenciones sobre los inmuebles de interés cultural del Distrito Capital.</t>
  </si>
  <si>
    <t>Adición y Prorroga N°2 al Contrato Nº266 cuyo objeto es:(Cód.266)Prestar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</si>
  <si>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Prorroga al Contrato Nº293 cuyo objeto es:(Cód.278)Prestar servicios profesionales  al Instituto Distrital de Patrimonio Cultural en el desarrollo de actividades administrativas relativas a las actividades de asesoría técnica a terceros, revisión, evaluación, verificación y análisis de las solicitudes de intervención de los Bienes de Interés Cultural (BIC) del Distrito Capital.</t>
  </si>
  <si>
    <t>Adición y Prorroga N°2 al Contrato Nº128 cuyo objeto es:(Cód.309)Prestar servicios profesionales al Instituto Distrital de Patrimonio Cultural, como apoyo jurídico a la evaluación de las solicitudes de intervención sobre Bienes y Sectores de Interés Cultural.</t>
  </si>
  <si>
    <t>Adición y Prorroga N°2 al Contrato Nº379 cuyo objeto es:(Cód.522)Prestar servicios profesionales al Instituto Distrital de Patrimonio Cultural apoyando los tramites administrativos y conceptos técnicos utilizando normas aplicables para intervenciones sobre los inmuebles de interés cultural del Distrito Capital.</t>
  </si>
  <si>
    <t>Adición y Prorroga Nº 2 al Contrato Nº126 cuyo objeto es:(Cód.292)Prestar servicios profesionales al Instituto Distrital de Patrimonio Cultural para apoyar las actividades de soporte técnico y evaluación de las solicitudes y acciones de control urbano que se presenten sobre BIC y SIC del Distrito Capital.</t>
  </si>
  <si>
    <t>Adición y Prorroga al Contrato Nº464 cuyo objeto es:(Cód.584)Prestar servicios profesionales al Instituto Distrital de Patrimonio Cultural para orientar y verificar la evaluación patrimonial de las solicitudes de Intervención de bienes ubicados en el espacio público y en espacio público de sectores de interés cultural del D.C.</t>
  </si>
  <si>
    <t>Adición y Prorroga al Contrato Nº265 cuyo objeto es:(Cód.274)Prestar servicios profesionales al Instituto Distrital de Patrimonio Cultural para la implementación  y el fortalecimiento del Sistema de Información Geográfica - SIGPC, en la entidad</t>
  </si>
  <si>
    <t>Adición y Prorroga al Contrato Nº319 cuyo objeto es:(Cód.306)Prestar servicios profesionales al IDPC apoyando la generación de insumos técnicos para el componente de espacio público, de conformidad con las competencias del IDPC.</t>
  </si>
  <si>
    <t>Adición y Prorroga al Contrato Nº271 cuyo objeto es:(Cód.302)Prestar servicios profesionales al Instituto Distrital de Patrimonio Cultural, IDPC, para desarrollar actividades de gestión, formulación, evaluación y seguimiento de los planes, programas y proyectos relacionados con los instrumentos normativos y de planeamiento territorial, así como aquellos dirigidos a la protección de los bienes o sectores de interés cultural de la ciudad de Bogotá (PEMP), de conformidad con sus competencias.</t>
  </si>
  <si>
    <t>Adición y Prorroga al Contrato Nº64 cuyo objeto es:(Cód.272)Prestar servicios de apoyo a la gestión al Instituto Distrital de Patrimonio Cultural para el seguimiento y revisión de la radicación en debida forma de las solicitudes de trámites y servicios  para la evaluación de proyectos de intervención y atención al público a cargo de la Subdirección de Intervención.</t>
  </si>
  <si>
    <t>Adición N°2 y Prorroga N°1 al Contrato Nº212 cuyo objeto es:(Cód.298)Prestar servicios profesionales al Instituto Distrital de Patrimonio Cultural en el acompañamiento técnico y verificación de los proyectos de manejo y protección del patrimonio cultural, y solicitudes de inclusiones, exclusiones y cambios de categoria de BIC del Distrito Capital.</t>
  </si>
  <si>
    <t>381</t>
  </si>
  <si>
    <t>Adición y Prorroga al Contrato Nº292 cuyo objeto es:(Cód.340)Prestar servicios de apoyo a la gestión al Instituto Distrital de Patrimonio Cultural para la correcta ejecución de las intervenciones adelantadas por el Programa de enlucimiento de fachadas "El Patrimonio se Luce", de acuerdo con la programación establecida.</t>
  </si>
  <si>
    <t>Adición y Prorroga al Contrato Nº394 cuyo objeto es:(Cód.473)Prestar servicios de apoyo a la gestión al Instituto Distrital de Patrimonio Cultural para la correcta ejecución de las intervenciones adelantadas por el Programa de enlucimiento de fachadas "El Patrimonio se Luce", de acuerdo con la programación establecida.</t>
  </si>
  <si>
    <t>Adición y Prorroga al Contrato Nº397 cuyo objeto es:(Cód.471)Prestar servicios de apoyo a la gestión al Instituto Distrital de Patrimonio Cultural para la correcta ejecución de las intervenciones adelantadas por el Programa de enlucimiento de fachadas "El Patrimonio se Luce", de acuerdo con la programación establecida.</t>
  </si>
  <si>
    <t>Adición y Prorroga al Contrato Nº398 cuyo objeto es:(Cód.472)Prestar servicios de apoyo a la gestión al Instituto Distrital de Patrimonio Cultural para la correcta ejecución de las intervenciones adelantadas por el Programa de enlucimiento de fachadas "El Patrimonio se Luce", de acuerdo con la programación establecida.</t>
  </si>
  <si>
    <t>Adición y Prorroga al Contrato Nº399 cuyo objeto es:(Cód.470)Prestar servicios de apoyo a la gestión al Instituto Distrital de Patrimonio Cultural para el monitoreo de las acciones de intervención adelantadas en el marco del Programa de enlucimiento de fachadas "El Patrimonio se Luce", de acuerdo con la programación establecida.</t>
  </si>
  <si>
    <t>Adición y Prorroga al Contrato Nº423 cuyo objeto es:(Cód.474)Prestar servicios de apoyo a la gestión al Instituto Distrital de Patrimonio Cultural para la correcta ejecución de las intervenciones adelantadas por el Programa de enlucimiento de fachadas "El Patrimonio se Luce", de acuerdo con la programación establecida.</t>
  </si>
  <si>
    <t>Adición y Prorroga al Contrato Nº99 cuyo objeto es:(Cód.342)Prestar servicios profesionales al Instituto Distrital de Patrimonio Cultural para apoyar el seguimiento en obra de las jornadas de enlucimiento que realice el programa de Fachadas y de las acciones de intervención sobre Bienes de Interés Cultural en espacio público.</t>
  </si>
  <si>
    <t>Adición y Prorroga al Contrato Nº110 cuyo objeto es:(Cód.343)Prestar servicios profesionales al Instituto Distrital de Patrimonio Cultural para apoyar el seguimiento técnico y administrativo en sitio de las intervenciones adelantadas por el Programa de Enlucimiento de Fachadas.</t>
  </si>
  <si>
    <t xml:space="preserve">Adición y Prorroga al Contrato Nº118 cuyo objeto es:(Cód.331)Prestar servicios de apoyo a la gestión al Instituto Distrital de Patrimonio Cultural en la administración, el recibo y/o entrega de materiales, herramienta y equipos, control de inventarios y el buen uso de los mismos; en el marco de las acciones del Programa de Enlucimiento de Fachadas. </t>
  </si>
  <si>
    <t xml:space="preserve">Adición y Prorroga al Contrato Nº439 cuyo objeto es:(Cód.467)Prestar servicios de apoyo a la gestión al Instituto Distrital de Patrimonio Cultural en áreas de seguridad industrial y acompañamiento en las labores de campo adelantadas por la Subdirección de Intervención. </t>
  </si>
  <si>
    <t xml:space="preserve">Adición y Prorroga al Contrato Nº220 cuyo objeto es:(Cód.356)Prestar servicios profesionales al Instituto Distrital de Patrimonio Cultural para apoyar el seguimiento desde la disciplina de conservación - restauración a las actividades de mantenimiento, administración y conservación de los bienes muebles - inmuebles en el espacio público de Bogotá D.C. </t>
  </si>
  <si>
    <t>Adición y Prorroga al Contrato Nº221 cuyo objeto es:(Cód.349)Prestar servicios de apoyo a la gestión al Instituto Distrital de Patrimonio Cultural para la correcta ejecución de las intervenciones adelantadas sobre bienes muebles en espacio público, de acuerdo con la programación establecida.</t>
  </si>
  <si>
    <t>Adición y Prorroga al Contrato Nº224 cuyo objeto es:(Cód.363)Prestar servicios profesionales al Instituto Distrital de Patrimonio Cultural para realizar la gestión interinstitucional (público-privada) del Programa Adopta un Monumento para la protección, mantenimiento, administración y conservación de los bienes muebles - inmuebles en el espacio público de Bogotá, D.C.</t>
  </si>
  <si>
    <t>Adición al contrato de obra IDPC-OB-442-2019 cuyo objeto es: “(Cód. 501) Realizar las obras de intervención de conservación y restauración del conjunto escultórico del Monumento a las Banderas del escultor Alonso Neira Martínez”</t>
  </si>
  <si>
    <t>Adición y prórroga al cto 159 cuyo objeto es : Prestar servicios profesionales al Instituto Distrital de Patrimonio Cultural para orientar los procesos de formación en patrimonio cultural, en el marco del proyecto de inversión 1024 - Formación en patrimonio cultural.</t>
  </si>
  <si>
    <t>Adición y prórroga al contrato 195 cuyo objeto es: Prestar servicios profesionales al Instituto Distrital de Patrimonio Cultural para apoyar el diseño de piezas gráficas y de comunicación requeridas para la ejecución de la estrategia de comunicaciones de la entidad y de apropiación social del patrimonio cultural.</t>
  </si>
  <si>
    <t>Aunar esfuerzos técnicos, humanos, administrativos y financieros para el desarrollo del plan de exposiciones del Museo de Bogotá-MdB.</t>
  </si>
  <si>
    <t>LILIANA MARCELA PAMPLONA ROMERO</t>
  </si>
  <si>
    <t>Adición y prórroga al cto 35 de 2019 cuyo objeto es: Prestar servicios profesionales al Instituto Distrital de Patrimonio Cultural para orientar la estructuración e implementación de las acciones de fomento a las prácticas del patrimonio cultural.</t>
  </si>
  <si>
    <t>714-730</t>
  </si>
  <si>
    <t>750-795</t>
  </si>
  <si>
    <t>CARLOS FERNANDO VACCA RAMOS</t>
  </si>
  <si>
    <t>JOSE FEDERICO GOMEZ DE LOS RIOS</t>
  </si>
  <si>
    <t>CRISTINA  MAMPASO CERRILLOS</t>
  </si>
  <si>
    <t>CLAUDIA ESPERANZA DIAZ BOJACA</t>
  </si>
  <si>
    <t>ERIKA MARIA BLANCO VARGAS</t>
  </si>
  <si>
    <t>YESICA STEFANNY CONTRERAS PEÑA</t>
  </si>
  <si>
    <t>Adición y prórroga del contrato 218 de 2019 cuto objeto es  Cód. Control 393Prestar servicios profesionales al Instituto Distrital de Patrimonio Cultural para apoyar el desarrollo y seguimiento del manejo arqueológico en los proyectos de Intervención en los que el Instituto se vea involucrado.</t>
  </si>
  <si>
    <t>Adición y prórroga cto 305 de 2019 Prestar los servicios requeridos por el Instituto Distrital de Patrimonio Cultural para atender las actividades y proyectos relacionados con la formación y divulgación del patrimonio cultural del Distrito Capital.</t>
  </si>
  <si>
    <t xml:space="preserve">Adición, prórroga y modificación al cto 469 de 2019 cuyo objeto es prestar servicios profesionales como arquitecto al Instituto Distrital de Patrimonio Cultural para desarrollar actividades técnicas y operativas del Proyecto de Museo Renovado </t>
  </si>
  <si>
    <t>Adicion 1 y Prorroga 1 al contrato de obra IDPC-OB-426-2019 cuyo objeto es: Ejecución de la tercera etapa de las obras complementarias para el funcionamiento de la Plaza de Mercado Distrital La Concordia y la conexión vertical con la Galería de Arte Santa Fe, ubicadas en la carrera 1a # 14 - 42 (antigua) / calle 12c # 1 - 40 (nueva), en la ciudad de Bogotá D.C.</t>
  </si>
  <si>
    <t xml:space="preserve"> Adicion 1 al contrato de interventoria IDPC-INT-430-2019 cuyo objeto es: (Cód. 462). Realizar la interventoría integral de la obra cuyo objeto es: Ejecución de la tercera etapa de las obras complementarias para el funcionamiento de la Plaza de Mercado Distrital La Concordia y la conexión vertical con la Galería de Arte Santa Fe, ubicadas en la carrera 1a # 14 - 42 (antigua) / calle 12c # 1 - 40 (nueva), en la ciudad de Bogotá D.C.</t>
  </si>
  <si>
    <t>4 - Recursos Administrados 20 - Administrados de Destinación Específica</t>
  </si>
  <si>
    <t>Reducción de recursos</t>
  </si>
  <si>
    <t>Adición y Prorroga N°2 al Contrato N°270 (Cód.305) Prestar servicios profesionales al IDPC, para apoyar  las actividades relacionadas con el componente urbano y de espacio público de los planes, programas y proyectos, de conformidad con las competencias del IDPC.</t>
  </si>
  <si>
    <t>Adición y Prórroga  N°2 al Contrato 105-2019 (Cód.295) Prestar servicios profesionales al Instituto Distrital de Patrimonio Cultural para apoyar las actividades de soporte técnico y evaluación de las solicitudes de equiparación a estrato 1 y de control urbano de intervenciones en BIC.</t>
  </si>
  <si>
    <t>Adición y Prorroga N°2 al Contrato Nº293 cuyo objeto es:(Cód.278) Prestar servicios profesionales  al Instituto Distrital de Patrimonio Cultural en el desarrollo de actividades administrativas relativas a las actividades de asesoría técnica a terceros, revisión, evaluación, verificación y análisis de las solicitudes de intervención de los Bienes de Interés Cultural (BIC) del Distrito Capital.</t>
  </si>
  <si>
    <t>Adición y Prórroga al Contrato N° 98 (Cód.346) Prestar servicios profesionales al Instituto Distrital de Patrimonio Cultural para orientar y verificar la implementación de las acciones de intervención y protección del Programa El Patrimonio se Luce.</t>
  </si>
  <si>
    <t>MICROTRON S.A.S</t>
  </si>
  <si>
    <t>CAMILO ERNESTO VELILLA GOENAGA</t>
  </si>
  <si>
    <t>VICTOR ALFONSO GUERRERO MARTINEZ- KARIN JULIANA TORRES PINILLA-</t>
  </si>
  <si>
    <t>Adición y prórroga al contrato 86 de 2019 cuyo objeto es: (Cód. 160) Prestar servicios profesionales al Instituto Distrital de Patrimonio Cultural para apoyar la Implementacion del modelo de participación ciudadana y control social.</t>
  </si>
  <si>
    <t>Adición y prórroga al contrato 133 de 2019 cuyo objeto es: Prestar servicios profesionales al Instituto Distrital de Patrimonio Cultural apoyando la proyección y trámite de los documentos precontractuales, seguimiento, control y modificaciones al plan de adquisiciones de la Subdirección de Gestión Corporativa.</t>
  </si>
  <si>
    <t>Adición y prórroga del contrato 09 de 2019 cuyo objeto es: Prestar servicios profesionales al Instituto Distrital de Patrimonio Cultural para apoyar jurídicamente en la realización de las actividades de la gestión del Talento Humano de la entidad.</t>
  </si>
  <si>
    <t>Adición y prorroga al contrato 139 cuyo objeto es: (Cód. 192) Prestar servicios profesionales al Instituto Distrital de Patrimonio Cultural en las actividades relacionadas con el mantenimiento preventivo y correctivo de los bienes muebles e inmuebles propiedad de la entidad.</t>
  </si>
  <si>
    <t>783-826</t>
  </si>
  <si>
    <t>Adición y Prorroga al Contrato Nº381 cuyo objeto es:(Cód.519)Prestar servicios profesionales al Instituto Distrital de Patrimonio Cultural  para realizar el apoyo técnico del proyecto de intervención de BIC Voto Nacional.</t>
  </si>
  <si>
    <t>Prestar servicios profesionales al Instituto Distrital de Patrimonio Cultural  para realizar el apoyo técnico del proyecto de intervención de BIC Voto Nacional.</t>
  </si>
  <si>
    <t xml:space="preserve">CONSORCIO PANORAMA   </t>
  </si>
  <si>
    <t>JULIE VIVIANA MORALES FIQUITIVA</t>
  </si>
  <si>
    <t>305-2018</t>
  </si>
  <si>
    <t>UNION TEMPORAL ANE 2018</t>
  </si>
  <si>
    <t>767-840</t>
  </si>
  <si>
    <t xml:space="preserve">Adición y prorroga al contrato 82 cuyo objeto es (Cód. 183) Prestar servicios de apoyo a la gestión al Instituto Distrital de Patrimonio Cultural para la organización de los archivos de la Entidad. </t>
  </si>
  <si>
    <t>764-846</t>
  </si>
  <si>
    <t>810-849</t>
  </si>
  <si>
    <t>848-850</t>
  </si>
  <si>
    <t>315-369-420-487-598-686-744-822-946</t>
  </si>
  <si>
    <t>315-369-420-487-598-686-822-946</t>
  </si>
  <si>
    <t>Adición y Prorroga al Contrato N°489 (Cód.610) Prestar sus servicios profesionales al IDPC para apoyar en el seguimiento técnico y administrativo de los procesos y proyectos de intervención y protección del patrimonio cultural, para garantizar su desarrollo, cumplimiento y correcta finalizacion.</t>
  </si>
  <si>
    <t>Adición y Prorroga al Contrato Nº 454 cuyo objeto es:(Cód.313) Prestar servicios profesionales de apoyo a la supervisión al proyecto de primeros auxilios del inmueble denominado Casa Colorada.</t>
  </si>
  <si>
    <t>Adición y Prorroga al Contrato Nº 331 cuyo objeto es:(Cód.358) Prestar servicios profesionales a la gestión al Instituto Distrital de Patrimonio Cultural en el desarrollo de actividades administrativas relativas a las intervenciones adelantadas sobre bienes muebles en espacio público de Bogotá D.C.</t>
  </si>
  <si>
    <t>Adición y Prorroga al Contrato Nº 330 cuyo objeto es:(Cód.478)  Prestar servicios profesionales como arquitecto al Instituto Distrital de Patrimonio Cultural, en temas relacionados con estructuración y ejecución de obras en proyectos de conservación y restauración en Bienes de Interés Cultural del D.C.</t>
  </si>
  <si>
    <t>Adición y Prorroga al Contrato Nº 200 cuyo objeto es:(Cód.345) Prestar servicios profesionales al Instituto Distrital de Patrimonio Cultural para apoyar las acciones de intervención sobre fachadas y espacio público.</t>
  </si>
  <si>
    <t xml:space="preserve"> Adición y prórroga al contrato  No 444 de 2019 cuyo objeto es: (Cód. 502) Realizar la interventoría integral de la obra cuyo objeto es: "Realizar las obras de intervención, de conservación y restauración del conjunto escultórico del Monumento a las Banderas del escultor Alonso Neira Martínez".</t>
  </si>
  <si>
    <t>Adición y prorroga al contrato 01 cuyo objetos es: (Cód. 117) Prestar servicios profesionales al Instituto Distrital de Patrimonio Cultural en el apoyo jurídico que requiera la entidad en las etapas precontractual, contractual y post-contractual.</t>
  </si>
  <si>
    <t>Adición No. 2 y prorroga No. 2 al contrato 06 cuyo objeto es (Cód. 153) Prestar servicios profesionales al Instituto Distrital de Patrimonio Cultural para apoyar jurídicamente la proyección y trámites de documentos precontractuales requeridos por la Subdirección de Gestión Corporativa.</t>
  </si>
  <si>
    <t>Adición y prorroga al contrato 129 cuyo objeto es (Cód. 127) Prestar servicios profesionales al Instituto Distrital de Patrimonio Cultural apoyando la aplicación de la Política Pública Distrital de Servicio a la Ciudadanía y la implementación del Modelo de atención a la ciudadanía de la entidad.</t>
  </si>
  <si>
    <t>Adicionar, prorrogar y modificar el contrato 245 de 2019 cuyo objeto es : Prestar servicios profesionales al Instituto Distrital de Patrimonio Cultural, apoyando a la Subdirección de Divulgación y Apropiación del Patrimonio en la administración de los aplicativos y gestión de alianzas que involucren el componente de TIC’s en la divulgación del patrimonio cultural.</t>
  </si>
  <si>
    <t>Adición y Prórroga del Contrato 500 de 2019, cuyo objeto es: Prestar servicios profesionales al Instituto Distrital de Patrimonio Cultural para apoyar la elaboración de documentos técnicos de la propuesta normativa del Plan Especial de Manejo y Protección -PEMP- del Centro Histórico de Bogotá.</t>
  </si>
  <si>
    <t>Adición y Prórroga del Contrato 403 de 2019, cuyo objeto es:Prestar servicios profesionales al Instituto Distrital de Patrimonio Cultural para apoyar el desarrollo de insumos técnicos para la consolidación de los instrumentos normativos complementarios al Plan Especial de Manejo y Protección -PEMP- del Centro Histórico de Bogotá D.C.</t>
  </si>
  <si>
    <t>BIC intervenidos ARL</t>
  </si>
  <si>
    <t xml:space="preserve"> </t>
  </si>
  <si>
    <t>Adición y Prórroga 2 al Contrato 21 cuyo objeto es:(Cód. 307) Prestar servicios profesionales especializados al Instituto Distrital de Patrimonio Cultural, como apoyo jurídico a la evaluación de las solicitudes de intervención sobre Bienes y Sectores de Interés Cultural.</t>
  </si>
  <si>
    <t>760-859</t>
  </si>
  <si>
    <t>292-326-346-401-461-519-554-599-656-718-847-865</t>
  </si>
  <si>
    <t>657-830-869</t>
  </si>
  <si>
    <t>292-326-346-401-461-519-554-599-656-718-847-865-875</t>
  </si>
  <si>
    <t>878-958</t>
  </si>
  <si>
    <t>550-641-703-833-867-878</t>
  </si>
  <si>
    <t>551-642-832-868-879</t>
  </si>
  <si>
    <t>3-57-58-131-132-157-360-376-385-415-417-434-411-407-424-599-603-605-610-654-674-691-695-703-706-728-742-743-775-777-785-804-811-816-828-867-879-883-886-901-910-923-941-942-954-955-971-974-985-999-1020-1032-1041-1042</t>
  </si>
  <si>
    <t>VILLEGAS Y VILLEGAS IVEGAS S.A.S</t>
  </si>
  <si>
    <t xml:space="preserve">OFI ARCHIVOS SAS   </t>
  </si>
  <si>
    <t>363-2017</t>
  </si>
  <si>
    <t>544-545-629-712-767-768-809-1138</t>
  </si>
  <si>
    <t>Factura 19130-2539-2730-20657-2822-3295</t>
  </si>
  <si>
    <t>JUAN PABLO DORADO MARTINEZ</t>
  </si>
  <si>
    <t>DIEGO AUGUSTO FERNANDEZ PRICE-DANIEL FELIPE GUTIERREZ VARGAS</t>
  </si>
  <si>
    <t>292-383-426-497-623-770-826-893-969-1081-1203</t>
  </si>
  <si>
    <t>495-622-681-773-825-896-967-1079-1201</t>
  </si>
  <si>
    <t>894-970-1082-1204</t>
  </si>
  <si>
    <t>485-561-596-642-685-702-820-944-1000</t>
  </si>
  <si>
    <t>316-382-419-486-560-597-624-684-748-821-945-1001</t>
  </si>
  <si>
    <t>293-368-425-496-621-682-824-968-1080-1202</t>
  </si>
  <si>
    <t>HELBERT MAURICIO GUZMAN MATIAS-ANDERSON  MARTINEZ VAHOS</t>
  </si>
  <si>
    <t>Oscar Mario Yusty Trujillo-DANILO  SANCHEZ SUARIQUE</t>
  </si>
  <si>
    <t>JULIE VIVIANA MORALES FIQUITIVA-HELBERT MAURICIO GUZMAN MATIAS- EDWARD DAVID BARON AVILA- JENNY GISELL QUEVEDO QUEVEDO</t>
  </si>
  <si>
    <t>JULIE VIVIANA MORALES FIQUITIVA-HELBERT MAURICIO GUZMAN MATIAS- JENNY GISELL QUEVEDO QUEVEDO</t>
  </si>
  <si>
    <t>745-825-947-1003</t>
  </si>
  <si>
    <t>878-1123</t>
  </si>
  <si>
    <t>GERMAN  TELLEZ CASTAÑEDA</t>
  </si>
  <si>
    <t>SECRETARIA DISTRITAL DE CULTURA RECREACION Y DEPORTE</t>
  </si>
  <si>
    <t>DIANA SOPHIA RAYO TORRES</t>
  </si>
  <si>
    <t>DIEGO AUGUSTO FERNANDEZ PRICE</t>
  </si>
  <si>
    <t>513</t>
  </si>
  <si>
    <t xml:space="preserve">CONSORCIO CASA TITO   </t>
  </si>
  <si>
    <t xml:space="preserve">CONSORCIO ALAMEDA 2020   </t>
  </si>
  <si>
    <t>01-12</t>
  </si>
  <si>
    <t>04-01 0185</t>
  </si>
  <si>
    <t>COMPONENTES EBI-D</t>
  </si>
  <si>
    <t>PASIVOS</t>
  </si>
  <si>
    <t>ARQUEOLOGICO</t>
  </si>
  <si>
    <t>ASESORIA</t>
  </si>
  <si>
    <t>FACHADAS</t>
  </si>
  <si>
    <t>MONUMENTOS</t>
  </si>
  <si>
    <t xml:space="preserve">APOYO </t>
  </si>
  <si>
    <t>BIC INMUEBLES + ARL</t>
  </si>
  <si>
    <t>ACTUALIZADO 4 TRIMESTRE</t>
  </si>
  <si>
    <t>POAI</t>
  </si>
  <si>
    <t>SEGPLAN</t>
  </si>
  <si>
    <t>121. Niños, niñas y adolescentes formados en la Cátedra de Patrimonio Cultural</t>
  </si>
  <si>
    <t>122. Docentes del Distrito Capital formados en la Cátedra de Patrimonio Cultural</t>
  </si>
  <si>
    <t>123. Experiencia de formación en Cátedra de Patrimonio Cultural sistematizada</t>
  </si>
  <si>
    <t>Indicador PMR</t>
  </si>
  <si>
    <t>108. Número de asistentes a la oferta pública en actividades del patrimonio cultural</t>
  </si>
  <si>
    <t>124. Número de estímulos otorgados a iniciativas de la ciudadanía en temas de patrimonio
cultural.</t>
  </si>
  <si>
    <t>29. Número de actividades ofrecidas que contribuyan a activar el patrimonio cultural, para
su divulgación y apropiación</t>
  </si>
  <si>
    <t>128. Adecuación y sostenibilidad del SIG-MIPG</t>
  </si>
  <si>
    <t>30. Número de instrumentos de planeación y gestión formulados y adoptados, para la
preservación y sostenibilidad del patrimonio cultural</t>
  </si>
  <si>
    <t>104. Número de inmuebles de interés cultural intervenidos por accion directa</t>
  </si>
  <si>
    <t>105. Número de bienes muebles - inmuebles en el espacio público recuperados por acción</t>
  </si>
  <si>
    <t xml:space="preserve">28. Número de incentivos a la permanencia del uso residencial en Bienes de Interés Cultural del Distrito Capital con declaratoria individual.
100. Número de conceptos técnicos emitidos.
101. Número de Asesorias técnicas realizadas.
</t>
  </si>
  <si>
    <t>Atender a 2.987 niños/as y adolescentes través de la formación en patrimonio cultural dentro del programa de la jornada única y estrategias de uso del tiempo escolar</t>
  </si>
  <si>
    <t>Capacitar a 10 docentes como formadores de la cátedra de patrimonio, dentro del programa de la jornada única y como estrategias de uso del tiempo escolar</t>
  </si>
  <si>
    <t xml:space="preserve">Lograr 173.434 asistentes a la oferta generada por el Instituto en actividades de patrimonio cultural </t>
  </si>
  <si>
    <t>Apoyar 47 iniciativas de la ciudadanía en temas de patrimonio cultural.</t>
  </si>
  <si>
    <t>Ofrecer 1.180 actividades que contribuyan a activar el patrimonio cultural</t>
  </si>
  <si>
    <t>1.604 Bienes de Interés Cultural (BIC) intervenidos</t>
  </si>
  <si>
    <t xml:space="preserve">Intervenir 461,29 Bienes de Interés Cultural  (BIC) del D.C. a través de obras de adecuación, ampliación, conservación, consolidación estructural, rehabilitación y mantenimiento y/o restauración  </t>
  </si>
  <si>
    <t xml:space="preserve">Intervenir461,29 Bienes de Interés Cultural  (BIC) del D.C. a través de obras de adecuación, ampliación, conservación, consolidación estructural, rehabilitación y mantenimiento y/o restauración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</si>
</sst>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 #,##0.00_ ;_ * \-#,##0.00_ ;_ * &quot;-&quot;??_ ;_ @_ "/>
    <numFmt numFmtId="165" formatCode="[$$-240A]\ #,##0"/>
    <numFmt numFmtId="166" formatCode="#,##0_ ;\-#,##0\ "/>
    <numFmt numFmtId="167" formatCode="_ * #,##0_ ;_ * \-#,##0_ ;_ * &quot;-&quot;_ ;_ @_ "/>
    <numFmt numFmtId="168" formatCode="_ * #,##0_ ;_ * \-#,##0_ ;_ * &quot;-&quot;??_ ;_ @_ "/>
    <numFmt numFmtId="169" formatCode="000"/>
    <numFmt numFmtId="170" formatCode="dd/mm/yyyy;@"/>
    <numFmt numFmtId="171" formatCode="0000"/>
    <numFmt numFmtId="172" formatCode="d/mm/yyyy;@"/>
    <numFmt numFmtId="173" formatCode="#,##0;[Red]#,##0"/>
    <numFmt numFmtId="174" formatCode="0_ ;\-0\ "/>
    <numFmt numFmtId="175" formatCode="0.0%"/>
  </numFmts>
  <fonts count="81">
    <font>
      <sz val="10"/>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b/>
      <sz val="10"/>
      <color indexed="10"/>
      <name val="Arial"/>
      <family val="2"/>
    </font>
    <font>
      <b/>
      <sz val="9"/>
      <name val="Arial"/>
      <family val="2"/>
    </font>
    <font>
      <b/>
      <sz val="10"/>
      <color theme="1"/>
      <name val="Arial"/>
      <family val="2"/>
    </font>
    <font>
      <sz val="10"/>
      <color rgb="FFFF0000"/>
      <name val="Arial"/>
      <family val="2"/>
    </font>
    <font>
      <b/>
      <sz val="10"/>
      <color rgb="FFFF0000"/>
      <name val="Arial"/>
      <family val="2"/>
    </font>
    <font>
      <b/>
      <sz val="9"/>
      <color rgb="FFFF0000"/>
      <name val="Arial"/>
      <family val="2"/>
    </font>
    <font>
      <sz val="10"/>
      <color theme="1"/>
      <name val="Arial"/>
      <family val="2"/>
    </font>
    <font>
      <b/>
      <sz val="9"/>
      <color theme="1"/>
      <name val="Arial"/>
      <family val="2"/>
    </font>
    <font>
      <sz val="9"/>
      <name val="Arial"/>
      <family val="2"/>
    </font>
    <font>
      <b/>
      <sz val="10"/>
      <color theme="1"/>
      <name val="Arial1"/>
    </font>
    <font>
      <sz val="10"/>
      <color rgb="FFFF0000"/>
      <name val="Arial1"/>
    </font>
    <font>
      <b/>
      <sz val="10"/>
      <color indexed="8"/>
      <name val="Arial1"/>
    </font>
    <font>
      <sz val="10"/>
      <color indexed="8"/>
      <name val="Arial1"/>
    </font>
    <font>
      <sz val="10"/>
      <color theme="1"/>
      <name val="Arial1"/>
    </font>
    <font>
      <sz val="9"/>
      <color theme="1"/>
      <name val="Arial"/>
      <family val="2"/>
    </font>
    <font>
      <b/>
      <sz val="8"/>
      <name val="Arial"/>
      <family val="2"/>
    </font>
    <font>
      <sz val="8"/>
      <name val="Arial"/>
      <family val="2"/>
    </font>
    <font>
      <b/>
      <sz val="20"/>
      <name val="Arial"/>
      <family val="2"/>
    </font>
    <font>
      <sz val="11"/>
      <name val="Arial"/>
      <family val="2"/>
    </font>
    <font>
      <b/>
      <sz val="9"/>
      <color theme="1"/>
      <name val="Calibri"/>
      <family val="2"/>
    </font>
    <font>
      <sz val="9"/>
      <color theme="1"/>
      <name val="Calibri"/>
      <family val="2"/>
    </font>
    <font>
      <b/>
      <sz val="11"/>
      <name val="Arial"/>
      <family val="2"/>
    </font>
    <font>
      <b/>
      <sz val="10"/>
      <color rgb="FFFF0000"/>
      <name val="Ari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1"/>
    </font>
    <font>
      <u/>
      <sz val="9"/>
      <name val="Arial"/>
      <family val="2"/>
    </font>
    <font>
      <b/>
      <sz val="9"/>
      <color indexed="10"/>
      <name val="Arial"/>
      <family val="2"/>
    </font>
    <font>
      <b/>
      <sz val="12"/>
      <name val="Arial"/>
      <family val="2"/>
    </font>
    <font>
      <sz val="11"/>
      <color theme="1"/>
      <name val="Arial"/>
      <family val="2"/>
    </font>
    <font>
      <sz val="11"/>
      <color theme="1"/>
      <name val="Arial1"/>
    </font>
    <font>
      <b/>
      <sz val="11"/>
      <color rgb="FFFF0000"/>
      <name val="Arial"/>
      <family val="2"/>
    </font>
    <font>
      <b/>
      <sz val="9"/>
      <color theme="9" tint="0.39997558519241921"/>
      <name val="Arial"/>
      <family val="2"/>
    </font>
    <font>
      <b/>
      <sz val="9"/>
      <color rgb="FFFF9900"/>
      <name val="Arial"/>
      <family val="2"/>
    </font>
    <font>
      <b/>
      <sz val="11"/>
      <color theme="0"/>
      <name val="Arial"/>
      <family val="2"/>
    </font>
    <font>
      <b/>
      <sz val="11"/>
      <color rgb="FFFF9900"/>
      <name val="Arial"/>
      <family val="2"/>
    </font>
    <font>
      <b/>
      <sz val="11"/>
      <color theme="1"/>
      <name val="Arial"/>
      <family val="2"/>
    </font>
    <font>
      <b/>
      <sz val="11"/>
      <color theme="1"/>
      <name val="Arial1"/>
    </font>
    <font>
      <sz val="9"/>
      <color indexed="81"/>
      <name val="Tahoma"/>
      <family val="2"/>
    </font>
    <font>
      <b/>
      <sz val="9"/>
      <color indexed="81"/>
      <name val="Tahoma"/>
      <family val="2"/>
    </font>
    <font>
      <b/>
      <sz val="11"/>
      <color theme="1"/>
      <name val="Calibri"/>
      <family val="2"/>
    </font>
    <font>
      <sz val="11"/>
      <color theme="1"/>
      <name val="Calibri"/>
      <family val="2"/>
    </font>
    <font>
      <sz val="11"/>
      <color rgb="FFFF0000"/>
      <name val="Arial"/>
      <family val="2"/>
    </font>
    <font>
      <sz val="20"/>
      <name val="Arial"/>
      <family val="2"/>
    </font>
    <font>
      <b/>
      <sz val="11"/>
      <color indexed="10"/>
      <name val="Arial"/>
      <family val="2"/>
    </font>
    <font>
      <sz val="10"/>
      <name val="Arial"/>
      <family val="2"/>
    </font>
    <font>
      <sz val="12"/>
      <name val="Arial"/>
      <family val="2"/>
    </font>
  </fonts>
  <fills count="7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9"/>
        <bgColor indexed="64"/>
      </patternFill>
    </fill>
    <fill>
      <patternFill patternType="solid">
        <fgColor indexed="44"/>
        <bgColor indexed="4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FF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rgb="FF92D050"/>
        <bgColor indexed="64"/>
      </patternFill>
    </fill>
    <fill>
      <patternFill patternType="solid">
        <fgColor rgb="FFFF9900"/>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44"/>
      </patternFill>
    </fill>
    <fill>
      <patternFill patternType="solid">
        <fgColor theme="5" tint="0.59999389629810485"/>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9CC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00FFFF"/>
        <bgColor indexed="64"/>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auto="1"/>
      </top>
      <bottom/>
      <diagonal/>
    </border>
    <border>
      <left style="thin">
        <color auto="1"/>
      </left>
      <right style="hair">
        <color indexed="64"/>
      </right>
      <top style="hair">
        <color indexed="64"/>
      </top>
      <bottom style="hair">
        <color indexed="64"/>
      </bottom>
      <diagonal/>
    </border>
    <border>
      <left style="hair">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auto="1"/>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hair">
        <color indexed="64"/>
      </right>
      <top/>
      <bottom style="hair">
        <color indexed="64"/>
      </bottom>
      <diagonal/>
    </border>
    <border>
      <left style="medium">
        <color indexed="64"/>
      </left>
      <right/>
      <top/>
      <bottom style="thin">
        <color auto="1"/>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bottom style="thin">
        <color indexed="64"/>
      </bottom>
      <diagonal/>
    </border>
    <border>
      <left style="thin">
        <color theme="0"/>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thin">
        <color indexed="64"/>
      </left>
      <right style="hair">
        <color indexed="64"/>
      </right>
      <top style="thin">
        <color indexed="64"/>
      </top>
      <bottom style="thin">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64"/>
      </right>
      <top style="hair">
        <color indexed="64"/>
      </top>
      <bottom style="hair">
        <color theme="0" tint="-0.14993743705557422"/>
      </bottom>
      <diagonal/>
    </border>
  </borders>
  <cellStyleXfs count="73">
    <xf numFmtId="0" fontId="0" fillId="0" borderId="0"/>
    <xf numFmtId="164" fontId="17" fillId="0" borderId="0" applyFont="0" applyFill="0" applyBorder="0" applyAlignment="0" applyProtection="0"/>
    <xf numFmtId="0" fontId="17" fillId="0" borderId="0"/>
    <xf numFmtId="0" fontId="16" fillId="0" borderId="0"/>
    <xf numFmtId="0" fontId="15" fillId="0" borderId="0"/>
    <xf numFmtId="0" fontId="43" fillId="0" borderId="0" applyNumberFormat="0" applyFill="0" applyBorder="0" applyAlignment="0" applyProtection="0"/>
    <xf numFmtId="0" fontId="44" fillId="0" borderId="58" applyNumberFormat="0" applyFill="0" applyAlignment="0" applyProtection="0"/>
    <xf numFmtId="0" fontId="45" fillId="0" borderId="59" applyNumberFormat="0" applyFill="0" applyAlignment="0" applyProtection="0"/>
    <xf numFmtId="0" fontId="46" fillId="0" borderId="60"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33" borderId="61" applyNumberFormat="0" applyAlignment="0" applyProtection="0"/>
    <xf numFmtId="0" fontId="51" fillId="34" borderId="62" applyNumberFormat="0" applyAlignment="0" applyProtection="0"/>
    <xf numFmtId="0" fontId="52" fillId="34" borderId="61" applyNumberFormat="0" applyAlignment="0" applyProtection="0"/>
    <xf numFmtId="0" fontId="53" fillId="0" borderId="63" applyNumberFormat="0" applyFill="0" applyAlignment="0" applyProtection="0"/>
    <xf numFmtId="0" fontId="54" fillId="35" borderId="6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6" applyNumberFormat="0" applyFill="0" applyAlignment="0" applyProtection="0"/>
    <xf numFmtId="0" fontId="58"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58" fillId="56" borderId="0" applyNumberFormat="0" applyBorder="0" applyAlignment="0" applyProtection="0"/>
    <xf numFmtId="0" fontId="58" fillId="57"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58" fillId="60" borderId="0" applyNumberFormat="0" applyBorder="0" applyAlignment="0" applyProtection="0"/>
    <xf numFmtId="0" fontId="14" fillId="0" borderId="0"/>
    <xf numFmtId="0" fontId="14" fillId="36" borderId="65" applyNumberFormat="0" applyFont="0" applyAlignment="0" applyProtection="0"/>
    <xf numFmtId="0" fontId="12" fillId="0" borderId="0"/>
    <xf numFmtId="0" fontId="13" fillId="0" borderId="0"/>
    <xf numFmtId="0" fontId="11" fillId="0" borderId="0"/>
    <xf numFmtId="0" fontId="10" fillId="0" borderId="0"/>
    <xf numFmtId="0" fontId="10" fillId="36" borderId="65" applyNumberFormat="0" applyFont="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9" fillId="0" borderId="0"/>
    <xf numFmtId="0" fontId="8" fillId="0" borderId="0"/>
    <xf numFmtId="0" fontId="7" fillId="0" borderId="0"/>
    <xf numFmtId="0" fontId="6" fillId="0" borderId="0"/>
    <xf numFmtId="0" fontId="5" fillId="0" borderId="0"/>
    <xf numFmtId="0" fontId="4" fillId="0" borderId="0"/>
    <xf numFmtId="0" fontId="2" fillId="0" borderId="0"/>
    <xf numFmtId="9" fontId="79" fillId="0" borderId="0" applyFont="0" applyFill="0" applyBorder="0" applyAlignment="0" applyProtection="0"/>
    <xf numFmtId="0" fontId="1" fillId="0" borderId="0"/>
  </cellStyleXfs>
  <cellXfs count="2276">
    <xf numFmtId="0" fontId="0" fillId="0" borderId="0" xfId="0"/>
    <xf numFmtId="3" fontId="18" fillId="0" borderId="3" xfId="0" applyNumberFormat="1" applyFont="1" applyBorder="1" applyAlignment="1">
      <alignment vertical="center" wrapText="1"/>
    </xf>
    <xf numFmtId="3" fontId="18" fillId="0" borderId="5" xfId="0" applyNumberFormat="1" applyFont="1" applyBorder="1" applyAlignment="1">
      <alignment vertical="center" wrapText="1"/>
    </xf>
    <xf numFmtId="0" fontId="18" fillId="4"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3" fontId="21" fillId="5" borderId="1" xfId="0" applyNumberFormat="1" applyFont="1" applyFill="1" applyBorder="1" applyAlignment="1">
      <alignment horizontal="center" vertical="center" wrapText="1"/>
    </xf>
    <xf numFmtId="0" fontId="23" fillId="0" borderId="0" xfId="0" applyFont="1" applyFill="1"/>
    <xf numFmtId="3" fontId="21" fillId="0" borderId="7" xfId="0" applyNumberFormat="1" applyFont="1" applyFill="1" applyBorder="1" applyAlignment="1">
      <alignment horizontal="center" vertical="center" wrapText="1"/>
    </xf>
    <xf numFmtId="0" fontId="0" fillId="0" borderId="0" xfId="0" applyFill="1"/>
    <xf numFmtId="0" fontId="18" fillId="4" borderId="7" xfId="0" applyFont="1" applyFill="1" applyBorder="1" applyAlignment="1">
      <alignment horizontal="left" vertical="center" wrapText="1"/>
    </xf>
    <xf numFmtId="165" fontId="18" fillId="4" borderId="7" xfId="0" applyNumberFormat="1" applyFont="1" applyFill="1" applyBorder="1" applyAlignment="1">
      <alignment horizontal="center" vertical="center" wrapText="1"/>
    </xf>
    <xf numFmtId="0" fontId="18" fillId="4" borderId="7" xfId="0" applyFont="1" applyFill="1" applyBorder="1" applyAlignment="1">
      <alignment horizontal="justify" vertical="center" wrapText="1"/>
    </xf>
    <xf numFmtId="3" fontId="30" fillId="7" borderId="7" xfId="0" applyNumberFormat="1" applyFont="1" applyFill="1" applyBorder="1" applyAlignment="1">
      <alignment horizontal="left" vertical="center" wrapText="1"/>
    </xf>
    <xf numFmtId="0" fontId="18" fillId="4" borderId="7" xfId="0" applyFont="1" applyFill="1" applyBorder="1" applyAlignment="1">
      <alignment horizontal="center" vertical="center" wrapText="1"/>
    </xf>
    <xf numFmtId="3" fontId="21" fillId="4" borderId="7" xfId="0" applyNumberFormat="1" applyFont="1" applyFill="1" applyBorder="1" applyAlignment="1">
      <alignment horizontal="center" vertical="center" wrapText="1"/>
    </xf>
    <xf numFmtId="167" fontId="18" fillId="9" borderId="8" xfId="1" applyNumberFormat="1" applyFont="1" applyFill="1" applyBorder="1" applyAlignment="1">
      <alignment horizontal="center" wrapText="1"/>
    </xf>
    <xf numFmtId="167" fontId="18" fillId="9" borderId="9" xfId="1" applyNumberFormat="1" applyFont="1" applyFill="1" applyBorder="1" applyAlignment="1">
      <alignment horizontal="center" wrapText="1"/>
    </xf>
    <xf numFmtId="167" fontId="18" fillId="9" borderId="10" xfId="1" applyNumberFormat="1" applyFont="1" applyFill="1" applyBorder="1" applyAlignment="1">
      <alignment horizontal="center" wrapText="1"/>
    </xf>
    <xf numFmtId="0" fontId="18" fillId="0" borderId="12" xfId="0" applyFont="1" applyBorder="1" applyAlignment="1">
      <alignment wrapText="1"/>
    </xf>
    <xf numFmtId="165" fontId="18" fillId="0" borderId="0" xfId="1" applyNumberFormat="1" applyFont="1" applyBorder="1" applyAlignment="1">
      <alignment horizontal="center" wrapText="1"/>
    </xf>
    <xf numFmtId="167" fontId="18" fillId="0" borderId="0" xfId="1" applyNumberFormat="1" applyFont="1" applyBorder="1" applyAlignment="1">
      <alignment horizontal="center" wrapText="1"/>
    </xf>
    <xf numFmtId="167" fontId="35" fillId="0" borderId="0" xfId="1" applyNumberFormat="1" applyFont="1" applyBorder="1" applyAlignment="1">
      <alignment horizontal="center" wrapText="1"/>
    </xf>
    <xf numFmtId="0" fontId="18" fillId="10" borderId="13" xfId="0" applyFont="1" applyFill="1" applyBorder="1" applyAlignment="1">
      <alignment vertical="center" wrapText="1"/>
    </xf>
    <xf numFmtId="165" fontId="18" fillId="10" borderId="7" xfId="1" applyNumberFormat="1" applyFont="1" applyFill="1" applyBorder="1" applyAlignment="1">
      <alignment horizontal="center" vertical="center" wrapText="1"/>
    </xf>
    <xf numFmtId="3" fontId="21" fillId="5" borderId="15" xfId="0" applyNumberFormat="1" applyFont="1" applyFill="1" applyBorder="1" applyAlignment="1">
      <alignment horizontal="center" vertical="center" wrapText="1"/>
    </xf>
    <xf numFmtId="0" fontId="35" fillId="11" borderId="13" xfId="0" applyFont="1" applyFill="1" applyBorder="1" applyAlignment="1">
      <alignment horizontal="center" vertical="center" wrapText="1"/>
    </xf>
    <xf numFmtId="165" fontId="18" fillId="0" borderId="7" xfId="1" applyNumberFormat="1" applyFont="1" applyBorder="1" applyAlignment="1">
      <alignment horizontal="center" vertical="center" wrapText="1"/>
    </xf>
    <xf numFmtId="165" fontId="0" fillId="0" borderId="0" xfId="0" applyNumberFormat="1"/>
    <xf numFmtId="0" fontId="17" fillId="0" borderId="0" xfId="0" applyFont="1"/>
    <xf numFmtId="0" fontId="35" fillId="0" borderId="0" xfId="0" applyFont="1" applyAlignment="1">
      <alignment horizontal="right" wrapText="1"/>
    </xf>
    <xf numFmtId="165" fontId="35" fillId="0" borderId="0" xfId="0" applyNumberFormat="1" applyFont="1" applyAlignment="1">
      <alignment horizontal="center" wrapText="1"/>
    </xf>
    <xf numFmtId="0" fontId="35" fillId="0" borderId="0" xfId="0" applyFont="1" applyAlignment="1">
      <alignment horizontal="right"/>
    </xf>
    <xf numFmtId="0" fontId="35" fillId="0" borderId="0" xfId="0" applyFont="1" applyAlignment="1">
      <alignment horizontal="left"/>
    </xf>
    <xf numFmtId="0" fontId="36" fillId="0" borderId="0" xfId="0" applyFont="1" applyAlignment="1">
      <alignment wrapText="1"/>
    </xf>
    <xf numFmtId="165" fontId="36" fillId="0" borderId="0" xfId="0" applyNumberFormat="1" applyFont="1"/>
    <xf numFmtId="168" fontId="36" fillId="0" borderId="0" xfId="1" applyNumberFormat="1" applyFont="1"/>
    <xf numFmtId="0" fontId="36" fillId="0" borderId="0" xfId="0" applyFont="1" applyAlignment="1">
      <alignment horizontal="left"/>
    </xf>
    <xf numFmtId="168" fontId="0" fillId="0" borderId="0" xfId="1" applyNumberFormat="1" applyFont="1"/>
    <xf numFmtId="0" fontId="37" fillId="5" borderId="16"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0" fillId="5" borderId="16" xfId="0" applyFill="1" applyBorder="1" applyAlignment="1">
      <alignment horizontal="center"/>
    </xf>
    <xf numFmtId="0" fontId="0" fillId="5" borderId="0" xfId="0" applyFill="1" applyBorder="1"/>
    <xf numFmtId="0" fontId="35" fillId="0" borderId="12" xfId="0" applyFont="1" applyBorder="1" applyAlignment="1">
      <alignment vertical="center"/>
    </xf>
    <xf numFmtId="0" fontId="17" fillId="4" borderId="0" xfId="0" applyFont="1" applyFill="1" applyBorder="1" applyAlignment="1">
      <alignment horizontal="left" wrapText="1"/>
    </xf>
    <xf numFmtId="0" fontId="20" fillId="4" borderId="13" xfId="0" applyFont="1" applyFill="1" applyBorder="1" applyAlignment="1">
      <alignment vertical="center"/>
    </xf>
    <xf numFmtId="0" fontId="0" fillId="5" borderId="18" xfId="0" applyFill="1" applyBorder="1" applyAlignment="1">
      <alignment horizontal="center"/>
    </xf>
    <xf numFmtId="0" fontId="0" fillId="5" borderId="19" xfId="0" applyFill="1" applyBorder="1"/>
    <xf numFmtId="0" fontId="18" fillId="4" borderId="21" xfId="0" applyFont="1" applyFill="1" applyBorder="1" applyAlignment="1">
      <alignment horizontal="center" vertical="center" wrapText="1"/>
    </xf>
    <xf numFmtId="0" fontId="0" fillId="5" borderId="2" xfId="0" applyFill="1" applyBorder="1" applyAlignment="1"/>
    <xf numFmtId="0" fontId="18" fillId="4" borderId="22" xfId="0" applyFont="1" applyFill="1" applyBorder="1" applyAlignment="1">
      <alignment horizontal="center" vertical="center" wrapText="1"/>
    </xf>
    <xf numFmtId="0" fontId="18" fillId="4" borderId="14" xfId="0" applyFont="1" applyFill="1" applyBorder="1" applyAlignment="1">
      <alignment horizontal="center" vertical="center" wrapText="1"/>
    </xf>
    <xf numFmtId="165" fontId="18" fillId="9" borderId="7" xfId="0" applyNumberFormat="1" applyFont="1" applyFill="1" applyBorder="1" applyAlignment="1">
      <alignment horizontal="center" vertical="center" wrapText="1"/>
    </xf>
    <xf numFmtId="0" fontId="17" fillId="9" borderId="7" xfId="0" applyFont="1" applyFill="1" applyBorder="1" applyAlignment="1">
      <alignment horizontal="justify" vertical="center" wrapText="1"/>
    </xf>
    <xf numFmtId="0" fontId="18" fillId="9" borderId="3" xfId="0" applyFont="1" applyFill="1" applyBorder="1" applyAlignment="1">
      <alignment horizontal="center" vertical="center" wrapText="1"/>
    </xf>
    <xf numFmtId="3" fontId="21" fillId="9" borderId="7" xfId="0" applyNumberFormat="1" applyFont="1" applyFill="1" applyBorder="1" applyAlignment="1">
      <alignment horizontal="center" vertical="center" wrapText="1"/>
    </xf>
    <xf numFmtId="0" fontId="18" fillId="4" borderId="3"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18" fillId="9" borderId="7" xfId="0" applyFont="1" applyFill="1" applyBorder="1" applyAlignment="1">
      <alignment horizontal="justify" vertical="center" wrapText="1"/>
    </xf>
    <xf numFmtId="0" fontId="18" fillId="4" borderId="13" xfId="0" applyFont="1" applyFill="1" applyBorder="1" applyAlignment="1">
      <alignment horizontal="center" vertical="center" wrapText="1"/>
    </xf>
    <xf numFmtId="0" fontId="0" fillId="0" borderId="12" xfId="0" applyBorder="1"/>
    <xf numFmtId="165" fontId="0" fillId="0" borderId="0" xfId="0" applyNumberFormat="1" applyBorder="1"/>
    <xf numFmtId="0" fontId="0" fillId="0" borderId="0" xfId="0" applyBorder="1"/>
    <xf numFmtId="0" fontId="0" fillId="0" borderId="0" xfId="0" applyBorder="1" applyAlignment="1">
      <alignment horizontal="center"/>
    </xf>
    <xf numFmtId="0" fontId="17" fillId="0" borderId="12" xfId="0" applyFont="1" applyBorder="1" applyAlignment="1">
      <alignment horizontal="right"/>
    </xf>
    <xf numFmtId="165" fontId="17" fillId="0" borderId="0" xfId="0" applyNumberFormat="1" applyFont="1" applyBorder="1" applyAlignment="1">
      <alignment horizontal="right"/>
    </xf>
    <xf numFmtId="0" fontId="17" fillId="0" borderId="25" xfId="0" applyFont="1" applyBorder="1"/>
    <xf numFmtId="168" fontId="36" fillId="0" borderId="25" xfId="0" applyNumberFormat="1" applyFont="1" applyBorder="1" applyAlignment="1">
      <alignment wrapText="1"/>
    </xf>
    <xf numFmtId="0" fontId="36" fillId="0" borderId="25" xfId="0" applyFont="1" applyBorder="1" applyAlignment="1">
      <alignment wrapText="1"/>
    </xf>
    <xf numFmtId="0" fontId="36" fillId="0" borderId="25" xfId="0" applyFont="1" applyBorder="1" applyAlignment="1">
      <alignment horizontal="center"/>
    </xf>
    <xf numFmtId="0" fontId="0" fillId="0" borderId="25" xfId="0" applyBorder="1"/>
    <xf numFmtId="0" fontId="0" fillId="0" borderId="0" xfId="0" applyAlignment="1">
      <alignment horizontal="center"/>
    </xf>
    <xf numFmtId="0" fontId="17" fillId="4" borderId="17" xfId="0" applyFont="1" applyFill="1" applyBorder="1" applyAlignment="1">
      <alignment horizontal="left" wrapText="1"/>
    </xf>
    <xf numFmtId="0" fontId="22" fillId="4" borderId="7" xfId="0" applyFont="1" applyFill="1" applyBorder="1" applyAlignment="1">
      <alignment horizontal="justify" vertical="center" wrapText="1"/>
    </xf>
    <xf numFmtId="165" fontId="18" fillId="0" borderId="0" xfId="0" applyNumberFormat="1"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18" fillId="0" borderId="7" xfId="1" applyNumberFormat="1" applyFont="1" applyBorder="1" applyAlignment="1">
      <alignment horizontal="center" vertical="center" wrapText="1"/>
    </xf>
    <xf numFmtId="0" fontId="17" fillId="6" borderId="7" xfId="0" applyFont="1" applyFill="1" applyBorder="1" applyAlignment="1">
      <alignment horizontal="left" vertical="center"/>
    </xf>
    <xf numFmtId="0" fontId="26" fillId="6" borderId="7" xfId="0" applyFont="1" applyFill="1" applyBorder="1" applyAlignment="1">
      <alignment horizontal="left" vertical="center"/>
    </xf>
    <xf numFmtId="3" fontId="33" fillId="7" borderId="7" xfId="0" applyNumberFormat="1" applyFont="1" applyFill="1" applyBorder="1" applyAlignment="1">
      <alignment horizontal="left" vertical="center"/>
    </xf>
    <xf numFmtId="0" fontId="26" fillId="8" borderId="7" xfId="0" applyFont="1" applyFill="1" applyBorder="1" applyAlignment="1">
      <alignment horizontal="left" vertical="center"/>
    </xf>
    <xf numFmtId="0" fontId="17" fillId="6" borderId="13" xfId="0" applyFont="1" applyFill="1" applyBorder="1" applyAlignment="1">
      <alignment horizontal="left" vertical="center"/>
    </xf>
    <xf numFmtId="0" fontId="17" fillId="9" borderId="7" xfId="0" applyFont="1" applyFill="1" applyBorder="1" applyAlignment="1">
      <alignment horizontal="left" vertical="center"/>
    </xf>
    <xf numFmtId="0" fontId="18" fillId="4" borderId="7" xfId="0" applyFont="1" applyFill="1" applyBorder="1" applyAlignment="1">
      <alignment horizontal="left" vertical="center"/>
    </xf>
    <xf numFmtId="0" fontId="17" fillId="8" borderId="7" xfId="0" applyFont="1" applyFill="1" applyBorder="1" applyAlignment="1">
      <alignment horizontal="left" vertical="center"/>
    </xf>
    <xf numFmtId="0" fontId="17" fillId="8" borderId="13" xfId="0" applyFont="1" applyFill="1" applyBorder="1" applyAlignment="1">
      <alignment horizontal="left" vertical="center"/>
    </xf>
    <xf numFmtId="0" fontId="17" fillId="12" borderId="7" xfId="0" applyFont="1" applyFill="1" applyBorder="1" applyAlignment="1">
      <alignment horizontal="left" vertical="center"/>
    </xf>
    <xf numFmtId="0" fontId="17" fillId="12" borderId="13" xfId="0" applyFont="1" applyFill="1" applyBorder="1" applyAlignment="1">
      <alignment horizontal="left" vertical="center"/>
    </xf>
    <xf numFmtId="0" fontId="26" fillId="12" borderId="7" xfId="0" applyFont="1" applyFill="1" applyBorder="1" applyAlignment="1">
      <alignment horizontal="left" vertical="center"/>
    </xf>
    <xf numFmtId="0" fontId="18" fillId="9" borderId="7" xfId="0" applyFont="1" applyFill="1" applyBorder="1" applyAlignment="1">
      <alignment horizontal="left" vertical="center"/>
    </xf>
    <xf numFmtId="0" fontId="17" fillId="10" borderId="7" xfId="0" applyFont="1" applyFill="1" applyBorder="1" applyAlignment="1">
      <alignment horizontal="left" vertical="center"/>
    </xf>
    <xf numFmtId="0" fontId="26" fillId="13" borderId="7" xfId="0" applyFont="1" applyFill="1" applyBorder="1" applyAlignment="1">
      <alignment horizontal="left" vertical="center"/>
    </xf>
    <xf numFmtId="0" fontId="26" fillId="14" borderId="7" xfId="0" applyFont="1" applyFill="1" applyBorder="1" applyAlignment="1">
      <alignment horizontal="left" vertical="center"/>
    </xf>
    <xf numFmtId="3" fontId="33" fillId="7" borderId="3" xfId="0" applyNumberFormat="1" applyFont="1" applyFill="1" applyBorder="1" applyAlignment="1">
      <alignment horizontal="left" vertical="center"/>
    </xf>
    <xf numFmtId="3" fontId="40" fillId="13" borderId="7" xfId="2" applyNumberFormat="1" applyFont="1" applyFill="1" applyBorder="1" applyAlignment="1">
      <alignment horizontal="left" vertical="center"/>
    </xf>
    <xf numFmtId="3" fontId="40" fillId="13" borderId="14" xfId="2" applyNumberFormat="1" applyFont="1" applyFill="1" applyBorder="1" applyAlignment="1">
      <alignment horizontal="left" vertical="center"/>
    </xf>
    <xf numFmtId="0" fontId="17" fillId="0" borderId="7" xfId="0" applyFont="1" applyFill="1" applyBorder="1" applyAlignment="1">
      <alignment horizontal="center" vertical="center" wrapText="1"/>
    </xf>
    <xf numFmtId="1" fontId="21" fillId="5" borderId="1" xfId="0" applyNumberFormat="1" applyFont="1" applyFill="1" applyBorder="1" applyAlignment="1">
      <alignment horizontal="center" vertical="center" wrapText="1"/>
    </xf>
    <xf numFmtId="1" fontId="28" fillId="0" borderId="7" xfId="0" applyNumberFormat="1" applyFont="1" applyFill="1" applyBorder="1" applyAlignment="1">
      <alignment horizontal="center" vertical="center" wrapText="1"/>
    </xf>
    <xf numFmtId="1" fontId="28" fillId="0" borderId="7" xfId="1" applyNumberFormat="1" applyFont="1" applyFill="1" applyBorder="1" applyAlignment="1">
      <alignment horizontal="center" vertical="center" wrapText="1"/>
    </xf>
    <xf numFmtId="1" fontId="21" fillId="4" borderId="7" xfId="0" applyNumberFormat="1" applyFont="1" applyFill="1" applyBorder="1" applyAlignment="1">
      <alignment horizontal="center" vertical="center" wrapText="1"/>
    </xf>
    <xf numFmtId="1" fontId="21" fillId="9" borderId="11" xfId="1" applyNumberFormat="1" applyFont="1" applyFill="1" applyBorder="1" applyAlignment="1">
      <alignment horizontal="center" wrapText="1"/>
    </xf>
    <xf numFmtId="1" fontId="35" fillId="0" borderId="0" xfId="1" applyNumberFormat="1" applyFont="1" applyBorder="1" applyAlignment="1">
      <alignment horizontal="center" wrapText="1"/>
    </xf>
    <xf numFmtId="1" fontId="0" fillId="0" borderId="0" xfId="0" applyNumberFormat="1"/>
    <xf numFmtId="3" fontId="28" fillId="0" borderId="7" xfId="0" applyNumberFormat="1" applyFont="1" applyFill="1" applyBorder="1" applyAlignment="1">
      <alignment horizontal="center" vertical="center" wrapText="1"/>
    </xf>
    <xf numFmtId="1" fontId="18" fillId="5" borderId="1" xfId="0" applyNumberFormat="1" applyFont="1" applyFill="1" applyBorder="1" applyAlignment="1">
      <alignment horizontal="center" vertical="center" wrapText="1"/>
    </xf>
    <xf numFmtId="1" fontId="17" fillId="0" borderId="7" xfId="0" applyNumberFormat="1" applyFont="1" applyFill="1" applyBorder="1" applyAlignment="1">
      <alignment horizontal="center" vertical="center" wrapText="1"/>
    </xf>
    <xf numFmtId="3" fontId="28" fillId="0" borderId="7" xfId="0" applyNumberFormat="1" applyFont="1" applyFill="1" applyBorder="1" applyAlignment="1">
      <alignment vertical="center" wrapText="1"/>
    </xf>
    <xf numFmtId="3" fontId="28" fillId="0" borderId="7" xfId="1" applyNumberFormat="1" applyFont="1" applyFill="1" applyBorder="1" applyAlignment="1">
      <alignment horizontal="center" vertical="center" wrapText="1"/>
    </xf>
    <xf numFmtId="3" fontId="21" fillId="9" borderId="8" xfId="1" applyNumberFormat="1" applyFont="1" applyFill="1" applyBorder="1" applyAlignment="1">
      <alignment horizontal="center" wrapText="1"/>
    </xf>
    <xf numFmtId="3" fontId="35" fillId="0" borderId="0" xfId="1" applyNumberFormat="1" applyFont="1" applyBorder="1" applyAlignment="1">
      <alignment horizontal="center" wrapText="1"/>
    </xf>
    <xf numFmtId="3" fontId="21" fillId="5" borderId="14" xfId="0" applyNumberFormat="1" applyFont="1" applyFill="1" applyBorder="1" applyAlignment="1">
      <alignment horizontal="center" vertical="center" wrapText="1"/>
    </xf>
    <xf numFmtId="3" fontId="35" fillId="11" borderId="7" xfId="0" applyNumberFormat="1" applyFont="1" applyFill="1" applyBorder="1" applyAlignment="1">
      <alignment horizontal="center" vertical="center" wrapText="1"/>
    </xf>
    <xf numFmtId="3" fontId="0" fillId="0" borderId="0" xfId="0" applyNumberFormat="1"/>
    <xf numFmtId="3" fontId="21" fillId="4" borderId="7" xfId="1" applyNumberFormat="1" applyFont="1" applyFill="1" applyBorder="1" applyAlignment="1">
      <alignment horizontal="center" vertical="center" wrapText="1"/>
    </xf>
    <xf numFmtId="3" fontId="0" fillId="0" borderId="0" xfId="0" applyNumberFormat="1" applyAlignment="1">
      <alignment horizontal="center" vertical="center"/>
    </xf>
    <xf numFmtId="1" fontId="21" fillId="4" borderId="7" xfId="1" applyNumberFormat="1" applyFont="1" applyFill="1" applyBorder="1" applyAlignment="1">
      <alignment horizontal="center" vertical="center" wrapText="1"/>
    </xf>
    <xf numFmtId="0" fontId="18" fillId="0" borderId="0" xfId="0" applyFont="1" applyFill="1"/>
    <xf numFmtId="3" fontId="18" fillId="4" borderId="1" xfId="0" applyNumberFormat="1" applyFont="1" applyFill="1" applyBorder="1" applyAlignment="1">
      <alignment horizontal="center" vertical="center" wrapText="1"/>
    </xf>
    <xf numFmtId="3" fontId="22" fillId="0" borderId="6" xfId="0" applyNumberFormat="1" applyFont="1" applyFill="1" applyBorder="1" applyAlignment="1">
      <alignment horizontal="center" vertical="center" wrapText="1"/>
    </xf>
    <xf numFmtId="3" fontId="18" fillId="4" borderId="7" xfId="0" applyNumberFormat="1" applyFont="1" applyFill="1" applyBorder="1" applyAlignment="1">
      <alignment horizontal="center" vertical="center" wrapText="1"/>
    </xf>
    <xf numFmtId="3" fontId="22" fillId="0" borderId="7"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wrapText="1"/>
    </xf>
    <xf numFmtId="3" fontId="18" fillId="9" borderId="8" xfId="1" applyNumberFormat="1" applyFont="1" applyFill="1" applyBorder="1" applyAlignment="1">
      <alignment horizontal="center" wrapText="1"/>
    </xf>
    <xf numFmtId="3" fontId="18" fillId="0" borderId="0" xfId="1" applyNumberFormat="1" applyFont="1" applyBorder="1" applyAlignment="1">
      <alignment horizontal="center" wrapText="1"/>
    </xf>
    <xf numFmtId="3" fontId="18" fillId="10" borderId="7" xfId="1" applyNumberFormat="1" applyFont="1" applyFill="1" applyBorder="1" applyAlignment="1">
      <alignment horizontal="center" vertical="center" wrapText="1"/>
    </xf>
    <xf numFmtId="3" fontId="35" fillId="0" borderId="0" xfId="0" applyNumberFormat="1" applyFont="1" applyAlignment="1">
      <alignment horizontal="center" wrapText="1"/>
    </xf>
    <xf numFmtId="3" fontId="36" fillId="0" borderId="0" xfId="0" applyNumberFormat="1" applyFont="1"/>
    <xf numFmtId="0" fontId="0" fillId="0" borderId="0" xfId="0" applyAlignment="1">
      <alignment vertical="center"/>
    </xf>
    <xf numFmtId="0" fontId="0" fillId="0" borderId="0" xfId="0" applyFill="1" applyAlignment="1">
      <alignment vertical="center"/>
    </xf>
    <xf numFmtId="3" fontId="17" fillId="0" borderId="7" xfId="0" applyNumberFormat="1" applyFont="1" applyFill="1" applyBorder="1" applyAlignment="1">
      <alignment horizontal="center" vertical="center" wrapText="1"/>
    </xf>
    <xf numFmtId="0" fontId="18" fillId="0" borderId="0" xfId="0" applyFont="1"/>
    <xf numFmtId="0" fontId="17" fillId="0" borderId="0" xfId="0" applyFont="1" applyAlignment="1">
      <alignment horizontal="center"/>
    </xf>
    <xf numFmtId="1" fontId="17" fillId="0" borderId="0" xfId="0" applyNumberFormat="1" applyFont="1" applyAlignment="1">
      <alignment horizontal="center"/>
    </xf>
    <xf numFmtId="1" fontId="17" fillId="4" borderId="7" xfId="0" applyNumberFormat="1" applyFont="1" applyFill="1" applyBorder="1" applyAlignment="1">
      <alignment horizontal="center" vertical="center" wrapText="1"/>
    </xf>
    <xf numFmtId="1" fontId="17" fillId="9" borderId="9" xfId="1" applyNumberFormat="1" applyFont="1" applyFill="1" applyBorder="1" applyAlignment="1">
      <alignment horizontal="center" wrapText="1"/>
    </xf>
    <xf numFmtId="1" fontId="17" fillId="0" borderId="0" xfId="1" applyNumberFormat="1" applyFont="1" applyBorder="1" applyAlignment="1">
      <alignment horizontal="center" wrapText="1"/>
    </xf>
    <xf numFmtId="3" fontId="21" fillId="0" borderId="29" xfId="0" applyNumberFormat="1" applyFont="1" applyFill="1" applyBorder="1" applyAlignment="1">
      <alignment horizontal="center" vertical="center" wrapText="1"/>
    </xf>
    <xf numFmtId="3" fontId="28" fillId="0" borderId="29" xfId="0" applyNumberFormat="1" applyFont="1" applyFill="1" applyBorder="1" applyAlignment="1">
      <alignment horizontal="center" vertical="center" wrapText="1"/>
    </xf>
    <xf numFmtId="3" fontId="21" fillId="4" borderId="29" xfId="1" applyNumberFormat="1" applyFont="1" applyFill="1" applyBorder="1" applyAlignment="1">
      <alignment horizontal="center" vertical="center" wrapText="1"/>
    </xf>
    <xf numFmtId="3" fontId="28" fillId="0" borderId="29" xfId="1" applyNumberFormat="1" applyFont="1" applyFill="1" applyBorder="1" applyAlignment="1">
      <alignment horizontal="center" vertical="center" wrapText="1"/>
    </xf>
    <xf numFmtId="3" fontId="21" fillId="4" borderId="29"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3" fontId="18" fillId="0" borderId="15"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6" xfId="0" applyFont="1" applyFill="1" applyBorder="1" applyAlignment="1">
      <alignment horizontal="center" vertical="center" wrapText="1"/>
    </xf>
    <xf numFmtId="1" fontId="17" fillId="0" borderId="17"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1" fontId="21" fillId="0" borderId="16" xfId="0" applyNumberFormat="1" applyFont="1" applyFill="1" applyBorder="1" applyAlignment="1">
      <alignment horizontal="center" vertical="center" wrapText="1"/>
    </xf>
    <xf numFmtId="3" fontId="21" fillId="0" borderId="16" xfId="0" applyNumberFormat="1" applyFont="1" applyFill="1" applyBorder="1" applyAlignment="1">
      <alignment horizontal="center" vertical="center" wrapText="1"/>
    </xf>
    <xf numFmtId="3" fontId="23" fillId="0" borderId="7" xfId="0" applyNumberFormat="1" applyFont="1" applyFill="1" applyBorder="1" applyAlignment="1">
      <alignment horizontal="center" vertical="center"/>
    </xf>
    <xf numFmtId="3" fontId="0" fillId="0" borderId="7" xfId="0" applyNumberFormat="1" applyFill="1" applyBorder="1" applyAlignment="1">
      <alignment horizontal="center" vertical="center"/>
    </xf>
    <xf numFmtId="3" fontId="17" fillId="0" borderId="7" xfId="0" applyNumberFormat="1" applyFont="1" applyFill="1" applyBorder="1" applyAlignment="1">
      <alignment horizontal="center" vertical="center"/>
    </xf>
    <xf numFmtId="167" fontId="18" fillId="0" borderId="0" xfId="1" applyNumberFormat="1" applyFont="1" applyFill="1" applyBorder="1" applyAlignment="1">
      <alignment horizontal="center" wrapText="1"/>
    </xf>
    <xf numFmtId="1" fontId="17" fillId="0" borderId="0" xfId="0" applyNumberFormat="1" applyFont="1" applyFill="1" applyBorder="1" applyAlignment="1">
      <alignment horizontal="center" vertical="center" wrapText="1"/>
    </xf>
    <xf numFmtId="167" fontId="35" fillId="0" borderId="0" xfId="0" applyNumberFormat="1" applyFont="1" applyFill="1" applyBorder="1" applyAlignment="1">
      <alignment horizontal="center" vertical="center" wrapText="1"/>
    </xf>
    <xf numFmtId="1" fontId="36" fillId="0" borderId="0" xfId="0" applyNumberFormat="1" applyFont="1" applyFill="1" applyBorder="1" applyAlignment="1">
      <alignment horizontal="center" vertical="center" wrapText="1"/>
    </xf>
    <xf numFmtId="0" fontId="18" fillId="9" borderId="13" xfId="0" applyFont="1" applyFill="1" applyBorder="1" applyAlignment="1">
      <alignment horizontal="right" vertical="center" wrapText="1"/>
    </xf>
    <xf numFmtId="0" fontId="17" fillId="0" borderId="3" xfId="0" applyFont="1" applyFill="1" applyBorder="1" applyAlignment="1">
      <alignment horizontal="center" vertical="center" wrapText="1"/>
    </xf>
    <xf numFmtId="165" fontId="17" fillId="0" borderId="7" xfId="0" applyNumberFormat="1" applyFont="1" applyFill="1" applyBorder="1" applyAlignment="1">
      <alignment horizontal="center" vertical="center" wrapText="1"/>
    </xf>
    <xf numFmtId="3" fontId="21" fillId="9" borderId="29" xfId="0" applyNumberFormat="1" applyFont="1" applyFill="1" applyBorder="1" applyAlignment="1">
      <alignment horizontal="center" vertical="center" wrapText="1"/>
    </xf>
    <xf numFmtId="3" fontId="0" fillId="0" borderId="7" xfId="0" applyNumberFormat="1" applyFill="1" applyBorder="1" applyAlignment="1">
      <alignment horizontal="center"/>
    </xf>
    <xf numFmtId="3" fontId="0" fillId="0" borderId="0" xfId="0" applyNumberFormat="1" applyAlignment="1">
      <alignment horizontal="center"/>
    </xf>
    <xf numFmtId="3" fontId="17" fillId="0" borderId="0" xfId="0" applyNumberFormat="1" applyFont="1" applyAlignment="1">
      <alignment horizontal="center"/>
    </xf>
    <xf numFmtId="3" fontId="17" fillId="0" borderId="7" xfId="0" applyNumberFormat="1" applyFont="1" applyFill="1" applyBorder="1" applyAlignment="1">
      <alignment horizontal="center"/>
    </xf>
    <xf numFmtId="0" fontId="18" fillId="9" borderId="13" xfId="0" applyFont="1" applyFill="1" applyBorder="1" applyAlignment="1">
      <alignment horizontal="right" vertical="center"/>
    </xf>
    <xf numFmtId="0" fontId="18" fillId="4" borderId="13" xfId="0" applyFont="1" applyFill="1" applyBorder="1" applyAlignment="1">
      <alignment horizontal="right" vertical="center"/>
    </xf>
    <xf numFmtId="165" fontId="17" fillId="0" borderId="7" xfId="0" applyNumberFormat="1" applyFont="1" applyFill="1" applyBorder="1" applyAlignment="1">
      <alignment horizontal="center" vertical="center"/>
    </xf>
    <xf numFmtId="165" fontId="18" fillId="4" borderId="7" xfId="0" applyNumberFormat="1" applyFont="1" applyFill="1" applyBorder="1" applyAlignment="1">
      <alignment horizontal="center" vertical="center"/>
    </xf>
    <xf numFmtId="165" fontId="18" fillId="21" borderId="7" xfId="0" applyNumberFormat="1" applyFont="1" applyFill="1" applyBorder="1" applyAlignment="1">
      <alignment horizontal="center" vertical="center" wrapText="1"/>
    </xf>
    <xf numFmtId="165" fontId="18" fillId="21" borderId="7" xfId="0" applyNumberFormat="1" applyFont="1" applyFill="1" applyBorder="1" applyAlignment="1">
      <alignment horizontal="center" vertical="center"/>
    </xf>
    <xf numFmtId="165" fontId="18" fillId="9" borderId="7" xfId="0" applyNumberFormat="1" applyFont="1" applyFill="1" applyBorder="1" applyAlignment="1">
      <alignment horizontal="center" vertical="center"/>
    </xf>
    <xf numFmtId="165" fontId="22" fillId="20" borderId="7" xfId="0" applyNumberFormat="1" applyFont="1" applyFill="1" applyBorder="1" applyAlignment="1">
      <alignment horizontal="center" vertical="center"/>
    </xf>
    <xf numFmtId="169" fontId="0" fillId="0" borderId="0" xfId="0" applyNumberFormat="1" applyAlignment="1">
      <alignment horizontal="center"/>
    </xf>
    <xf numFmtId="0" fontId="18" fillId="0" borderId="12" xfId="0" applyFont="1" applyFill="1" applyBorder="1" applyAlignment="1">
      <alignment horizontal="center" vertical="center" wrapText="1"/>
    </xf>
    <xf numFmtId="165" fontId="18" fillId="0" borderId="15" xfId="0" applyNumberFormat="1" applyFont="1" applyFill="1" applyBorder="1" applyAlignment="1">
      <alignment horizontal="center" vertical="center" wrapText="1"/>
    </xf>
    <xf numFmtId="1" fontId="18" fillId="0" borderId="0" xfId="1" applyNumberFormat="1" applyFont="1" applyBorder="1" applyAlignment="1">
      <alignment horizontal="center" vertical="center" wrapText="1"/>
    </xf>
    <xf numFmtId="3" fontId="18" fillId="0" borderId="0" xfId="0" applyNumberFormat="1" applyFont="1" applyBorder="1" applyAlignment="1">
      <alignment horizontal="center"/>
    </xf>
    <xf numFmtId="3" fontId="21" fillId="9" borderId="32" xfId="0" applyNumberFormat="1" applyFont="1" applyFill="1" applyBorder="1" applyAlignment="1">
      <alignment horizontal="center" vertical="center" wrapText="1"/>
    </xf>
    <xf numFmtId="3" fontId="21" fillId="4" borderId="32" xfId="0" applyNumberFormat="1" applyFont="1" applyFill="1" applyBorder="1" applyAlignment="1">
      <alignment horizontal="center" vertical="center" wrapText="1"/>
    </xf>
    <xf numFmtId="3" fontId="0" fillId="0" borderId="32" xfId="0" applyNumberFormat="1" applyFill="1" applyBorder="1" applyAlignment="1">
      <alignment horizontal="center" vertical="center"/>
    </xf>
    <xf numFmtId="3" fontId="21" fillId="0" borderId="32" xfId="0" applyNumberFormat="1" applyFont="1" applyFill="1" applyBorder="1" applyAlignment="1">
      <alignment horizontal="center" vertical="center" wrapText="1"/>
    </xf>
    <xf numFmtId="165" fontId="41" fillId="9" borderId="33" xfId="1" applyNumberFormat="1" applyFont="1" applyFill="1" applyBorder="1" applyAlignment="1">
      <alignment horizontal="center" vertical="center" wrapText="1"/>
    </xf>
    <xf numFmtId="167" fontId="41" fillId="9" borderId="33" xfId="1" applyNumberFormat="1" applyFont="1" applyFill="1" applyBorder="1" applyAlignment="1">
      <alignment horizontal="center" vertical="center" wrapText="1"/>
    </xf>
    <xf numFmtId="167" fontId="41" fillId="9" borderId="34" xfId="1" applyNumberFormat="1" applyFont="1" applyFill="1" applyBorder="1" applyAlignment="1">
      <alignment horizontal="center" vertical="center" wrapText="1"/>
    </xf>
    <xf numFmtId="167" fontId="41" fillId="9" borderId="36" xfId="1" applyNumberFormat="1" applyFont="1" applyFill="1" applyBorder="1" applyAlignment="1">
      <alignment horizontal="center" vertical="center" wrapText="1"/>
    </xf>
    <xf numFmtId="3" fontId="18" fillId="19" borderId="43" xfId="0" applyNumberFormat="1" applyFont="1" applyFill="1" applyBorder="1" applyAlignment="1">
      <alignment horizontal="center" vertical="center"/>
    </xf>
    <xf numFmtId="0" fontId="0" fillId="5" borderId="4" xfId="0" applyFill="1" applyBorder="1" applyAlignment="1">
      <alignment horizontal="center" vertical="center" wrapText="1"/>
    </xf>
    <xf numFmtId="3" fontId="27" fillId="4" borderId="29" xfId="0" applyNumberFormat="1" applyFont="1" applyFill="1" applyBorder="1" applyAlignment="1">
      <alignment horizontal="center" vertical="center" wrapText="1"/>
    </xf>
    <xf numFmtId="0" fontId="18" fillId="9" borderId="43" xfId="0" applyFont="1" applyFill="1" applyBorder="1" applyAlignment="1">
      <alignment horizontal="justify" vertical="center" wrapText="1"/>
    </xf>
    <xf numFmtId="3" fontId="21" fillId="9" borderId="42" xfId="0" applyNumberFormat="1" applyFont="1" applyFill="1" applyBorder="1" applyAlignment="1">
      <alignment horizontal="center" vertical="center" wrapText="1"/>
    </xf>
    <xf numFmtId="3" fontId="34" fillId="0" borderId="29" xfId="0" applyNumberFormat="1" applyFont="1" applyFill="1" applyBorder="1" applyAlignment="1">
      <alignment horizontal="center" vertical="center" wrapText="1"/>
    </xf>
    <xf numFmtId="3" fontId="0" fillId="5" borderId="0" xfId="0" applyNumberFormat="1" applyFill="1" applyBorder="1" applyAlignment="1">
      <alignment horizontal="center" vertical="center"/>
    </xf>
    <xf numFmtId="3" fontId="0" fillId="5" borderId="19"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5" borderId="46" xfId="0" applyNumberFormat="1" applyFill="1" applyBorder="1" applyAlignment="1">
      <alignment horizontal="center" vertical="center"/>
    </xf>
    <xf numFmtId="0" fontId="18" fillId="4" borderId="41" xfId="0" applyFont="1" applyFill="1" applyBorder="1" applyAlignment="1">
      <alignment horizontal="right" vertical="center"/>
    </xf>
    <xf numFmtId="169" fontId="0" fillId="5" borderId="16" xfId="0" applyNumberFormat="1" applyFill="1" applyBorder="1" applyAlignment="1">
      <alignment horizontal="center"/>
    </xf>
    <xf numFmtId="169" fontId="0" fillId="5" borderId="18" xfId="0" applyNumberFormat="1" applyFill="1" applyBorder="1" applyAlignment="1">
      <alignment horizontal="center"/>
    </xf>
    <xf numFmtId="169" fontId="0" fillId="5" borderId="2" xfId="0" applyNumberFormat="1" applyFill="1" applyBorder="1" applyAlignment="1">
      <alignment horizontal="center" vertical="center" wrapText="1"/>
    </xf>
    <xf numFmtId="169" fontId="18" fillId="5" borderId="1" xfId="0" applyNumberFormat="1" applyFont="1" applyFill="1" applyBorder="1" applyAlignment="1">
      <alignment horizontal="center" vertical="center" wrapText="1"/>
    </xf>
    <xf numFmtId="169" fontId="26" fillId="0" borderId="3" xfId="0" applyNumberFormat="1" applyFont="1" applyFill="1" applyBorder="1" applyAlignment="1">
      <alignment horizontal="center" vertical="center" wrapText="1"/>
    </xf>
    <xf numFmtId="169" fontId="18" fillId="9" borderId="3" xfId="0" applyNumberFormat="1" applyFont="1" applyFill="1" applyBorder="1" applyAlignment="1">
      <alignment horizontal="center" vertical="center" wrapText="1"/>
    </xf>
    <xf numFmtId="169" fontId="17" fillId="0" borderId="3" xfId="0" applyNumberFormat="1" applyFont="1" applyFill="1" applyBorder="1" applyAlignment="1">
      <alignment horizontal="center" vertical="center" wrapText="1"/>
    </xf>
    <xf numFmtId="169" fontId="18" fillId="4" borderId="3" xfId="0" applyNumberFormat="1" applyFont="1" applyFill="1" applyBorder="1" applyAlignment="1">
      <alignment horizontal="center" vertical="center" wrapText="1"/>
    </xf>
    <xf numFmtId="169" fontId="22" fillId="4" borderId="3" xfId="0" applyNumberFormat="1" applyFont="1" applyFill="1" applyBorder="1" applyAlignment="1">
      <alignment horizontal="center" vertical="center" wrapText="1"/>
    </xf>
    <xf numFmtId="169" fontId="18" fillId="9" borderId="45" xfId="0" applyNumberFormat="1" applyFont="1" applyFill="1" applyBorder="1" applyAlignment="1">
      <alignment horizontal="center" vertical="center" wrapText="1"/>
    </xf>
    <xf numFmtId="169" fontId="18" fillId="0" borderId="0" xfId="0" applyNumberFormat="1" applyFont="1" applyFill="1" applyBorder="1" applyAlignment="1">
      <alignment horizontal="center" vertical="center" wrapText="1"/>
    </xf>
    <xf numFmtId="169" fontId="18" fillId="0" borderId="0" xfId="1" applyNumberFormat="1" applyFont="1" applyBorder="1" applyAlignment="1">
      <alignment horizontal="center" wrapText="1"/>
    </xf>
    <xf numFmtId="169" fontId="0" fillId="5" borderId="0" xfId="0" applyNumberFormat="1" applyFill="1" applyBorder="1" applyAlignment="1">
      <alignment horizontal="center"/>
    </xf>
    <xf numFmtId="169" fontId="0" fillId="5" borderId="19" xfId="0" applyNumberFormat="1" applyFill="1" applyBorder="1" applyAlignment="1">
      <alignment horizontal="center"/>
    </xf>
    <xf numFmtId="169" fontId="0" fillId="5" borderId="2" xfId="0" applyNumberFormat="1" applyFill="1" applyBorder="1" applyAlignment="1">
      <alignment horizontal="center"/>
    </xf>
    <xf numFmtId="0" fontId="26" fillId="24" borderId="7" xfId="0" applyFont="1" applyFill="1" applyBorder="1" applyAlignment="1">
      <alignment horizontal="left" vertical="center"/>
    </xf>
    <xf numFmtId="0" fontId="22" fillId="0" borderId="14" xfId="0" applyFont="1" applyFill="1" applyBorder="1" applyAlignment="1">
      <alignment horizontal="justify" vertical="center" wrapText="1"/>
    </xf>
    <xf numFmtId="169" fontId="22" fillId="0" borderId="5" xfId="0" applyNumberFormat="1" applyFont="1" applyFill="1" applyBorder="1" applyAlignment="1">
      <alignment horizontal="center" vertical="center" wrapText="1"/>
    </xf>
    <xf numFmtId="3" fontId="27" fillId="0" borderId="26"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169" fontId="0" fillId="0" borderId="0" xfId="0" applyNumberFormat="1" applyFill="1" applyBorder="1" applyAlignment="1">
      <alignment horizontal="center"/>
    </xf>
    <xf numFmtId="3" fontId="0" fillId="0" borderId="0" xfId="0" applyNumberFormat="1" applyBorder="1" applyAlignment="1">
      <alignment horizontal="center" vertical="center"/>
    </xf>
    <xf numFmtId="169" fontId="0" fillId="0" borderId="0" xfId="0" applyNumberFormat="1" applyBorder="1" applyAlignment="1">
      <alignment horizontal="center"/>
    </xf>
    <xf numFmtId="3" fontId="18" fillId="0" borderId="0" xfId="1" applyNumberFormat="1" applyFont="1" applyFill="1" applyBorder="1" applyAlignment="1">
      <alignment horizontal="center" vertical="center" wrapText="1"/>
    </xf>
    <xf numFmtId="169" fontId="18" fillId="0" borderId="0" xfId="1" applyNumberFormat="1" applyFont="1" applyFill="1" applyBorder="1" applyAlignment="1">
      <alignment horizontal="center" vertical="center" wrapText="1"/>
    </xf>
    <xf numFmtId="3" fontId="21" fillId="5" borderId="30" xfId="0" applyNumberFormat="1" applyFont="1" applyFill="1" applyBorder="1" applyAlignment="1">
      <alignment horizontal="center" vertical="center" wrapText="1"/>
    </xf>
    <xf numFmtId="3" fontId="17" fillId="0" borderId="3" xfId="0" applyNumberFormat="1" applyFont="1" applyFill="1" applyBorder="1" applyAlignment="1">
      <alignment horizontal="center"/>
    </xf>
    <xf numFmtId="3" fontId="21" fillId="9" borderId="2" xfId="0" applyNumberFormat="1" applyFont="1" applyFill="1" applyBorder="1" applyAlignment="1">
      <alignment horizontal="center" vertical="center" wrapText="1"/>
    </xf>
    <xf numFmtId="3" fontId="21" fillId="4" borderId="2"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xf>
    <xf numFmtId="3" fontId="21" fillId="0" borderId="2" xfId="0" applyNumberFormat="1" applyFont="1" applyFill="1" applyBorder="1" applyAlignment="1">
      <alignment horizontal="center" vertical="center" wrapText="1"/>
    </xf>
    <xf numFmtId="169" fontId="21" fillId="5" borderId="47" xfId="0" applyNumberFormat="1" applyFont="1" applyFill="1" applyBorder="1" applyAlignment="1">
      <alignment horizontal="center" vertical="center" wrapText="1"/>
    </xf>
    <xf numFmtId="169" fontId="0" fillId="0" borderId="32" xfId="0" applyNumberFormat="1" applyFill="1" applyBorder="1" applyAlignment="1">
      <alignment horizontal="center"/>
    </xf>
    <xf numFmtId="169" fontId="17" fillId="0" borderId="32" xfId="0" applyNumberFormat="1" applyFont="1" applyFill="1" applyBorder="1" applyAlignment="1">
      <alignment horizontal="center" vertical="center"/>
    </xf>
    <xf numFmtId="3" fontId="0" fillId="0" borderId="3" xfId="0" applyNumberFormat="1" applyFill="1" applyBorder="1" applyAlignment="1">
      <alignment horizontal="center" vertical="center"/>
    </xf>
    <xf numFmtId="3" fontId="23" fillId="0" borderId="3"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169" fontId="21" fillId="9" borderId="32" xfId="0" applyNumberFormat="1" applyFont="1" applyFill="1" applyBorder="1" applyAlignment="1">
      <alignment horizontal="center" vertical="center" wrapText="1"/>
    </xf>
    <xf numFmtId="169" fontId="21" fillId="4" borderId="32" xfId="0" applyNumberFormat="1" applyFont="1" applyFill="1" applyBorder="1" applyAlignment="1">
      <alignment horizontal="center" vertical="center" wrapText="1"/>
    </xf>
    <xf numFmtId="169" fontId="26" fillId="0" borderId="32" xfId="0" applyNumberFormat="1" applyFont="1" applyFill="1" applyBorder="1" applyAlignment="1">
      <alignment horizontal="center"/>
    </xf>
    <xf numFmtId="3" fontId="27" fillId="4" borderId="32" xfId="0" applyNumberFormat="1" applyFont="1" applyFill="1" applyBorder="1" applyAlignment="1">
      <alignment horizontal="center" vertical="center" wrapText="1"/>
    </xf>
    <xf numFmtId="169" fontId="0" fillId="0" borderId="48" xfId="0" applyNumberFormat="1" applyFill="1" applyBorder="1" applyAlignment="1">
      <alignment horizontal="center"/>
    </xf>
    <xf numFmtId="3" fontId="21" fillId="9" borderId="49" xfId="0" applyNumberFormat="1" applyFont="1" applyFill="1" applyBorder="1" applyAlignment="1">
      <alignment horizontal="center" vertical="center" wrapText="1"/>
    </xf>
    <xf numFmtId="3" fontId="21" fillId="4" borderId="3" xfId="1" applyNumberFormat="1" applyFont="1" applyFill="1" applyBorder="1" applyAlignment="1">
      <alignment horizontal="center" vertical="center" wrapText="1"/>
    </xf>
    <xf numFmtId="3" fontId="26" fillId="0" borderId="3" xfId="0" applyNumberFormat="1" applyFont="1" applyFill="1" applyBorder="1" applyAlignment="1">
      <alignment horizontal="center" vertical="center"/>
    </xf>
    <xf numFmtId="3" fontId="21" fillId="0" borderId="3" xfId="0" applyNumberFormat="1" applyFont="1" applyFill="1" applyBorder="1" applyAlignment="1">
      <alignment horizontal="center" vertical="center" wrapText="1"/>
    </xf>
    <xf numFmtId="3" fontId="18" fillId="19" borderId="45" xfId="0" applyNumberFormat="1" applyFont="1" applyFill="1" applyBorder="1" applyAlignment="1">
      <alignment horizontal="center" vertical="center"/>
    </xf>
    <xf numFmtId="3" fontId="21" fillId="5" borderId="47" xfId="0" applyNumberFormat="1" applyFont="1" applyFill="1" applyBorder="1" applyAlignment="1">
      <alignment horizontal="center" vertical="center" wrapText="1"/>
    </xf>
    <xf numFmtId="0" fontId="0" fillId="0" borderId="32" xfId="0" applyFill="1" applyBorder="1" applyAlignment="1">
      <alignment horizontal="center" vertical="center"/>
    </xf>
    <xf numFmtId="168" fontId="21" fillId="4" borderId="32" xfId="1" applyNumberFormat="1" applyFont="1" applyFill="1" applyBorder="1" applyAlignment="1">
      <alignment horizontal="center" vertical="center" wrapText="1"/>
    </xf>
    <xf numFmtId="167" fontId="21" fillId="9" borderId="49" xfId="1" applyNumberFormat="1" applyFont="1" applyFill="1" applyBorder="1" applyAlignment="1">
      <alignment horizontal="center" wrapText="1"/>
    </xf>
    <xf numFmtId="3" fontId="21" fillId="5" borderId="7" xfId="0" applyNumberFormat="1" applyFont="1" applyFill="1" applyBorder="1" applyAlignment="1">
      <alignment horizontal="center" vertical="center" wrapText="1"/>
    </xf>
    <xf numFmtId="0" fontId="23" fillId="0" borderId="7" xfId="0" applyFont="1" applyFill="1" applyBorder="1"/>
    <xf numFmtId="0" fontId="0" fillId="0" borderId="7" xfId="0" applyFill="1" applyBorder="1"/>
    <xf numFmtId="169" fontId="0" fillId="0" borderId="25" xfId="0" applyNumberFormat="1" applyBorder="1" applyAlignment="1">
      <alignment horizontal="center"/>
    </xf>
    <xf numFmtId="3" fontId="27" fillId="5" borderId="50" xfId="0" applyNumberFormat="1" applyFont="1" applyFill="1" applyBorder="1" applyAlignment="1">
      <alignment horizontal="center" vertical="center" wrapText="1"/>
    </xf>
    <xf numFmtId="3" fontId="27" fillId="5" borderId="40" xfId="0" applyNumberFormat="1" applyFont="1" applyFill="1" applyBorder="1" applyAlignment="1">
      <alignment horizontal="center" vertical="center" wrapText="1"/>
    </xf>
    <xf numFmtId="0" fontId="18" fillId="0" borderId="15"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0" fillId="5" borderId="46" xfId="0" applyFill="1" applyBorder="1" applyAlignment="1"/>
    <xf numFmtId="3" fontId="40" fillId="21" borderId="7" xfId="2" applyNumberFormat="1" applyFont="1" applyFill="1" applyBorder="1" applyAlignment="1">
      <alignment horizontal="left" vertical="center"/>
    </xf>
    <xf numFmtId="3" fontId="40" fillId="21" borderId="14" xfId="2" applyNumberFormat="1" applyFont="1" applyFill="1" applyBorder="1" applyAlignment="1">
      <alignment horizontal="left" vertical="center"/>
    </xf>
    <xf numFmtId="3" fontId="40" fillId="24" borderId="7" xfId="2" applyNumberFormat="1" applyFont="1" applyFill="1" applyBorder="1" applyAlignment="1">
      <alignment horizontal="left" vertical="center"/>
    </xf>
    <xf numFmtId="3" fontId="40" fillId="24" borderId="14" xfId="2" applyNumberFormat="1" applyFont="1" applyFill="1" applyBorder="1" applyAlignment="1">
      <alignment horizontal="left" vertical="center"/>
    </xf>
    <xf numFmtId="3" fontId="18" fillId="0" borderId="0" xfId="1" applyNumberFormat="1" applyFont="1" applyBorder="1" applyAlignment="1">
      <alignment horizontal="center"/>
    </xf>
    <xf numFmtId="3" fontId="18" fillId="4" borderId="14" xfId="0" applyNumberFormat="1" applyFont="1" applyFill="1" applyBorder="1" applyAlignment="1">
      <alignment horizontal="center" vertical="center" wrapText="1"/>
    </xf>
    <xf numFmtId="3" fontId="18" fillId="4" borderId="7" xfId="0" applyNumberFormat="1" applyFont="1" applyFill="1" applyBorder="1" applyAlignment="1">
      <alignment horizontal="center" vertical="center"/>
    </xf>
    <xf numFmtId="3" fontId="0" fillId="5" borderId="2" xfId="0" applyNumberFormat="1" applyFill="1" applyBorder="1" applyAlignment="1">
      <alignment horizontal="center"/>
    </xf>
    <xf numFmtId="3" fontId="18" fillId="5" borderId="1" xfId="0" applyNumberFormat="1" applyFont="1" applyFill="1" applyBorder="1" applyAlignment="1">
      <alignment horizontal="center" vertical="center" wrapText="1"/>
    </xf>
    <xf numFmtId="0" fontId="17" fillId="0" borderId="7" xfId="0" applyFont="1" applyFill="1" applyBorder="1"/>
    <xf numFmtId="3" fontId="39" fillId="13" borderId="7" xfId="2" applyNumberFormat="1" applyFont="1" applyFill="1" applyBorder="1" applyAlignment="1">
      <alignment horizontal="left" vertical="center" wrapText="1"/>
    </xf>
    <xf numFmtId="1" fontId="34" fillId="0" borderId="7" xfId="0" applyNumberFormat="1" applyFont="1" applyFill="1" applyBorder="1" applyAlignment="1">
      <alignment horizontal="center" vertical="center" wrapText="1"/>
    </xf>
    <xf numFmtId="3" fontId="0" fillId="5" borderId="0" xfId="0" applyNumberFormat="1" applyFill="1" applyBorder="1"/>
    <xf numFmtId="3" fontId="0" fillId="5" borderId="19" xfId="0" applyNumberFormat="1" applyFill="1" applyBorder="1"/>
    <xf numFmtId="3" fontId="0" fillId="5" borderId="2" xfId="0" applyNumberFormat="1" applyFill="1" applyBorder="1" applyAlignment="1"/>
    <xf numFmtId="3" fontId="26" fillId="0" borderId="3"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18" fillId="0" borderId="0" xfId="1" applyNumberFormat="1" applyFont="1" applyFill="1" applyBorder="1" applyAlignment="1">
      <alignment horizontal="center" vertical="center" wrapText="1"/>
    </xf>
    <xf numFmtId="3" fontId="18" fillId="4" borderId="3" xfId="0" applyNumberFormat="1" applyFont="1" applyFill="1" applyBorder="1" applyAlignment="1">
      <alignment horizontal="center" vertical="center" wrapText="1"/>
    </xf>
    <xf numFmtId="3" fontId="27" fillId="5" borderId="51" xfId="0" applyNumberFormat="1" applyFont="1" applyFill="1" applyBorder="1" applyAlignment="1">
      <alignment horizontal="center" vertical="center" wrapText="1"/>
    </xf>
    <xf numFmtId="0" fontId="0" fillId="3" borderId="0" xfId="0" applyFill="1" applyAlignment="1">
      <alignment vertical="center" wrapText="1"/>
    </xf>
    <xf numFmtId="0" fontId="0" fillId="5" borderId="16" xfId="0" applyFill="1" applyBorder="1" applyAlignment="1">
      <alignment horizontal="center" vertical="center" wrapText="1"/>
    </xf>
    <xf numFmtId="0" fontId="0" fillId="3" borderId="0" xfId="0" applyFill="1" applyBorder="1" applyAlignment="1">
      <alignment vertical="center" wrapText="1"/>
    </xf>
    <xf numFmtId="3" fontId="0" fillId="3" borderId="0" xfId="0" applyNumberFormat="1" applyFill="1" applyBorder="1" applyAlignment="1">
      <alignment vertical="center" wrapText="1"/>
    </xf>
    <xf numFmtId="0" fontId="0" fillId="5" borderId="18" xfId="0" applyFill="1" applyBorder="1" applyAlignment="1">
      <alignment horizontal="center" vertical="center" wrapText="1"/>
    </xf>
    <xf numFmtId="0" fontId="0" fillId="5" borderId="46" xfId="0" applyFill="1" applyBorder="1" applyAlignment="1">
      <alignment vertical="center" wrapText="1"/>
    </xf>
    <xf numFmtId="0" fontId="0" fillId="5" borderId="0" xfId="0" applyFill="1" applyBorder="1" applyAlignment="1">
      <alignment horizontal="center" vertical="center" wrapText="1"/>
    </xf>
    <xf numFmtId="0" fontId="0" fillId="5" borderId="19" xfId="0" applyFill="1" applyBorder="1" applyAlignment="1">
      <alignment horizontal="center" vertical="center" wrapText="1"/>
    </xf>
    <xf numFmtId="0" fontId="17" fillId="18" borderId="12" xfId="0" applyFont="1" applyFill="1" applyBorder="1" applyAlignment="1">
      <alignment horizontal="left" vertical="center"/>
    </xf>
    <xf numFmtId="0" fontId="19" fillId="18" borderId="0" xfId="0" applyFont="1" applyFill="1" applyBorder="1" applyAlignment="1">
      <alignment horizontal="center"/>
    </xf>
    <xf numFmtId="0" fontId="17" fillId="18" borderId="12" xfId="0" applyFont="1" applyFill="1" applyBorder="1" applyAlignment="1">
      <alignment vertical="center"/>
    </xf>
    <xf numFmtId="0" fontId="19" fillId="18" borderId="17" xfId="0" applyFont="1" applyFill="1" applyBorder="1" applyAlignment="1">
      <alignment horizontal="center"/>
    </xf>
    <xf numFmtId="0" fontId="19" fillId="18" borderId="0" xfId="0" applyFont="1" applyFill="1" applyBorder="1" applyAlignment="1">
      <alignment horizontal="center" vertical="center" wrapText="1"/>
    </xf>
    <xf numFmtId="170" fontId="20" fillId="18" borderId="0" xfId="1" applyNumberFormat="1" applyFont="1" applyFill="1" applyBorder="1" applyAlignment="1">
      <alignment horizontal="center" vertical="center" wrapText="1"/>
    </xf>
    <xf numFmtId="0" fontId="17" fillId="18" borderId="0" xfId="0" applyFont="1" applyFill="1" applyBorder="1" applyAlignment="1">
      <alignment horizontal="left" vertical="center" wrapText="1"/>
    </xf>
    <xf numFmtId="166" fontId="18" fillId="18" borderId="0" xfId="1" applyNumberFormat="1" applyFont="1" applyFill="1" applyBorder="1" applyAlignment="1">
      <alignment horizontal="center" vertical="center" wrapText="1"/>
    </xf>
    <xf numFmtId="0" fontId="17" fillId="18" borderId="0" xfId="0" applyFont="1" applyFill="1" applyBorder="1" applyAlignment="1">
      <alignment horizontal="left" wrapText="1"/>
    </xf>
    <xf numFmtId="0" fontId="17" fillId="18" borderId="17" xfId="0" applyFont="1" applyFill="1" applyBorder="1" applyAlignment="1">
      <alignment horizontal="left" wrapText="1"/>
    </xf>
    <xf numFmtId="0" fontId="0" fillId="18" borderId="20" xfId="0" applyFill="1" applyBorder="1"/>
    <xf numFmtId="170" fontId="20" fillId="18" borderId="14" xfId="1" applyNumberFormat="1" applyFont="1" applyFill="1" applyBorder="1" applyAlignment="1">
      <alignment horizontal="center"/>
    </xf>
    <xf numFmtId="0" fontId="17" fillId="18" borderId="7" xfId="0" applyFont="1" applyFill="1" applyBorder="1" applyAlignment="1">
      <alignment horizontal="left" wrapText="1"/>
    </xf>
    <xf numFmtId="3" fontId="18" fillId="0" borderId="0" xfId="0" applyNumberFormat="1" applyFont="1" applyBorder="1" applyAlignment="1">
      <alignment horizontal="center" vertical="center" wrapText="1"/>
    </xf>
    <xf numFmtId="0" fontId="0" fillId="18" borderId="7" xfId="0" applyFill="1" applyBorder="1"/>
    <xf numFmtId="3" fontId="0" fillId="0" borderId="0" xfId="0" applyNumberFormat="1" applyFill="1"/>
    <xf numFmtId="3" fontId="17" fillId="0" borderId="7" xfId="0" applyNumberFormat="1" applyFont="1" applyFill="1" applyBorder="1"/>
    <xf numFmtId="3" fontId="0" fillId="0" borderId="7" xfId="0" applyNumberFormat="1" applyFill="1" applyBorder="1"/>
    <xf numFmtId="165" fontId="0" fillId="0" borderId="0" xfId="0" applyNumberFormat="1" applyFill="1"/>
    <xf numFmtId="3" fontId="20" fillId="18" borderId="7" xfId="1" applyNumberFormat="1" applyFont="1" applyFill="1" applyBorder="1" applyAlignment="1">
      <alignment horizontal="center" vertical="center" wrapText="1"/>
    </xf>
    <xf numFmtId="0" fontId="17" fillId="4" borderId="7" xfId="0" applyFont="1" applyFill="1" applyBorder="1" applyAlignment="1">
      <alignment horizontal="left" wrapText="1"/>
    </xf>
    <xf numFmtId="166" fontId="18" fillId="18" borderId="7" xfId="1" applyNumberFormat="1" applyFont="1" applyFill="1" applyBorder="1" applyAlignment="1">
      <alignment horizontal="center"/>
    </xf>
    <xf numFmtId="0" fontId="0" fillId="4" borderId="7" xfId="0" applyFill="1" applyBorder="1"/>
    <xf numFmtId="0" fontId="0" fillId="0" borderId="7" xfId="0" applyFill="1" applyBorder="1" applyAlignment="1">
      <alignment vertical="center"/>
    </xf>
    <xf numFmtId="3" fontId="0" fillId="0" borderId="48" xfId="0" applyNumberFormat="1" applyFill="1" applyBorder="1" applyAlignment="1">
      <alignment horizontal="center" vertical="center"/>
    </xf>
    <xf numFmtId="3" fontId="0" fillId="0" borderId="0" xfId="0" applyNumberFormat="1" applyBorder="1"/>
    <xf numFmtId="0" fontId="17" fillId="18" borderId="7" xfId="0" applyFont="1" applyFill="1" applyBorder="1" applyAlignment="1">
      <alignment horizontal="left" vertical="center" wrapText="1"/>
    </xf>
    <xf numFmtId="0" fontId="0" fillId="5" borderId="0" xfId="0" applyFill="1" applyBorder="1" applyAlignment="1">
      <alignment vertical="center" wrapText="1"/>
    </xf>
    <xf numFmtId="3" fontId="0" fillId="3" borderId="0" xfId="0" applyNumberFormat="1" applyFill="1" applyAlignment="1">
      <alignment vertical="center" wrapText="1"/>
    </xf>
    <xf numFmtId="0" fontId="17" fillId="0" borderId="7" xfId="0" applyFont="1" applyFill="1" applyBorder="1" applyAlignment="1">
      <alignment vertical="center"/>
    </xf>
    <xf numFmtId="0" fontId="18" fillId="19" borderId="7" xfId="0" applyFont="1" applyFill="1" applyBorder="1" applyAlignment="1">
      <alignment vertical="center"/>
    </xf>
    <xf numFmtId="0" fontId="0" fillId="19" borderId="7" xfId="0" applyFill="1" applyBorder="1" applyAlignment="1">
      <alignment vertical="center"/>
    </xf>
    <xf numFmtId="0" fontId="18" fillId="25" borderId="6" xfId="0" applyFont="1" applyFill="1" applyBorder="1" applyAlignment="1">
      <alignment horizontal="center" vertical="center" wrapText="1"/>
    </xf>
    <xf numFmtId="1" fontId="17" fillId="25" borderId="6" xfId="0" applyNumberFormat="1" applyFont="1" applyFill="1" applyBorder="1" applyAlignment="1">
      <alignment horizontal="center" vertical="center" wrapText="1"/>
    </xf>
    <xf numFmtId="3" fontId="25" fillId="25" borderId="6" xfId="0" applyNumberFormat="1" applyFont="1" applyFill="1" applyBorder="1" applyAlignment="1">
      <alignment horizontal="center" vertical="center" wrapText="1"/>
    </xf>
    <xf numFmtId="1" fontId="25" fillId="25" borderId="6" xfId="0" applyNumberFormat="1" applyFont="1" applyFill="1" applyBorder="1" applyAlignment="1">
      <alignment horizontal="center" vertical="center" wrapText="1"/>
    </xf>
    <xf numFmtId="3" fontId="25" fillId="25" borderId="44" xfId="0" applyNumberFormat="1" applyFont="1" applyFill="1" applyBorder="1" applyAlignment="1">
      <alignment horizontal="center" vertical="center" wrapText="1"/>
    </xf>
    <xf numFmtId="3" fontId="23" fillId="25" borderId="20" xfId="0" applyNumberFormat="1" applyFont="1" applyFill="1" applyBorder="1" applyAlignment="1">
      <alignment horizontal="center" vertical="center"/>
    </xf>
    <xf numFmtId="3" fontId="23" fillId="25" borderId="6" xfId="0" applyNumberFormat="1" applyFont="1" applyFill="1" applyBorder="1" applyAlignment="1">
      <alignment horizontal="center" vertical="center"/>
    </xf>
    <xf numFmtId="0" fontId="18" fillId="25" borderId="7" xfId="0" applyFont="1" applyFill="1" applyBorder="1" applyAlignment="1">
      <alignment horizontal="center" vertical="center"/>
    </xf>
    <xf numFmtId="3" fontId="23" fillId="25" borderId="7" xfId="0" applyNumberFormat="1" applyFont="1" applyFill="1" applyBorder="1"/>
    <xf numFmtId="0" fontId="18" fillId="23" borderId="7" xfId="0" applyFont="1" applyFill="1" applyBorder="1" applyAlignment="1">
      <alignment horizontal="center" vertical="center" wrapText="1"/>
    </xf>
    <xf numFmtId="1" fontId="17" fillId="23" borderId="7" xfId="0" applyNumberFormat="1" applyFont="1" applyFill="1" applyBorder="1" applyAlignment="1">
      <alignment horizontal="center" vertical="center" wrapText="1"/>
    </xf>
    <xf numFmtId="3" fontId="34" fillId="23" borderId="7" xfId="1" applyNumberFormat="1" applyFont="1" applyFill="1" applyBorder="1" applyAlignment="1">
      <alignment horizontal="center" vertical="center" wrapText="1"/>
    </xf>
    <xf numFmtId="1" fontId="34" fillId="23" borderId="7" xfId="1" applyNumberFormat="1" applyFont="1" applyFill="1" applyBorder="1" applyAlignment="1">
      <alignment horizontal="center" vertical="center" wrapText="1"/>
    </xf>
    <xf numFmtId="3" fontId="34" fillId="23" borderId="29" xfId="1" applyNumberFormat="1" applyFont="1" applyFill="1" applyBorder="1" applyAlignment="1">
      <alignment horizontal="center" vertical="center" wrapText="1"/>
    </xf>
    <xf numFmtId="168" fontId="34" fillId="23" borderId="32" xfId="1" applyNumberFormat="1" applyFont="1" applyFill="1" applyBorder="1" applyAlignment="1">
      <alignment horizontal="center" vertical="center" wrapText="1"/>
    </xf>
    <xf numFmtId="3" fontId="26" fillId="23" borderId="3" xfId="0" applyNumberFormat="1" applyFont="1" applyFill="1" applyBorder="1" applyAlignment="1">
      <alignment horizontal="center" vertical="center"/>
    </xf>
    <xf numFmtId="3" fontId="23" fillId="23" borderId="7" xfId="0" applyNumberFormat="1" applyFont="1" applyFill="1" applyBorder="1" applyAlignment="1">
      <alignment horizontal="center" vertical="center"/>
    </xf>
    <xf numFmtId="3" fontId="0" fillId="23" borderId="7" xfId="0" applyNumberFormat="1" applyFill="1" applyBorder="1" applyAlignment="1">
      <alignment horizontal="center" vertical="center"/>
    </xf>
    <xf numFmtId="0" fontId="23" fillId="23" borderId="7" xfId="0" applyFont="1" applyFill="1" applyBorder="1" applyAlignment="1">
      <alignment vertical="center"/>
    </xf>
    <xf numFmtId="3" fontId="23" fillId="23" borderId="7" xfId="0" applyNumberFormat="1" applyFont="1" applyFill="1" applyBorder="1"/>
    <xf numFmtId="3" fontId="30" fillId="7" borderId="3" xfId="0" applyNumberFormat="1" applyFont="1" applyFill="1" applyBorder="1" applyAlignment="1">
      <alignment horizontal="left" vertical="center" wrapText="1"/>
    </xf>
    <xf numFmtId="3" fontId="0" fillId="23" borderId="3" xfId="0" applyNumberFormat="1" applyFill="1" applyBorder="1" applyAlignment="1">
      <alignment horizontal="center" vertical="center"/>
    </xf>
    <xf numFmtId="3" fontId="21" fillId="4" borderId="32" xfId="1" applyNumberFormat="1" applyFont="1" applyFill="1" applyBorder="1" applyAlignment="1">
      <alignment horizontal="center" vertical="center" wrapText="1"/>
    </xf>
    <xf numFmtId="3" fontId="0" fillId="23" borderId="32" xfId="0" applyNumberFormat="1" applyFill="1" applyBorder="1" applyAlignment="1">
      <alignment horizontal="center" vertical="center"/>
    </xf>
    <xf numFmtId="3" fontId="0" fillId="0" borderId="2" xfId="0" applyNumberFormat="1" applyFill="1" applyBorder="1" applyAlignment="1">
      <alignment horizontal="center" vertical="center"/>
    </xf>
    <xf numFmtId="1" fontId="21" fillId="9" borderId="7" xfId="0" applyNumberFormat="1" applyFont="1" applyFill="1" applyBorder="1" applyAlignment="1">
      <alignment horizontal="center" vertical="center" wrapText="1"/>
    </xf>
    <xf numFmtId="1" fontId="21" fillId="5" borderId="14" xfId="0" applyNumberFormat="1" applyFont="1" applyFill="1" applyBorder="1" applyAlignment="1">
      <alignment horizontal="center" vertical="center" wrapText="1"/>
    </xf>
    <xf numFmtId="1" fontId="0" fillId="0" borderId="0" xfId="0" applyNumberFormat="1" applyBorder="1"/>
    <xf numFmtId="0" fontId="41" fillId="0" borderId="12" xfId="0" applyFont="1" applyBorder="1" applyAlignment="1">
      <alignment wrapText="1"/>
    </xf>
    <xf numFmtId="3" fontId="41" fillId="11" borderId="7" xfId="0" applyNumberFormat="1" applyFont="1" applyFill="1" applyBorder="1" applyAlignment="1">
      <alignment horizontal="center" vertical="center" wrapText="1"/>
    </xf>
    <xf numFmtId="0" fontId="38" fillId="0" borderId="0" xfId="0" applyFont="1"/>
    <xf numFmtId="3" fontId="38" fillId="0" borderId="0" xfId="0" applyNumberFormat="1" applyFont="1"/>
    <xf numFmtId="0" fontId="17" fillId="0" borderId="7" xfId="0" applyFont="1" applyFill="1" applyBorder="1" applyAlignment="1"/>
    <xf numFmtId="0" fontId="18" fillId="5" borderId="46" xfId="0" applyFont="1" applyFill="1" applyBorder="1" applyAlignment="1"/>
    <xf numFmtId="3" fontId="18" fillId="0" borderId="0" xfId="0" applyNumberFormat="1" applyFont="1" applyAlignment="1">
      <alignment horizontal="center"/>
    </xf>
    <xf numFmtId="0" fontId="18" fillId="2" borderId="12" xfId="0" applyFont="1" applyFill="1" applyBorder="1" applyAlignment="1">
      <alignment horizontal="center" vertical="center"/>
    </xf>
    <xf numFmtId="165" fontId="18" fillId="2" borderId="0" xfId="0" applyNumberFormat="1" applyFont="1" applyFill="1" applyBorder="1" applyAlignment="1">
      <alignment horizontal="center" vertical="center"/>
    </xf>
    <xf numFmtId="0" fontId="18" fillId="2" borderId="0" xfId="0" applyFont="1" applyFill="1" applyBorder="1" applyAlignment="1">
      <alignment horizontal="center" vertical="center"/>
    </xf>
    <xf numFmtId="165" fontId="18" fillId="2" borderId="0" xfId="0" applyNumberFormat="1" applyFont="1" applyFill="1" applyBorder="1" applyAlignment="1">
      <alignment horizontal="center"/>
    </xf>
    <xf numFmtId="169" fontId="18" fillId="25" borderId="5" xfId="0" applyNumberFormat="1" applyFont="1" applyFill="1" applyBorder="1" applyAlignment="1">
      <alignment horizontal="center" vertical="center" wrapText="1"/>
    </xf>
    <xf numFmtId="3" fontId="0" fillId="25" borderId="15" xfId="0" applyNumberFormat="1" applyFill="1" applyBorder="1" applyAlignment="1">
      <alignment horizontal="center" vertical="center"/>
    </xf>
    <xf numFmtId="169" fontId="0" fillId="25" borderId="44" xfId="0" applyNumberFormat="1" applyFill="1" applyBorder="1" applyAlignment="1">
      <alignment horizontal="center"/>
    </xf>
    <xf numFmtId="3" fontId="0" fillId="25" borderId="20" xfId="0" applyNumberFormat="1" applyFill="1" applyBorder="1" applyAlignment="1">
      <alignment horizontal="center" vertical="center"/>
    </xf>
    <xf numFmtId="3" fontId="0" fillId="25" borderId="6" xfId="0" applyNumberFormat="1" applyFill="1" applyBorder="1" applyAlignment="1">
      <alignment horizontal="center" vertical="center"/>
    </xf>
    <xf numFmtId="0" fontId="0" fillId="25" borderId="7" xfId="0" applyFill="1" applyBorder="1"/>
    <xf numFmtId="169" fontId="0" fillId="25" borderId="32" xfId="0" applyNumberFormat="1" applyFill="1" applyBorder="1" applyAlignment="1">
      <alignment horizontal="center"/>
    </xf>
    <xf numFmtId="3" fontId="0" fillId="25" borderId="3" xfId="0" applyNumberFormat="1" applyFill="1" applyBorder="1" applyAlignment="1">
      <alignment horizontal="center" vertical="center"/>
    </xf>
    <xf numFmtId="3" fontId="0" fillId="25" borderId="7" xfId="0" applyNumberFormat="1" applyFill="1" applyBorder="1" applyAlignment="1">
      <alignment horizontal="center" vertical="center"/>
    </xf>
    <xf numFmtId="3" fontId="0" fillId="25" borderId="32" xfId="0" applyNumberFormat="1" applyFill="1" applyBorder="1" applyAlignment="1">
      <alignment horizontal="center" vertical="center"/>
    </xf>
    <xf numFmtId="169" fontId="24" fillId="23" borderId="3" xfId="0" applyNumberFormat="1" applyFont="1" applyFill="1" applyBorder="1" applyAlignment="1">
      <alignment horizontal="center" vertical="center" wrapText="1"/>
    </xf>
    <xf numFmtId="3" fontId="25" fillId="23" borderId="29" xfId="0" applyNumberFormat="1" applyFont="1" applyFill="1" applyBorder="1" applyAlignment="1">
      <alignment horizontal="center" vertical="center" wrapText="1"/>
    </xf>
    <xf numFmtId="169" fontId="23" fillId="23" borderId="32" xfId="0" applyNumberFormat="1" applyFont="1" applyFill="1" applyBorder="1" applyAlignment="1">
      <alignment horizontal="center"/>
    </xf>
    <xf numFmtId="3" fontId="23" fillId="23" borderId="3" xfId="0" applyNumberFormat="1" applyFont="1" applyFill="1" applyBorder="1" applyAlignment="1">
      <alignment horizontal="center" vertical="center"/>
    </xf>
    <xf numFmtId="3" fontId="23" fillId="23" borderId="32" xfId="0" applyNumberFormat="1" applyFont="1" applyFill="1" applyBorder="1" applyAlignment="1">
      <alignment horizontal="center" vertical="center"/>
    </xf>
    <xf numFmtId="169" fontId="18" fillId="23" borderId="3" xfId="0" applyNumberFormat="1" applyFont="1" applyFill="1" applyBorder="1" applyAlignment="1">
      <alignment horizontal="center" vertical="center" wrapText="1"/>
    </xf>
    <xf numFmtId="3" fontId="21" fillId="23" borderId="29" xfId="0" applyNumberFormat="1" applyFont="1" applyFill="1" applyBorder="1" applyAlignment="1">
      <alignment horizontal="center" vertical="center" wrapText="1"/>
    </xf>
    <xf numFmtId="169" fontId="0" fillId="23" borderId="32" xfId="0" applyNumberFormat="1" applyFill="1" applyBorder="1" applyAlignment="1">
      <alignment horizontal="center"/>
    </xf>
    <xf numFmtId="0" fontId="26" fillId="13" borderId="32" xfId="0" applyFont="1" applyFill="1" applyBorder="1" applyAlignment="1">
      <alignment horizontal="left" vertical="center"/>
    </xf>
    <xf numFmtId="3" fontId="25" fillId="22" borderId="29" xfId="0" applyNumberFormat="1" applyFont="1" applyFill="1" applyBorder="1" applyAlignment="1">
      <alignment horizontal="center" vertical="center" wrapText="1"/>
    </xf>
    <xf numFmtId="3" fontId="23" fillId="22" borderId="7" xfId="0" applyNumberFormat="1" applyFont="1" applyFill="1" applyBorder="1" applyAlignment="1">
      <alignment horizontal="center" vertical="center"/>
    </xf>
    <xf numFmtId="169" fontId="23" fillId="22" borderId="32" xfId="0" applyNumberFormat="1" applyFont="1" applyFill="1" applyBorder="1" applyAlignment="1">
      <alignment horizontal="center"/>
    </xf>
    <xf numFmtId="3" fontId="23" fillId="22" borderId="3" xfId="0" applyNumberFormat="1" applyFont="1" applyFill="1" applyBorder="1" applyAlignment="1">
      <alignment horizontal="center" vertical="center"/>
    </xf>
    <xf numFmtId="3" fontId="23" fillId="22" borderId="32" xfId="0" applyNumberFormat="1" applyFont="1" applyFill="1" applyBorder="1" applyAlignment="1">
      <alignment horizontal="center" vertical="center"/>
    </xf>
    <xf numFmtId="169" fontId="18" fillId="22" borderId="3" xfId="0" applyNumberFormat="1" applyFont="1" applyFill="1" applyBorder="1" applyAlignment="1">
      <alignment horizontal="center" vertical="center" wrapText="1"/>
    </xf>
    <xf numFmtId="169" fontId="22" fillId="24" borderId="3" xfId="0" applyNumberFormat="1" applyFont="1" applyFill="1" applyBorder="1" applyAlignment="1">
      <alignment horizontal="center" vertical="center" wrapText="1"/>
    </xf>
    <xf numFmtId="3" fontId="27" fillId="24" borderId="29" xfId="0" applyNumberFormat="1" applyFont="1" applyFill="1" applyBorder="1" applyAlignment="1">
      <alignment horizontal="center" vertical="center" wrapText="1"/>
    </xf>
    <xf numFmtId="3" fontId="23" fillId="24" borderId="7" xfId="0" applyNumberFormat="1" applyFont="1" applyFill="1" applyBorder="1" applyAlignment="1">
      <alignment horizontal="center" vertical="center"/>
    </xf>
    <xf numFmtId="169" fontId="23" fillId="24" borderId="32" xfId="0" applyNumberFormat="1" applyFont="1" applyFill="1" applyBorder="1" applyAlignment="1">
      <alignment horizontal="center"/>
    </xf>
    <xf numFmtId="3" fontId="23" fillId="24" borderId="3" xfId="0" applyNumberFormat="1" applyFont="1" applyFill="1" applyBorder="1" applyAlignment="1">
      <alignment horizontal="center" vertical="center"/>
    </xf>
    <xf numFmtId="3" fontId="23" fillId="24" borderId="32" xfId="0" applyNumberFormat="1" applyFont="1" applyFill="1" applyBorder="1" applyAlignment="1">
      <alignment horizontal="center" vertical="center"/>
    </xf>
    <xf numFmtId="3" fontId="0" fillId="25" borderId="52" xfId="0" applyNumberFormat="1" applyFill="1" applyBorder="1" applyAlignment="1">
      <alignment horizontal="center" vertical="center"/>
    </xf>
    <xf numFmtId="3" fontId="0" fillId="25" borderId="53" xfId="0" applyNumberFormat="1" applyFill="1" applyBorder="1" applyAlignment="1">
      <alignment horizontal="center" vertical="center"/>
    </xf>
    <xf numFmtId="3" fontId="0" fillId="0" borderId="53" xfId="0" applyNumberFormat="1" applyFill="1" applyBorder="1" applyAlignment="1">
      <alignment horizontal="center" vertical="center"/>
    </xf>
    <xf numFmtId="3" fontId="23" fillId="23" borderId="53" xfId="0" applyNumberFormat="1" applyFont="1" applyFill="1" applyBorder="1" applyAlignment="1">
      <alignment horizontal="center" vertical="center"/>
    </xf>
    <xf numFmtId="3" fontId="0" fillId="23" borderId="53" xfId="0" applyNumberFormat="1" applyFill="1" applyBorder="1" applyAlignment="1">
      <alignment horizontal="center" vertical="center"/>
    </xf>
    <xf numFmtId="3" fontId="23" fillId="22" borderId="53" xfId="0" applyNumberFormat="1" applyFont="1" applyFill="1" applyBorder="1" applyAlignment="1">
      <alignment horizontal="center" vertical="center"/>
    </xf>
    <xf numFmtId="0" fontId="26" fillId="13" borderId="53" xfId="0" applyFont="1" applyFill="1" applyBorder="1" applyAlignment="1">
      <alignment horizontal="left" vertical="center"/>
    </xf>
    <xf numFmtId="3" fontId="23" fillId="24" borderId="53" xfId="0" applyNumberFormat="1" applyFont="1" applyFill="1" applyBorder="1" applyAlignment="1">
      <alignment horizontal="center" vertical="center"/>
    </xf>
    <xf numFmtId="3" fontId="0" fillId="0" borderId="54" xfId="0" applyNumberFormat="1" applyFill="1" applyBorder="1" applyAlignment="1">
      <alignment horizontal="center" vertical="center"/>
    </xf>
    <xf numFmtId="3" fontId="0" fillId="25" borderId="56" xfId="0" applyNumberFormat="1" applyFill="1" applyBorder="1" applyAlignment="1">
      <alignment horizontal="center" vertical="center"/>
    </xf>
    <xf numFmtId="171" fontId="0" fillId="0" borderId="0" xfId="0" applyNumberFormat="1"/>
    <xf numFmtId="169" fontId="17" fillId="25" borderId="3" xfId="0" applyNumberFormat="1" applyFont="1" applyFill="1" applyBorder="1" applyAlignment="1">
      <alignment horizontal="center" vertical="center" wrapText="1"/>
    </xf>
    <xf numFmtId="3" fontId="21" fillId="25" borderId="29" xfId="0" applyNumberFormat="1" applyFont="1" applyFill="1" applyBorder="1" applyAlignment="1">
      <alignment horizontal="center" vertical="center" wrapText="1"/>
    </xf>
    <xf numFmtId="169" fontId="18" fillId="0" borderId="0" xfId="0" applyNumberFormat="1" applyFont="1" applyAlignment="1">
      <alignment horizontal="center"/>
    </xf>
    <xf numFmtId="3" fontId="18" fillId="0" borderId="0" xfId="0" applyNumberFormat="1" applyFont="1" applyAlignment="1">
      <alignment horizontal="center" vertical="center"/>
    </xf>
    <xf numFmtId="171" fontId="18" fillId="0" borderId="0" xfId="0" applyNumberFormat="1" applyFont="1" applyAlignment="1">
      <alignment horizontal="center"/>
    </xf>
    <xf numFmtId="0" fontId="18" fillId="0" borderId="0" xfId="0" applyFont="1" applyAlignment="1">
      <alignment horizontal="center"/>
    </xf>
    <xf numFmtId="0" fontId="35" fillId="0" borderId="12" xfId="0" applyFont="1" applyFill="1" applyBorder="1" applyAlignment="1">
      <alignment horizontal="center" vertical="center" wrapText="1"/>
    </xf>
    <xf numFmtId="165" fontId="18" fillId="0" borderId="0" xfId="1" applyNumberFormat="1" applyFont="1" applyFill="1" applyBorder="1" applyAlignment="1">
      <alignment horizontal="center" vertical="center" wrapText="1"/>
    </xf>
    <xf numFmtId="3" fontId="35" fillId="0" borderId="0" xfId="0" applyNumberFormat="1" applyFont="1" applyFill="1" applyBorder="1" applyAlignment="1">
      <alignment horizontal="center" vertical="center" wrapText="1"/>
    </xf>
    <xf numFmtId="3" fontId="0" fillId="0" borderId="0" xfId="0" applyNumberFormat="1" applyFill="1" applyBorder="1"/>
    <xf numFmtId="0" fontId="35" fillId="0" borderId="0" xfId="0" applyFont="1" applyBorder="1"/>
    <xf numFmtId="165" fontId="17" fillId="0" borderId="0" xfId="0" applyNumberFormat="1" applyFont="1" applyBorder="1"/>
    <xf numFmtId="168" fontId="36" fillId="0" borderId="0" xfId="0" applyNumberFormat="1" applyFont="1" applyBorder="1" applyAlignment="1">
      <alignment wrapText="1"/>
    </xf>
    <xf numFmtId="0" fontId="36" fillId="0" borderId="0" xfId="0" applyFont="1" applyBorder="1" applyAlignment="1">
      <alignment wrapText="1"/>
    </xf>
    <xf numFmtId="0" fontId="36" fillId="0" borderId="0" xfId="0" applyFont="1" applyBorder="1" applyAlignment="1">
      <alignment horizontal="center"/>
    </xf>
    <xf numFmtId="3" fontId="21" fillId="0" borderId="53" xfId="0" applyNumberFormat="1" applyFont="1" applyFill="1" applyBorder="1" applyAlignment="1">
      <alignment horizontal="center" vertical="center" wrapText="1"/>
    </xf>
    <xf numFmtId="3" fontId="18" fillId="0" borderId="32" xfId="0" applyNumberFormat="1" applyFont="1" applyFill="1" applyBorder="1" applyAlignment="1">
      <alignment horizontal="center" vertical="center"/>
    </xf>
    <xf numFmtId="3" fontId="17" fillId="25" borderId="20" xfId="0" applyNumberFormat="1" applyFont="1" applyFill="1" applyBorder="1" applyAlignment="1">
      <alignment horizontal="center"/>
    </xf>
    <xf numFmtId="3" fontId="17" fillId="25" borderId="6" xfId="0" applyNumberFormat="1" applyFont="1" applyFill="1" applyBorder="1" applyAlignment="1">
      <alignment horizontal="center"/>
    </xf>
    <xf numFmtId="0" fontId="23" fillId="25" borderId="7" xfId="0" applyFont="1" applyFill="1" applyBorder="1"/>
    <xf numFmtId="3" fontId="17" fillId="25" borderId="7" xfId="0" applyNumberFormat="1" applyFont="1" applyFill="1" applyBorder="1" applyAlignment="1">
      <alignment horizontal="center"/>
    </xf>
    <xf numFmtId="3" fontId="0" fillId="25" borderId="7" xfId="0" applyNumberFormat="1" applyFill="1" applyBorder="1"/>
    <xf numFmtId="0" fontId="17" fillId="25" borderId="3" xfId="0" applyFont="1" applyFill="1" applyBorder="1" applyAlignment="1">
      <alignment horizontal="center" vertical="center" wrapText="1"/>
    </xf>
    <xf numFmtId="3" fontId="0" fillId="25" borderId="7" xfId="0" applyNumberFormat="1" applyFill="1" applyBorder="1" applyAlignment="1">
      <alignment horizontal="center"/>
    </xf>
    <xf numFmtId="3" fontId="17" fillId="25" borderId="3" xfId="0" applyNumberFormat="1" applyFont="1" applyFill="1" applyBorder="1" applyAlignment="1">
      <alignment horizontal="center"/>
    </xf>
    <xf numFmtId="0" fontId="0" fillId="25" borderId="3" xfId="0" applyFill="1" applyBorder="1" applyAlignment="1">
      <alignment horizontal="center"/>
    </xf>
    <xf numFmtId="3" fontId="17" fillId="23" borderId="3" xfId="0" applyNumberFormat="1" applyFont="1" applyFill="1" applyBorder="1" applyAlignment="1">
      <alignment horizontal="center"/>
    </xf>
    <xf numFmtId="3" fontId="17" fillId="23" borderId="7" xfId="0" applyNumberFormat="1" applyFont="1" applyFill="1" applyBorder="1" applyAlignment="1">
      <alignment horizontal="center"/>
    </xf>
    <xf numFmtId="0" fontId="23" fillId="23" borderId="7" xfId="0" applyFont="1" applyFill="1" applyBorder="1"/>
    <xf numFmtId="0" fontId="18" fillId="23" borderId="3" xfId="0" applyFont="1" applyFill="1" applyBorder="1" applyAlignment="1">
      <alignment horizontal="center" vertical="center" wrapText="1"/>
    </xf>
    <xf numFmtId="3" fontId="17" fillId="28" borderId="3" xfId="0" applyNumberFormat="1" applyFont="1" applyFill="1" applyBorder="1" applyAlignment="1">
      <alignment horizontal="center"/>
    </xf>
    <xf numFmtId="3" fontId="17" fillId="28" borderId="7" xfId="0" applyNumberFormat="1" applyFont="1" applyFill="1" applyBorder="1" applyAlignment="1">
      <alignment horizontal="center"/>
    </xf>
    <xf numFmtId="0" fontId="23" fillId="28" borderId="7" xfId="0" applyFont="1" applyFill="1" applyBorder="1"/>
    <xf numFmtId="3" fontId="23" fillId="28" borderId="7" xfId="0" applyNumberFormat="1" applyFont="1" applyFill="1" applyBorder="1"/>
    <xf numFmtId="0" fontId="0" fillId="28" borderId="7" xfId="0" applyFill="1" applyBorder="1"/>
    <xf numFmtId="3" fontId="0" fillId="28" borderId="7" xfId="0" applyNumberFormat="1" applyFill="1" applyBorder="1"/>
    <xf numFmtId="0" fontId="18" fillId="28" borderId="3" xfId="0" applyFont="1" applyFill="1" applyBorder="1" applyAlignment="1">
      <alignment horizontal="center" vertical="center" wrapText="1"/>
    </xf>
    <xf numFmtId="3" fontId="0" fillId="28" borderId="7" xfId="0" applyNumberFormat="1" applyFill="1" applyBorder="1" applyAlignment="1">
      <alignment horizontal="center"/>
    </xf>
    <xf numFmtId="3" fontId="23" fillId="25" borderId="52" xfId="0" applyNumberFormat="1" applyFont="1" applyFill="1" applyBorder="1" applyAlignment="1">
      <alignment horizontal="center" vertical="center"/>
    </xf>
    <xf numFmtId="3" fontId="21" fillId="4" borderId="53" xfId="1" applyNumberFormat="1" applyFont="1" applyFill="1" applyBorder="1" applyAlignment="1">
      <alignment horizontal="center" vertical="center" wrapText="1"/>
    </xf>
    <xf numFmtId="3" fontId="30" fillId="7" borderId="53" xfId="0" applyNumberFormat="1" applyFont="1" applyFill="1" applyBorder="1" applyAlignment="1">
      <alignment horizontal="left" vertical="center" wrapText="1"/>
    </xf>
    <xf numFmtId="0" fontId="18" fillId="5" borderId="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46" xfId="0" applyFont="1" applyFill="1" applyBorder="1" applyAlignment="1">
      <alignment vertical="center" wrapText="1"/>
    </xf>
    <xf numFmtId="3" fontId="24" fillId="25" borderId="44" xfId="0" applyNumberFormat="1" applyFont="1" applyFill="1" applyBorder="1" applyAlignment="1">
      <alignment horizontal="center" vertical="center"/>
    </xf>
    <xf numFmtId="3" fontId="42" fillId="7" borderId="32" xfId="0" applyNumberFormat="1" applyFont="1" applyFill="1" applyBorder="1" applyAlignment="1">
      <alignment horizontal="left" vertical="center" wrapText="1"/>
    </xf>
    <xf numFmtId="3" fontId="18" fillId="23" borderId="32" xfId="0" applyNumberFormat="1" applyFont="1" applyFill="1" applyBorder="1" applyAlignment="1">
      <alignment horizontal="center" vertical="center"/>
    </xf>
    <xf numFmtId="1" fontId="27" fillId="24" borderId="7" xfId="0" applyNumberFormat="1" applyFont="1" applyFill="1" applyBorder="1" applyAlignment="1">
      <alignment horizontal="center" vertical="center" wrapText="1"/>
    </xf>
    <xf numFmtId="3" fontId="0" fillId="0" borderId="29" xfId="0" applyNumberFormat="1" applyFill="1" applyBorder="1" applyAlignment="1">
      <alignment horizontal="center"/>
    </xf>
    <xf numFmtId="3" fontId="17" fillId="0" borderId="2" xfId="0" applyNumberFormat="1" applyFont="1" applyFill="1" applyBorder="1" applyAlignment="1">
      <alignment horizontal="center"/>
    </xf>
    <xf numFmtId="3" fontId="17" fillId="0" borderId="29" xfId="0" applyNumberFormat="1" applyFont="1" applyFill="1" applyBorder="1" applyAlignment="1">
      <alignment horizontal="center"/>
    </xf>
    <xf numFmtId="0" fontId="0" fillId="19" borderId="7" xfId="0" applyFill="1" applyBorder="1"/>
    <xf numFmtId="1" fontId="21" fillId="25" borderId="15" xfId="0" applyNumberFormat="1" applyFont="1" applyFill="1" applyBorder="1" applyAlignment="1">
      <alignment horizontal="center" vertical="center" wrapText="1"/>
    </xf>
    <xf numFmtId="1" fontId="0" fillId="25" borderId="7" xfId="0" applyNumberFormat="1" applyFill="1" applyBorder="1"/>
    <xf numFmtId="1" fontId="21" fillId="25" borderId="7" xfId="0" applyNumberFormat="1" applyFont="1" applyFill="1" applyBorder="1" applyAlignment="1">
      <alignment horizontal="center" vertical="center" wrapText="1"/>
    </xf>
    <xf numFmtId="1" fontId="25" fillId="23" borderId="7" xfId="0" applyNumberFormat="1" applyFont="1" applyFill="1" applyBorder="1" applyAlignment="1">
      <alignment horizontal="center" vertical="center" wrapText="1"/>
    </xf>
    <xf numFmtId="1" fontId="21" fillId="23" borderId="7" xfId="0" applyNumberFormat="1" applyFont="1" applyFill="1" applyBorder="1" applyAlignment="1">
      <alignment horizontal="center" vertical="center" wrapText="1"/>
    </xf>
    <xf numFmtId="1" fontId="25" fillId="22" borderId="7" xfId="0" applyNumberFormat="1" applyFont="1" applyFill="1" applyBorder="1" applyAlignment="1">
      <alignment horizontal="center" vertical="center" wrapText="1"/>
    </xf>
    <xf numFmtId="1" fontId="27" fillId="4" borderId="7" xfId="0" applyNumberFormat="1" applyFont="1" applyFill="1" applyBorder="1" applyAlignment="1">
      <alignment horizontal="center" vertical="center" wrapText="1"/>
    </xf>
    <xf numFmtId="1" fontId="27" fillId="0" borderId="14" xfId="0" applyNumberFormat="1" applyFont="1" applyFill="1" applyBorder="1" applyAlignment="1">
      <alignment horizontal="center" vertical="center" wrapText="1"/>
    </xf>
    <xf numFmtId="1" fontId="21" fillId="9" borderId="43" xfId="0" applyNumberFormat="1" applyFont="1" applyFill="1" applyBorder="1" applyAlignment="1">
      <alignment horizontal="center" vertical="center" wrapText="1"/>
    </xf>
    <xf numFmtId="1" fontId="35" fillId="11" borderId="7" xfId="0" applyNumberFormat="1" applyFont="1" applyFill="1" applyBorder="1" applyAlignment="1">
      <alignment horizontal="center" vertical="center" wrapText="1"/>
    </xf>
    <xf numFmtId="1" fontId="18" fillId="0" borderId="0" xfId="0" applyNumberFormat="1" applyFont="1" applyAlignment="1">
      <alignment horizontal="center"/>
    </xf>
    <xf numFmtId="3" fontId="0" fillId="0" borderId="29" xfId="0" applyNumberFormat="1" applyFill="1" applyBorder="1" applyAlignment="1">
      <alignment horizontal="center" vertical="center"/>
    </xf>
    <xf numFmtId="3" fontId="0" fillId="5" borderId="2" xfId="0" applyNumberFormat="1" applyFill="1" applyBorder="1" applyAlignment="1">
      <alignment horizontal="center" vertical="center" wrapText="1"/>
    </xf>
    <xf numFmtId="3" fontId="18" fillId="9" borderId="3" xfId="0" applyNumberFormat="1" applyFont="1" applyFill="1" applyBorder="1" applyAlignment="1">
      <alignment horizontal="center" vertical="center" wrapText="1"/>
    </xf>
    <xf numFmtId="3" fontId="17" fillId="25" borderId="3" xfId="0" applyNumberFormat="1" applyFont="1" applyFill="1" applyBorder="1" applyAlignment="1">
      <alignment horizontal="center" vertical="center" wrapText="1"/>
    </xf>
    <xf numFmtId="3" fontId="24" fillId="23" borderId="3"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3" fontId="26" fillId="13" borderId="7" xfId="0" applyNumberFormat="1" applyFont="1" applyFill="1" applyBorder="1" applyAlignment="1">
      <alignment horizontal="left" vertical="center"/>
    </xf>
    <xf numFmtId="3" fontId="18" fillId="0" borderId="0" xfId="0" applyNumberFormat="1" applyFont="1" applyFill="1" applyBorder="1" applyAlignment="1">
      <alignment horizontal="center" vertical="center" wrapText="1"/>
    </xf>
    <xf numFmtId="3" fontId="37" fillId="5" borderId="0" xfId="0" applyNumberFormat="1" applyFont="1" applyFill="1" applyBorder="1" applyAlignment="1">
      <alignment horizontal="center" vertical="center" wrapText="1"/>
    </xf>
    <xf numFmtId="3" fontId="0" fillId="5" borderId="4" xfId="0" applyNumberFormat="1" applyFill="1" applyBorder="1" applyAlignment="1">
      <alignment horizontal="center" vertical="center" wrapText="1"/>
    </xf>
    <xf numFmtId="3" fontId="24" fillId="25" borderId="20" xfId="0" applyNumberFormat="1" applyFont="1" applyFill="1" applyBorder="1" applyAlignment="1">
      <alignment horizontal="center" vertical="center" wrapText="1"/>
    </xf>
    <xf numFmtId="3" fontId="24" fillId="28" borderId="3" xfId="0" applyNumberFormat="1" applyFont="1" applyFill="1" applyBorder="1" applyAlignment="1">
      <alignment horizontal="center" vertical="center" wrapText="1"/>
    </xf>
    <xf numFmtId="3" fontId="18" fillId="28" borderId="3"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41" fillId="9" borderId="34" xfId="1" applyNumberFormat="1" applyFont="1" applyFill="1" applyBorder="1" applyAlignment="1">
      <alignment horizontal="center" vertical="center" wrapText="1"/>
    </xf>
    <xf numFmtId="3" fontId="18" fillId="0" borderId="0" xfId="1" applyNumberFormat="1" applyFont="1" applyBorder="1" applyAlignment="1">
      <alignment horizontal="center" vertical="center" wrapText="1"/>
    </xf>
    <xf numFmtId="3" fontId="0" fillId="0" borderId="0" xfId="0" applyNumberFormat="1" applyBorder="1" applyAlignment="1">
      <alignment horizontal="center"/>
    </xf>
    <xf numFmtId="3" fontId="0" fillId="5" borderId="0"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3" fontId="18" fillId="25" borderId="6" xfId="0" applyNumberFormat="1" applyFont="1" applyFill="1" applyBorder="1" applyAlignment="1">
      <alignment horizontal="center" vertical="center" wrapText="1"/>
    </xf>
    <xf numFmtId="3" fontId="18" fillId="23" borderId="7" xfId="0" applyNumberFormat="1" applyFont="1" applyFill="1" applyBorder="1" applyAlignment="1">
      <alignment horizontal="center" vertical="center" wrapText="1"/>
    </xf>
    <xf numFmtId="3" fontId="18" fillId="9" borderId="9" xfId="1" applyNumberFormat="1" applyFont="1" applyFill="1" applyBorder="1" applyAlignment="1">
      <alignment horizontal="center" wrapText="1"/>
    </xf>
    <xf numFmtId="3" fontId="22" fillId="20" borderId="7" xfId="0" applyNumberFormat="1" applyFont="1" applyFill="1" applyBorder="1" applyAlignment="1">
      <alignment horizontal="center" vertical="center" wrapText="1"/>
    </xf>
    <xf numFmtId="3" fontId="22" fillId="21" borderId="7" xfId="0" applyNumberFormat="1" applyFont="1" applyFill="1" applyBorder="1" applyAlignment="1">
      <alignment horizontal="center" vertical="center"/>
    </xf>
    <xf numFmtId="3" fontId="18" fillId="9" borderId="7" xfId="0" applyNumberFormat="1" applyFont="1" applyFill="1" applyBorder="1" applyAlignment="1">
      <alignment horizontal="center" vertical="center"/>
    </xf>
    <xf numFmtId="3" fontId="34" fillId="0" borderId="7" xfId="0" applyNumberFormat="1" applyFont="1" applyFill="1" applyBorder="1" applyAlignment="1">
      <alignment horizontal="center" vertical="center"/>
    </xf>
    <xf numFmtId="3" fontId="22" fillId="4" borderId="7"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wrapText="1"/>
    </xf>
    <xf numFmtId="3" fontId="18" fillId="9" borderId="43" xfId="0" applyNumberFormat="1" applyFont="1" applyFill="1" applyBorder="1" applyAlignment="1">
      <alignment horizontal="center" vertical="center" wrapText="1"/>
    </xf>
    <xf numFmtId="3" fontId="18" fillId="0" borderId="0" xfId="0" applyNumberFormat="1" applyFont="1" applyFill="1" applyBorder="1" applyAlignment="1">
      <alignment horizontal="justify" vertical="center" wrapText="1"/>
    </xf>
    <xf numFmtId="3" fontId="18" fillId="2" borderId="0" xfId="0" applyNumberFormat="1" applyFont="1" applyFill="1" applyBorder="1" applyAlignment="1">
      <alignment horizontal="center" vertical="center"/>
    </xf>
    <xf numFmtId="171" fontId="0" fillId="0" borderId="0" xfId="0" applyNumberFormat="1" applyAlignment="1">
      <alignment horizontal="right"/>
    </xf>
    <xf numFmtId="3" fontId="41" fillId="0" borderId="0" xfId="1" applyNumberFormat="1" applyFont="1" applyBorder="1" applyAlignment="1">
      <alignment horizontal="center" wrapText="1"/>
    </xf>
    <xf numFmtId="3" fontId="0" fillId="0" borderId="25" xfId="0" applyNumberFormat="1" applyBorder="1" applyAlignment="1">
      <alignment horizontal="center"/>
    </xf>
    <xf numFmtId="1" fontId="0" fillId="0" borderId="7" xfId="0" applyNumberFormat="1" applyFill="1" applyBorder="1" applyAlignment="1">
      <alignment horizontal="center"/>
    </xf>
    <xf numFmtId="10" fontId="21" fillId="4" borderId="32" xfId="0" applyNumberFormat="1" applyFont="1" applyFill="1" applyBorder="1" applyAlignment="1">
      <alignment horizontal="center" vertical="center" wrapText="1"/>
    </xf>
    <xf numFmtId="1" fontId="33" fillId="7" borderId="3" xfId="0" applyNumberFormat="1" applyFont="1" applyFill="1" applyBorder="1" applyAlignment="1">
      <alignment horizontal="left" vertical="center"/>
    </xf>
    <xf numFmtId="0" fontId="13" fillId="6" borderId="7" xfId="0" applyFont="1" applyFill="1" applyBorder="1" applyAlignment="1">
      <alignment horizontal="left" vertical="center"/>
    </xf>
    <xf numFmtId="169" fontId="13" fillId="0" borderId="3"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13" fillId="0" borderId="7" xfId="0" applyNumberFormat="1" applyFont="1" applyFill="1" applyBorder="1" applyAlignment="1">
      <alignment horizontal="center"/>
    </xf>
    <xf numFmtId="1" fontId="0" fillId="0" borderId="0" xfId="0" applyNumberFormat="1" applyAlignment="1">
      <alignment horizontal="center"/>
    </xf>
    <xf numFmtId="1" fontId="0" fillId="18" borderId="7" xfId="0" applyNumberFormat="1" applyFill="1" applyBorder="1" applyAlignment="1">
      <alignment horizontal="center"/>
    </xf>
    <xf numFmtId="1" fontId="23" fillId="23" borderId="7" xfId="0" applyNumberFormat="1" applyFont="1" applyFill="1" applyBorder="1" applyAlignment="1">
      <alignment horizontal="center"/>
    </xf>
    <xf numFmtId="1" fontId="0" fillId="0" borderId="0" xfId="0" applyNumberFormat="1" applyFill="1" applyAlignment="1">
      <alignment horizontal="center"/>
    </xf>
    <xf numFmtId="1" fontId="38" fillId="0" borderId="0" xfId="0" applyNumberFormat="1" applyFont="1" applyAlignment="1">
      <alignment horizontal="center"/>
    </xf>
    <xf numFmtId="0" fontId="13" fillId="0" borderId="7" xfId="0" applyFont="1" applyFill="1" applyBorder="1"/>
    <xf numFmtId="0" fontId="17" fillId="18" borderId="7" xfId="0" applyFont="1" applyFill="1" applyBorder="1" applyAlignment="1">
      <alignment horizontal="center" wrapText="1"/>
    </xf>
    <xf numFmtId="3" fontId="13" fillId="0" borderId="7" xfId="0" applyNumberFormat="1" applyFont="1" applyFill="1" applyBorder="1"/>
    <xf numFmtId="0" fontId="13" fillId="8" borderId="7" xfId="0" applyFont="1" applyFill="1" applyBorder="1" applyAlignment="1">
      <alignment horizontal="left" vertical="center"/>
    </xf>
    <xf numFmtId="3" fontId="13" fillId="23" borderId="3" xfId="0" applyNumberFormat="1" applyFont="1" applyFill="1" applyBorder="1" applyAlignment="1">
      <alignment horizontal="center" vertical="center" wrapText="1"/>
    </xf>
    <xf numFmtId="3" fontId="13" fillId="23" borderId="7" xfId="0" applyNumberFormat="1" applyFont="1" applyFill="1" applyBorder="1" applyAlignment="1">
      <alignment horizontal="center"/>
    </xf>
    <xf numFmtId="3" fontId="13" fillId="23" borderId="3" xfId="0" applyNumberFormat="1" applyFont="1" applyFill="1" applyBorder="1"/>
    <xf numFmtId="3" fontId="13" fillId="23" borderId="7" xfId="0" applyNumberFormat="1" applyFont="1" applyFill="1" applyBorder="1"/>
    <xf numFmtId="3" fontId="13" fillId="23" borderId="32" xfId="0" applyNumberFormat="1" applyFont="1" applyFill="1" applyBorder="1"/>
    <xf numFmtId="0" fontId="13" fillId="15" borderId="7" xfId="0" applyFont="1" applyFill="1" applyBorder="1" applyAlignment="1">
      <alignment horizontal="left" vertical="center"/>
    </xf>
    <xf numFmtId="3" fontId="13" fillId="15" borderId="7" xfId="0" applyNumberFormat="1" applyFont="1" applyFill="1" applyBorder="1" applyAlignment="1">
      <alignment horizontal="left" vertical="center"/>
    </xf>
    <xf numFmtId="1" fontId="13" fillId="15" borderId="7" xfId="0" applyNumberFormat="1" applyFont="1" applyFill="1" applyBorder="1" applyAlignment="1">
      <alignment horizontal="left" vertical="center"/>
    </xf>
    <xf numFmtId="3" fontId="13" fillId="0" borderId="14" xfId="0" applyNumberFormat="1" applyFont="1" applyFill="1" applyBorder="1" applyAlignment="1">
      <alignment horizontal="center"/>
    </xf>
    <xf numFmtId="3" fontId="13" fillId="0" borderId="5" xfId="0" applyNumberFormat="1" applyFont="1" applyFill="1" applyBorder="1"/>
    <xf numFmtId="3" fontId="13" fillId="0" borderId="14" xfId="0" applyNumberFormat="1" applyFont="1" applyFill="1" applyBorder="1"/>
    <xf numFmtId="3" fontId="13" fillId="0" borderId="48" xfId="0" applyNumberFormat="1" applyFont="1" applyFill="1" applyBorder="1"/>
    <xf numFmtId="3" fontId="13" fillId="0" borderId="0" xfId="0" applyNumberFormat="1" applyFont="1" applyAlignment="1">
      <alignment horizontal="center"/>
    </xf>
    <xf numFmtId="3" fontId="13" fillId="0" borderId="0" xfId="0" applyNumberFormat="1" applyFont="1"/>
    <xf numFmtId="3" fontId="41" fillId="9" borderId="35" xfId="1" applyNumberFormat="1" applyFont="1" applyFill="1" applyBorder="1" applyAlignment="1">
      <alignment horizontal="center" vertical="center" wrapText="1"/>
    </xf>
    <xf numFmtId="167" fontId="18" fillId="0" borderId="0" xfId="1" applyNumberFormat="1" applyFont="1" applyBorder="1" applyAlignment="1">
      <alignment horizontal="center" vertical="center" wrapText="1"/>
    </xf>
    <xf numFmtId="0" fontId="0" fillId="0" borderId="0" xfId="0" applyAlignment="1">
      <alignment horizontal="center" vertical="center"/>
    </xf>
    <xf numFmtId="3" fontId="0" fillId="0" borderId="0" xfId="0" applyNumberFormat="1" applyBorder="1" applyAlignment="1">
      <alignment vertical="center"/>
    </xf>
    <xf numFmtId="3" fontId="0" fillId="0" borderId="0" xfId="0" applyNumberFormat="1" applyAlignment="1">
      <alignment vertical="center"/>
    </xf>
    <xf numFmtId="167" fontId="18" fillId="0" borderId="0" xfId="1" applyNumberFormat="1" applyFont="1" applyFill="1" applyBorder="1" applyAlignment="1">
      <alignment horizontal="center" vertical="center" wrapText="1"/>
    </xf>
    <xf numFmtId="1" fontId="0" fillId="0" borderId="0" xfId="0" applyNumberFormat="1" applyAlignment="1">
      <alignment horizontal="center" vertical="center"/>
    </xf>
    <xf numFmtId="3" fontId="18" fillId="22" borderId="7" xfId="0" applyNumberFormat="1" applyFont="1" applyFill="1" applyBorder="1" applyAlignment="1">
      <alignment horizontal="center" vertical="center"/>
    </xf>
    <xf numFmtId="169" fontId="18" fillId="22" borderId="0" xfId="0" applyNumberFormat="1" applyFont="1" applyFill="1" applyBorder="1" applyAlignment="1">
      <alignment horizontal="center" vertical="center"/>
    </xf>
    <xf numFmtId="3" fontId="33" fillId="7" borderId="3" xfId="0" applyNumberFormat="1" applyFont="1" applyFill="1" applyBorder="1" applyAlignment="1">
      <alignment horizontal="center" vertical="center"/>
    </xf>
    <xf numFmtId="3" fontId="13" fillId="15" borderId="7" xfId="0" applyNumberFormat="1" applyFont="1" applyFill="1" applyBorder="1" applyAlignment="1">
      <alignment horizontal="center" vertical="center"/>
    </xf>
    <xf numFmtId="3" fontId="22" fillId="0" borderId="0" xfId="0" applyNumberFormat="1" applyFont="1" applyAlignment="1">
      <alignment horizontal="center"/>
    </xf>
    <xf numFmtId="0" fontId="0" fillId="18" borderId="0" xfId="0" applyFill="1" applyBorder="1" applyAlignment="1">
      <alignment vertical="center" wrapText="1"/>
    </xf>
    <xf numFmtId="3" fontId="0" fillId="0" borderId="14" xfId="0" applyNumberFormat="1" applyFill="1" applyBorder="1" applyAlignment="1">
      <alignment horizontal="center" vertical="center"/>
    </xf>
    <xf numFmtId="0" fontId="35" fillId="0" borderId="0" xfId="0" applyFont="1" applyFill="1" applyBorder="1" applyAlignment="1">
      <alignment horizontal="center" vertical="center" wrapText="1"/>
    </xf>
    <xf numFmtId="172" fontId="20" fillId="18" borderId="14" xfId="1" applyNumberFormat="1" applyFont="1" applyFill="1" applyBorder="1" applyAlignment="1">
      <alignment horizontal="center"/>
    </xf>
    <xf numFmtId="0" fontId="0" fillId="5" borderId="69" xfId="0" applyFill="1" applyBorder="1" applyAlignment="1">
      <alignment horizontal="center" vertical="center" wrapText="1"/>
    </xf>
    <xf numFmtId="0" fontId="18" fillId="18" borderId="12" xfId="0" applyFont="1" applyFill="1" applyBorder="1" applyAlignment="1">
      <alignment vertical="center" wrapText="1"/>
    </xf>
    <xf numFmtId="0" fontId="18" fillId="26" borderId="12" xfId="0" applyFont="1" applyFill="1" applyBorder="1" applyAlignment="1">
      <alignment vertical="center" wrapText="1"/>
    </xf>
    <xf numFmtId="0" fontId="20" fillId="18" borderId="12" xfId="0" applyFont="1" applyFill="1" applyBorder="1" applyAlignment="1">
      <alignment vertical="center" wrapText="1"/>
    </xf>
    <xf numFmtId="0" fontId="0" fillId="5" borderId="52" xfId="0" applyFill="1" applyBorder="1" applyAlignment="1">
      <alignment horizontal="center" vertical="center" wrapText="1"/>
    </xf>
    <xf numFmtId="0" fontId="18" fillId="18" borderId="12" xfId="0" applyFont="1" applyFill="1" applyBorder="1" applyAlignment="1">
      <alignment horizontal="center" vertical="center" wrapText="1"/>
    </xf>
    <xf numFmtId="0" fontId="0" fillId="5" borderId="55" xfId="0" applyFill="1" applyBorder="1" applyAlignment="1">
      <alignment vertical="center" wrapText="1"/>
    </xf>
    <xf numFmtId="0" fontId="18" fillId="4" borderId="31" xfId="0" applyFont="1" applyFill="1" applyBorder="1" applyAlignment="1">
      <alignment horizontal="center" vertical="center" wrapText="1"/>
    </xf>
    <xf numFmtId="0" fontId="18" fillId="4" borderId="13" xfId="0" applyFont="1" applyFill="1" applyBorder="1" applyAlignment="1">
      <alignment horizontal="right" vertical="center" wrapText="1"/>
    </xf>
    <xf numFmtId="3" fontId="29" fillId="7" borderId="13" xfId="0" applyNumberFormat="1" applyFont="1" applyFill="1" applyBorder="1" applyAlignment="1">
      <alignment horizontal="left" vertical="center" wrapText="1"/>
    </xf>
    <xf numFmtId="3" fontId="32" fillId="7" borderId="13" xfId="0" applyNumberFormat="1" applyFont="1" applyFill="1" applyBorder="1" applyAlignment="1">
      <alignment horizontal="left" vertical="center" wrapText="1"/>
    </xf>
    <xf numFmtId="3" fontId="31" fillId="4" borderId="13" xfId="0" applyNumberFormat="1" applyFont="1" applyFill="1" applyBorder="1" applyAlignment="1">
      <alignment horizontal="right" vertical="center" wrapText="1"/>
    </xf>
    <xf numFmtId="0" fontId="22" fillId="8" borderId="13" xfId="0" applyFont="1" applyFill="1" applyBorder="1" applyAlignment="1">
      <alignment horizontal="left" vertical="center" wrapText="1"/>
    </xf>
    <xf numFmtId="0" fontId="26" fillId="8" borderId="13" xfId="0" applyFont="1" applyFill="1" applyBorder="1" applyAlignment="1">
      <alignment horizontal="left" vertical="center"/>
    </xf>
    <xf numFmtId="0" fontId="0" fillId="0" borderId="0" xfId="0" applyFill="1" applyBorder="1"/>
    <xf numFmtId="3" fontId="31" fillId="0" borderId="12" xfId="0" applyNumberFormat="1" applyFont="1" applyFill="1" applyBorder="1" applyAlignment="1">
      <alignment horizontal="left" vertical="center" wrapText="1"/>
    </xf>
    <xf numFmtId="0" fontId="18" fillId="9" borderId="71" xfId="0" applyFont="1" applyFill="1" applyBorder="1" applyAlignment="1">
      <alignment wrapText="1"/>
    </xf>
    <xf numFmtId="3" fontId="18" fillId="0" borderId="0" xfId="0" applyNumberFormat="1" applyFont="1" applyBorder="1" applyAlignment="1">
      <alignment horizontal="center" vertical="center"/>
    </xf>
    <xf numFmtId="3" fontId="0" fillId="0" borderId="69" xfId="0" applyNumberFormat="1" applyBorder="1" applyAlignment="1">
      <alignment horizontal="center" vertical="center"/>
    </xf>
    <xf numFmtId="0" fontId="18" fillId="22" borderId="0" xfId="0" applyFont="1" applyFill="1" applyBorder="1" applyAlignment="1">
      <alignment horizontal="center" vertical="center"/>
    </xf>
    <xf numFmtId="0" fontId="36" fillId="0" borderId="24" xfId="0" applyFont="1" applyBorder="1"/>
    <xf numFmtId="3" fontId="0" fillId="0" borderId="25" xfId="0" applyNumberFormat="1" applyBorder="1"/>
    <xf numFmtId="0" fontId="17" fillId="0" borderId="25" xfId="0" applyFont="1" applyBorder="1" applyAlignment="1">
      <alignment horizontal="center"/>
    </xf>
    <xf numFmtId="3" fontId="17" fillId="0" borderId="25" xfId="0" applyNumberFormat="1" applyFont="1" applyBorder="1" applyAlignment="1">
      <alignment horizontal="center"/>
    </xf>
    <xf numFmtId="1" fontId="17" fillId="0" borderId="25" xfId="0" applyNumberFormat="1" applyFont="1" applyBorder="1" applyAlignment="1">
      <alignment horizontal="center"/>
    </xf>
    <xf numFmtId="0" fontId="0" fillId="0" borderId="25" xfId="0" applyBorder="1" applyAlignment="1">
      <alignment horizontal="center"/>
    </xf>
    <xf numFmtId="3" fontId="0" fillId="0" borderId="25" xfId="0" applyNumberFormat="1" applyBorder="1" applyAlignment="1">
      <alignment horizontal="center" vertical="center"/>
    </xf>
    <xf numFmtId="3" fontId="18" fillId="0" borderId="25" xfId="0" applyNumberFormat="1" applyFont="1" applyBorder="1" applyAlignment="1">
      <alignment horizontal="center" vertical="center"/>
    </xf>
    <xf numFmtId="3" fontId="0" fillId="0" borderId="72" xfId="0" applyNumberFormat="1" applyBorder="1" applyAlignment="1">
      <alignment horizontal="center" vertical="center"/>
    </xf>
    <xf numFmtId="167" fontId="18" fillId="0" borderId="0" xfId="1" applyNumberFormat="1" applyFont="1" applyBorder="1" applyAlignment="1">
      <alignment wrapText="1"/>
    </xf>
    <xf numFmtId="167" fontId="18" fillId="0" borderId="25" xfId="1" applyNumberFormat="1" applyFont="1" applyBorder="1" applyAlignment="1">
      <alignment wrapText="1"/>
    </xf>
    <xf numFmtId="0" fontId="13" fillId="8" borderId="13" xfId="0" applyFont="1" applyFill="1" applyBorder="1" applyAlignment="1">
      <alignment horizontal="left" vertical="center"/>
    </xf>
    <xf numFmtId="0" fontId="0" fillId="25" borderId="0" xfId="0" applyFill="1" applyBorder="1"/>
    <xf numFmtId="3" fontId="17" fillId="0" borderId="0" xfId="0" applyNumberFormat="1" applyFont="1" applyBorder="1" applyAlignment="1">
      <alignment horizontal="center"/>
    </xf>
    <xf numFmtId="167" fontId="35" fillId="0" borderId="69" xfId="0" applyNumberFormat="1" applyFont="1" applyFill="1" applyBorder="1" applyAlignment="1">
      <alignment horizontal="center" vertical="center" wrapText="1"/>
    </xf>
    <xf numFmtId="0" fontId="36" fillId="0" borderId="12" xfId="0" applyFont="1" applyBorder="1"/>
    <xf numFmtId="0" fontId="35" fillId="0" borderId="24" xfId="0" applyFont="1" applyFill="1" applyBorder="1" applyAlignment="1">
      <alignment horizontal="center" vertical="center" wrapText="1"/>
    </xf>
    <xf numFmtId="165" fontId="18" fillId="0" borderId="25" xfId="1" applyNumberFormat="1" applyFont="1" applyFill="1" applyBorder="1" applyAlignment="1">
      <alignment horizontal="center" vertical="center" wrapText="1"/>
    </xf>
    <xf numFmtId="167" fontId="18" fillId="0" borderId="25" xfId="1" applyNumberFormat="1" applyFont="1" applyFill="1" applyBorder="1" applyAlignment="1">
      <alignment horizontal="center" wrapText="1"/>
    </xf>
    <xf numFmtId="0" fontId="0" fillId="0" borderId="25" xfId="0" applyFill="1" applyBorder="1"/>
    <xf numFmtId="1" fontId="18" fillId="0" borderId="25" xfId="1" applyNumberFormat="1" applyFont="1" applyFill="1" applyBorder="1" applyAlignment="1">
      <alignment horizontal="center" vertical="center" wrapText="1"/>
    </xf>
    <xf numFmtId="3" fontId="18" fillId="0" borderId="25" xfId="1" applyNumberFormat="1" applyFont="1" applyFill="1" applyBorder="1" applyAlignment="1">
      <alignment horizontal="center" vertical="center" wrapText="1"/>
    </xf>
    <xf numFmtId="3" fontId="35" fillId="0" borderId="25" xfId="0" applyNumberFormat="1" applyFont="1" applyFill="1" applyBorder="1" applyAlignment="1">
      <alignment horizontal="center" vertical="center" wrapText="1"/>
    </xf>
    <xf numFmtId="167" fontId="35" fillId="0" borderId="72" xfId="0" applyNumberFormat="1" applyFont="1" applyFill="1" applyBorder="1" applyAlignment="1">
      <alignment horizontal="center" vertical="center" wrapText="1"/>
    </xf>
    <xf numFmtId="0" fontId="17" fillId="0" borderId="7" xfId="0" applyFont="1" applyFill="1" applyBorder="1" applyAlignment="1">
      <alignment horizontal="center" vertical="center"/>
    </xf>
    <xf numFmtId="3" fontId="22" fillId="20" borderId="29" xfId="0" applyNumberFormat="1" applyFont="1" applyFill="1" applyBorder="1" applyAlignment="1">
      <alignment horizontal="center" vertical="center" wrapText="1"/>
    </xf>
    <xf numFmtId="0" fontId="13" fillId="6" borderId="7" xfId="0" applyFont="1" applyFill="1" applyBorder="1" applyAlignment="1">
      <alignment horizontal="center" vertical="center" wrapText="1"/>
    </xf>
    <xf numFmtId="3" fontId="0" fillId="5" borderId="69" xfId="0" applyNumberFormat="1" applyFill="1" applyBorder="1" applyAlignment="1">
      <alignment horizontal="center" vertical="center"/>
    </xf>
    <xf numFmtId="3" fontId="0" fillId="5" borderId="52" xfId="0" applyNumberFormat="1" applyFill="1" applyBorder="1" applyAlignment="1">
      <alignment horizontal="center" vertical="center"/>
    </xf>
    <xf numFmtId="3" fontId="0" fillId="5" borderId="55" xfId="0" applyNumberFormat="1" applyFill="1" applyBorder="1" applyAlignment="1">
      <alignment horizontal="center" vertical="center"/>
    </xf>
    <xf numFmtId="0" fontId="22" fillId="6" borderId="13" xfId="0" applyFont="1" applyFill="1" applyBorder="1" applyAlignment="1">
      <alignment horizontal="center" vertical="center" wrapText="1"/>
    </xf>
    <xf numFmtId="165" fontId="18" fillId="0" borderId="12" xfId="0" applyNumberFormat="1" applyFont="1" applyFill="1" applyBorder="1" applyAlignment="1">
      <alignment horizontal="justify" vertical="center" wrapText="1"/>
    </xf>
    <xf numFmtId="0" fontId="35" fillId="0" borderId="24" xfId="0" applyFont="1" applyBorder="1" applyAlignment="1">
      <alignment horizontal="right" wrapText="1"/>
    </xf>
    <xf numFmtId="3" fontId="35" fillId="0" borderId="25" xfId="0" applyNumberFormat="1" applyFont="1" applyBorder="1" applyAlignment="1">
      <alignment horizontal="center" wrapText="1"/>
    </xf>
    <xf numFmtId="0" fontId="35" fillId="0" borderId="25" xfId="0" applyFont="1" applyBorder="1" applyAlignment="1">
      <alignment horizontal="right"/>
    </xf>
    <xf numFmtId="0" fontId="35" fillId="0" borderId="25" xfId="0" applyFont="1" applyBorder="1" applyAlignment="1">
      <alignment horizontal="left"/>
    </xf>
    <xf numFmtId="0" fontId="22" fillId="10" borderId="13" xfId="0" applyFont="1" applyFill="1" applyBorder="1" applyAlignment="1">
      <alignment horizontal="left" vertical="center" wrapText="1"/>
    </xf>
    <xf numFmtId="0" fontId="26" fillId="14" borderId="7" xfId="0" applyFont="1" applyFill="1" applyBorder="1" applyAlignment="1">
      <alignment horizontal="left" vertical="center" wrapText="1"/>
    </xf>
    <xf numFmtId="0" fontId="22" fillId="14" borderId="13" xfId="0" applyFont="1" applyFill="1" applyBorder="1" applyAlignment="1">
      <alignment horizontal="left" vertical="center" wrapText="1"/>
    </xf>
    <xf numFmtId="0" fontId="17" fillId="12" borderId="7" xfId="0" applyFont="1" applyFill="1" applyBorder="1" applyAlignment="1">
      <alignment horizontal="left" vertical="center" wrapText="1"/>
    </xf>
    <xf numFmtId="0" fontId="18" fillId="25" borderId="20" xfId="0" applyFont="1" applyFill="1" applyBorder="1" applyAlignment="1">
      <alignment horizontal="center" vertical="center" wrapText="1"/>
    </xf>
    <xf numFmtId="0" fontId="22" fillId="6" borderId="70" xfId="0" applyFont="1" applyFill="1" applyBorder="1" applyAlignment="1">
      <alignment horizontal="left" vertical="center"/>
    </xf>
    <xf numFmtId="1" fontId="17" fillId="0" borderId="7" xfId="0" applyNumberFormat="1" applyFont="1" applyFill="1" applyBorder="1" applyAlignment="1">
      <alignment horizontal="center" vertical="center"/>
    </xf>
    <xf numFmtId="1" fontId="28" fillId="0" borderId="7" xfId="0" applyNumberFormat="1" applyFont="1" applyFill="1" applyBorder="1" applyAlignment="1">
      <alignment horizontal="center" vertical="center"/>
    </xf>
    <xf numFmtId="3" fontId="28" fillId="0" borderId="29" xfId="0" applyNumberFormat="1" applyFont="1" applyFill="1" applyBorder="1" applyAlignment="1">
      <alignment horizontal="center" vertical="center"/>
    </xf>
    <xf numFmtId="3" fontId="0" fillId="0" borderId="7" xfId="0" applyNumberFormat="1" applyFill="1" applyBorder="1" applyAlignment="1"/>
    <xf numFmtId="0" fontId="0" fillId="0" borderId="0" xfId="0" applyFill="1" applyAlignment="1"/>
    <xf numFmtId="3" fontId="59" fillId="7" borderId="7" xfId="0" applyNumberFormat="1" applyFont="1" applyFill="1" applyBorder="1" applyAlignment="1">
      <alignment horizontal="center" vertical="center" wrapText="1"/>
    </xf>
    <xf numFmtId="0" fontId="13" fillId="15" borderId="3" xfId="0" applyFont="1" applyFill="1" applyBorder="1" applyAlignment="1">
      <alignment horizontal="left" vertical="center"/>
    </xf>
    <xf numFmtId="3" fontId="0" fillId="5" borderId="69" xfId="0" applyNumberFormat="1" applyFill="1" applyBorder="1"/>
    <xf numFmtId="0" fontId="35" fillId="26" borderId="12" xfId="0" applyFont="1" applyFill="1" applyBorder="1" applyAlignment="1">
      <alignment vertical="center"/>
    </xf>
    <xf numFmtId="3" fontId="0" fillId="5" borderId="52" xfId="0" applyNumberFormat="1" applyFill="1" applyBorder="1"/>
    <xf numFmtId="3" fontId="0" fillId="5" borderId="55" xfId="0" applyNumberFormat="1" applyFill="1" applyBorder="1" applyAlignment="1"/>
    <xf numFmtId="3" fontId="29" fillId="7" borderId="13" xfId="0" applyNumberFormat="1" applyFont="1" applyFill="1" applyBorder="1" applyAlignment="1">
      <alignment horizontal="center" vertical="center" wrapText="1"/>
    </xf>
    <xf numFmtId="3" fontId="33" fillId="7" borderId="53" xfId="0" applyNumberFormat="1" applyFont="1" applyFill="1" applyBorder="1" applyAlignment="1">
      <alignment horizontal="left" vertical="center"/>
    </xf>
    <xf numFmtId="0" fontId="22" fillId="15" borderId="13" xfId="0" applyFont="1" applyFill="1" applyBorder="1" applyAlignment="1">
      <alignment horizontal="left" vertical="center" wrapText="1"/>
    </xf>
    <xf numFmtId="3" fontId="13" fillId="15" borderId="32" xfId="0" applyNumberFormat="1" applyFont="1" applyFill="1" applyBorder="1" applyAlignment="1">
      <alignment horizontal="left" vertical="center"/>
    </xf>
    <xf numFmtId="0" fontId="18" fillId="0" borderId="12" xfId="0" applyFont="1" applyFill="1" applyBorder="1" applyAlignment="1">
      <alignment horizontal="right" vertical="center" wrapText="1"/>
    </xf>
    <xf numFmtId="3" fontId="13" fillId="0" borderId="0" xfId="0" applyNumberFormat="1" applyFont="1" applyBorder="1" applyAlignment="1">
      <alignment horizontal="center"/>
    </xf>
    <xf numFmtId="1" fontId="0" fillId="0" borderId="0" xfId="0" applyNumberFormat="1" applyBorder="1" applyAlignment="1">
      <alignment horizontal="center"/>
    </xf>
    <xf numFmtId="3" fontId="13" fillId="0" borderId="0" xfId="0" applyNumberFormat="1" applyFont="1" applyBorder="1"/>
    <xf numFmtId="3" fontId="13" fillId="0" borderId="69" xfId="0" applyNumberFormat="1" applyFont="1" applyBorder="1"/>
    <xf numFmtId="3" fontId="41" fillId="11" borderId="32" xfId="0" applyNumberFormat="1" applyFont="1" applyFill="1" applyBorder="1" applyAlignment="1">
      <alignment horizontal="center" vertical="center" wrapText="1"/>
    </xf>
    <xf numFmtId="3" fontId="13" fillId="0" borderId="25" xfId="0" applyNumberFormat="1" applyFont="1" applyBorder="1" applyAlignment="1">
      <alignment horizontal="center"/>
    </xf>
    <xf numFmtId="1" fontId="0" fillId="0" borderId="25" xfId="0" applyNumberFormat="1" applyBorder="1" applyAlignment="1">
      <alignment horizontal="center"/>
    </xf>
    <xf numFmtId="3" fontId="13" fillId="0" borderId="25" xfId="0" applyNumberFormat="1" applyFont="1" applyBorder="1"/>
    <xf numFmtId="3" fontId="13" fillId="0" borderId="72" xfId="0" applyNumberFormat="1" applyFont="1" applyBorder="1"/>
    <xf numFmtId="3" fontId="40" fillId="13" borderId="48" xfId="2" applyNumberFormat="1" applyFont="1" applyFill="1" applyBorder="1" applyAlignment="1">
      <alignment horizontal="left" vertical="center"/>
    </xf>
    <xf numFmtId="0" fontId="28" fillId="0" borderId="0" xfId="0" applyFont="1"/>
    <xf numFmtId="0" fontId="28" fillId="0" borderId="0" xfId="0" applyFont="1" applyFill="1"/>
    <xf numFmtId="0" fontId="28" fillId="18" borderId="12" xfId="0" applyFont="1" applyFill="1" applyBorder="1" applyAlignment="1">
      <alignment horizontal="left" vertical="center"/>
    </xf>
    <xf numFmtId="0" fontId="60" fillId="18" borderId="0" xfId="0" applyFont="1" applyFill="1" applyBorder="1" applyAlignment="1">
      <alignment horizontal="center"/>
    </xf>
    <xf numFmtId="0" fontId="60" fillId="18" borderId="17" xfId="0" applyFont="1" applyFill="1" applyBorder="1" applyAlignment="1">
      <alignment horizontal="center"/>
    </xf>
    <xf numFmtId="0" fontId="28" fillId="18" borderId="12" xfId="0" applyFont="1" applyFill="1" applyBorder="1" applyAlignment="1">
      <alignment vertical="center"/>
    </xf>
    <xf numFmtId="0" fontId="21" fillId="0" borderId="12" xfId="0" applyFont="1" applyBorder="1" applyAlignment="1">
      <alignment vertical="center"/>
    </xf>
    <xf numFmtId="0" fontId="28" fillId="4" borderId="0" xfId="0" applyFont="1" applyFill="1" applyBorder="1" applyAlignment="1">
      <alignment horizontal="left" wrapText="1"/>
    </xf>
    <xf numFmtId="0" fontId="28" fillId="4" borderId="17" xfId="0" applyFont="1" applyFill="1" applyBorder="1" applyAlignment="1">
      <alignment horizontal="left" wrapText="1"/>
    </xf>
    <xf numFmtId="0" fontId="61" fillId="4" borderId="13" xfId="0" applyFont="1" applyFill="1" applyBorder="1" applyAlignment="1">
      <alignment vertical="center"/>
    </xf>
    <xf numFmtId="0" fontId="21" fillId="4" borderId="21" xfId="0" applyFont="1" applyFill="1" applyBorder="1" applyAlignment="1">
      <alignment horizontal="center" wrapText="1"/>
    </xf>
    <xf numFmtId="166" fontId="21" fillId="18" borderId="0" xfId="1" applyNumberFormat="1" applyFont="1" applyFill="1" applyBorder="1" applyAlignment="1">
      <alignment horizontal="center"/>
    </xf>
    <xf numFmtId="0" fontId="28" fillId="4" borderId="19" xfId="0" applyFont="1" applyFill="1" applyBorder="1" applyAlignment="1"/>
    <xf numFmtId="0" fontId="28" fillId="4" borderId="20" xfId="0" applyFont="1" applyFill="1" applyBorder="1" applyAlignment="1"/>
    <xf numFmtId="0" fontId="28" fillId="0" borderId="0" xfId="0" applyFont="1" applyAlignment="1"/>
    <xf numFmtId="0" fontId="21" fillId="4" borderId="22" xfId="0" applyFont="1" applyFill="1" applyBorder="1" applyAlignment="1">
      <alignment horizontal="center" vertical="center" wrapText="1"/>
    </xf>
    <xf numFmtId="3" fontId="21" fillId="4" borderId="14" xfId="0" applyNumberFormat="1"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0" borderId="0" xfId="0" applyFont="1"/>
    <xf numFmtId="0" fontId="21" fillId="13" borderId="13" xfId="0" applyFont="1" applyFill="1" applyBorder="1" applyAlignment="1">
      <alignment horizontal="center" vertical="center" wrapText="1"/>
    </xf>
    <xf numFmtId="3" fontId="34" fillId="29" borderId="7" xfId="0" applyNumberFormat="1" applyFont="1" applyFill="1" applyBorder="1" applyAlignment="1">
      <alignment horizontal="center" vertical="center"/>
    </xf>
    <xf numFmtId="3" fontId="34" fillId="29" borderId="32" xfId="0" applyNumberFormat="1" applyFont="1" applyFill="1" applyBorder="1" applyAlignment="1">
      <alignment horizontal="center" vertical="center"/>
    </xf>
    <xf numFmtId="0" fontId="25" fillId="0" borderId="0" xfId="0" applyFont="1" applyFill="1"/>
    <xf numFmtId="0" fontId="21" fillId="4" borderId="13" xfId="0" applyFont="1" applyFill="1" applyBorder="1" applyAlignment="1">
      <alignment horizontal="right" vertical="center"/>
    </xf>
    <xf numFmtId="0" fontId="21" fillId="4" borderId="7" xfId="0" applyFont="1" applyFill="1" applyBorder="1" applyAlignment="1">
      <alignment horizontal="left" vertical="center"/>
    </xf>
    <xf numFmtId="0" fontId="21" fillId="4" borderId="14" xfId="0" applyFont="1" applyFill="1" applyBorder="1" applyAlignment="1">
      <alignment horizontal="left" vertical="center"/>
    </xf>
    <xf numFmtId="0" fontId="21" fillId="4" borderId="22" xfId="0" applyFont="1" applyFill="1" applyBorder="1" applyAlignment="1">
      <alignment horizontal="right" vertical="center"/>
    </xf>
    <xf numFmtId="3" fontId="34" fillId="21" borderId="7" xfId="0" applyNumberFormat="1" applyFont="1" applyFill="1" applyBorder="1" applyAlignment="1">
      <alignment horizontal="center" vertical="center"/>
    </xf>
    <xf numFmtId="3" fontId="34" fillId="21" borderId="32" xfId="0" applyNumberFormat="1" applyFont="1" applyFill="1" applyBorder="1" applyAlignment="1">
      <alignment horizontal="center" vertical="center"/>
    </xf>
    <xf numFmtId="0" fontId="34" fillId="21" borderId="13" xfId="0" applyFont="1" applyFill="1" applyBorder="1" applyAlignment="1">
      <alignment horizontal="left" vertical="center"/>
    </xf>
    <xf numFmtId="3" fontId="34" fillId="24" borderId="3" xfId="0" applyNumberFormat="1" applyFont="1" applyFill="1" applyBorder="1" applyAlignment="1">
      <alignment horizontal="center" vertical="center"/>
    </xf>
    <xf numFmtId="3" fontId="34" fillId="24" borderId="7" xfId="0" applyNumberFormat="1" applyFont="1" applyFill="1" applyBorder="1" applyAlignment="1">
      <alignment horizontal="center" vertical="center"/>
    </xf>
    <xf numFmtId="3" fontId="34" fillId="24" borderId="32" xfId="0" applyNumberFormat="1" applyFont="1" applyFill="1" applyBorder="1" applyAlignment="1">
      <alignment horizontal="center" vertical="center"/>
    </xf>
    <xf numFmtId="0" fontId="34" fillId="24" borderId="13" xfId="0" applyFont="1" applyFill="1" applyBorder="1" applyAlignment="1">
      <alignment horizontal="left" vertical="center"/>
    </xf>
    <xf numFmtId="0" fontId="27" fillId="6" borderId="13" xfId="0" applyFont="1" applyFill="1" applyBorder="1" applyAlignment="1">
      <alignment horizontal="center" vertical="center" wrapText="1"/>
    </xf>
    <xf numFmtId="0" fontId="34" fillId="6" borderId="13" xfId="0" applyFont="1" applyFill="1" applyBorder="1" applyAlignment="1">
      <alignment horizontal="left" vertical="center"/>
    </xf>
    <xf numFmtId="0" fontId="34" fillId="17" borderId="28" xfId="0" applyFont="1" applyFill="1" applyBorder="1" applyAlignment="1">
      <alignment horizontal="left" vertical="center"/>
    </xf>
    <xf numFmtId="0" fontId="21" fillId="4" borderId="13" xfId="0" applyFont="1" applyFill="1" applyBorder="1" applyAlignment="1">
      <alignment horizontal="center" vertical="center" wrapText="1"/>
    </xf>
    <xf numFmtId="0" fontId="21" fillId="0" borderId="22" xfId="0" applyFont="1" applyFill="1" applyBorder="1" applyAlignment="1">
      <alignment horizontal="right" vertical="center"/>
    </xf>
    <xf numFmtId="0" fontId="21" fillId="0" borderId="14" xfId="0" applyFont="1" applyFill="1" applyBorder="1" applyAlignment="1">
      <alignment horizontal="left" vertical="center"/>
    </xf>
    <xf numFmtId="3" fontId="21" fillId="0" borderId="14" xfId="0" applyNumberFormat="1" applyFont="1" applyFill="1" applyBorder="1" applyAlignment="1">
      <alignment horizontal="center" vertical="center" wrapText="1"/>
    </xf>
    <xf numFmtId="0" fontId="28" fillId="16" borderId="0" xfId="0" applyFont="1" applyFill="1"/>
    <xf numFmtId="169" fontId="34" fillId="0" borderId="0" xfId="0" applyNumberFormat="1" applyFont="1" applyAlignment="1">
      <alignment horizontal="center"/>
    </xf>
    <xf numFmtId="9" fontId="28" fillId="16" borderId="0" xfId="0" applyNumberFormat="1" applyFont="1" applyFill="1"/>
    <xf numFmtId="0" fontId="21" fillId="16" borderId="0" xfId="0" applyFont="1" applyFill="1" applyAlignment="1">
      <alignment horizontal="right" wrapText="1"/>
    </xf>
    <xf numFmtId="0" fontId="21" fillId="16" borderId="0" xfId="0" applyFont="1" applyFill="1" applyAlignment="1">
      <alignment horizontal="right"/>
    </xf>
    <xf numFmtId="0" fontId="21" fillId="16" borderId="0" xfId="0" applyFont="1" applyFill="1" applyAlignment="1">
      <alignment horizontal="left"/>
    </xf>
    <xf numFmtId="0" fontId="28" fillId="16" borderId="0" xfId="0" applyFont="1" applyFill="1" applyAlignment="1">
      <alignment wrapText="1"/>
    </xf>
    <xf numFmtId="168" fontId="28" fillId="16" borderId="0" xfId="1" applyNumberFormat="1" applyFont="1" applyFill="1"/>
    <xf numFmtId="0" fontId="28" fillId="16" borderId="0" xfId="0" applyFont="1" applyFill="1" applyAlignment="1">
      <alignment horizontal="left"/>
    </xf>
    <xf numFmtId="0" fontId="28" fillId="0" borderId="0" xfId="0" applyFont="1" applyAlignment="1">
      <alignment wrapText="1"/>
    </xf>
    <xf numFmtId="3" fontId="28" fillId="0" borderId="0" xfId="0" applyNumberFormat="1" applyFont="1"/>
    <xf numFmtId="168" fontId="28" fillId="0" borderId="0" xfId="1" applyNumberFormat="1" applyFont="1"/>
    <xf numFmtId="0" fontId="28" fillId="0" borderId="0" xfId="0" applyFont="1" applyAlignment="1">
      <alignment horizontal="left"/>
    </xf>
    <xf numFmtId="169" fontId="28" fillId="0" borderId="0" xfId="0" applyNumberFormat="1" applyFont="1" applyAlignment="1">
      <alignment horizontal="center"/>
    </xf>
    <xf numFmtId="0" fontId="21" fillId="2" borderId="7" xfId="0" applyFont="1" applyFill="1" applyBorder="1" applyAlignment="1">
      <alignment horizontal="center" vertical="center"/>
    </xf>
    <xf numFmtId="0" fontId="28" fillId="0" borderId="0" xfId="0" applyFont="1" applyAlignment="1">
      <alignment vertical="center"/>
    </xf>
    <xf numFmtId="0" fontId="22" fillId="12" borderId="13" xfId="0" applyFont="1" applyFill="1" applyBorder="1" applyAlignment="1">
      <alignment horizontal="center" vertical="center" wrapText="1"/>
    </xf>
    <xf numFmtId="0" fontId="13" fillId="12" borderId="13"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0" fillId="25" borderId="32" xfId="0" applyFill="1" applyBorder="1"/>
    <xf numFmtId="3" fontId="18" fillId="25" borderId="18" xfId="0" applyNumberFormat="1" applyFont="1" applyFill="1" applyBorder="1" applyAlignment="1">
      <alignment horizontal="center"/>
    </xf>
    <xf numFmtId="3" fontId="18" fillId="25" borderId="29" xfId="0" applyNumberFormat="1" applyFont="1" applyFill="1" applyBorder="1" applyAlignment="1">
      <alignment horizontal="center" vertical="center"/>
    </xf>
    <xf numFmtId="3" fontId="18" fillId="0" borderId="29" xfId="0" applyNumberFormat="1" applyFont="1" applyFill="1" applyBorder="1" applyAlignment="1">
      <alignment horizontal="center"/>
    </xf>
    <xf numFmtId="3" fontId="18" fillId="25" borderId="29" xfId="0" applyNumberFormat="1" applyFont="1" applyFill="1" applyBorder="1" applyAlignment="1">
      <alignment horizontal="center"/>
    </xf>
    <xf numFmtId="3" fontId="18" fillId="23" borderId="29" xfId="0" applyNumberFormat="1" applyFont="1" applyFill="1" applyBorder="1" applyAlignment="1">
      <alignment horizontal="center"/>
    </xf>
    <xf numFmtId="3" fontId="18" fillId="28" borderId="29" xfId="0" applyNumberFormat="1" applyFont="1" applyFill="1" applyBorder="1" applyAlignment="1">
      <alignment horizontal="center"/>
    </xf>
    <xf numFmtId="3" fontId="18" fillId="22" borderId="29" xfId="0" applyNumberFormat="1" applyFont="1" applyFill="1" applyBorder="1" applyAlignment="1">
      <alignment horizontal="center" vertical="center"/>
    </xf>
    <xf numFmtId="3" fontId="21" fillId="9" borderId="75" xfId="0" applyNumberFormat="1" applyFont="1" applyFill="1" applyBorder="1" applyAlignment="1">
      <alignment horizontal="center" vertical="center" wrapText="1"/>
    </xf>
    <xf numFmtId="3" fontId="0" fillId="0" borderId="75" xfId="0" applyNumberFormat="1" applyFill="1" applyBorder="1" applyAlignment="1">
      <alignment horizontal="center" vertical="center"/>
    </xf>
    <xf numFmtId="3" fontId="21" fillId="4" borderId="75" xfId="0" applyNumberFormat="1" applyFont="1" applyFill="1" applyBorder="1" applyAlignment="1">
      <alignment horizontal="center" vertical="center" wrapText="1"/>
    </xf>
    <xf numFmtId="3" fontId="18" fillId="22" borderId="75" xfId="0" applyNumberFormat="1" applyFont="1" applyFill="1" applyBorder="1" applyAlignment="1">
      <alignment horizontal="center" vertical="center"/>
    </xf>
    <xf numFmtId="3" fontId="41" fillId="5" borderId="30" xfId="0" applyNumberFormat="1" applyFont="1" applyFill="1" applyBorder="1" applyAlignment="1">
      <alignment horizontal="center" vertical="center" wrapText="1"/>
    </xf>
    <xf numFmtId="3" fontId="41" fillId="5" borderId="1" xfId="0" applyNumberFormat="1" applyFont="1" applyFill="1" applyBorder="1" applyAlignment="1">
      <alignment horizontal="center" vertical="center" wrapText="1"/>
    </xf>
    <xf numFmtId="3" fontId="62" fillId="5" borderId="30" xfId="0" applyNumberFormat="1" applyFont="1" applyFill="1" applyBorder="1" applyAlignment="1">
      <alignment horizontal="center" vertical="center" wrapText="1"/>
    </xf>
    <xf numFmtId="3" fontId="62" fillId="5" borderId="1" xfId="0" applyNumberFormat="1" applyFont="1" applyFill="1" applyBorder="1" applyAlignment="1">
      <alignment horizontal="center" vertical="center" wrapText="1"/>
    </xf>
    <xf numFmtId="3" fontId="62" fillId="5" borderId="37" xfId="0" applyNumberFormat="1" applyFont="1" applyFill="1" applyBorder="1" applyAlignment="1">
      <alignment horizontal="center" vertical="center" wrapText="1"/>
    </xf>
    <xf numFmtId="3" fontId="62" fillId="5" borderId="73" xfId="0" applyNumberFormat="1" applyFont="1" applyFill="1" applyBorder="1" applyAlignment="1">
      <alignment horizontal="center" vertical="center" wrapText="1"/>
    </xf>
    <xf numFmtId="0" fontId="41" fillId="5" borderId="1" xfId="0" applyFont="1" applyFill="1" applyBorder="1" applyAlignment="1">
      <alignment horizontal="center" vertical="center" wrapText="1"/>
    </xf>
    <xf numFmtId="1" fontId="41" fillId="5" borderId="1" xfId="0" applyNumberFormat="1" applyFont="1" applyFill="1" applyBorder="1" applyAlignment="1">
      <alignment horizontal="center" vertical="center" wrapText="1"/>
    </xf>
    <xf numFmtId="169" fontId="41" fillId="5" borderId="47" xfId="0" applyNumberFormat="1" applyFont="1" applyFill="1" applyBorder="1" applyAlignment="1">
      <alignment horizontal="center" vertical="center" wrapText="1"/>
    </xf>
    <xf numFmtId="0" fontId="18" fillId="4" borderId="12" xfId="0" applyFont="1" applyFill="1" applyBorder="1" applyAlignment="1">
      <alignment horizontal="center" vertical="center" wrapText="1"/>
    </xf>
    <xf numFmtId="0" fontId="0" fillId="4" borderId="0" xfId="0" applyFill="1" applyBorder="1"/>
    <xf numFmtId="0" fontId="0" fillId="4" borderId="17" xfId="0" applyFill="1" applyBorder="1"/>
    <xf numFmtId="0" fontId="22" fillId="6" borderId="70" xfId="0" applyFont="1" applyFill="1" applyBorder="1" applyAlignment="1">
      <alignment horizontal="center" vertical="center" wrapText="1"/>
    </xf>
    <xf numFmtId="165" fontId="22" fillId="20" borderId="6" xfId="0" applyNumberFormat="1" applyFont="1" applyFill="1" applyBorder="1" applyAlignment="1">
      <alignment horizontal="center" vertical="center" wrapText="1"/>
    </xf>
    <xf numFmtId="0" fontId="17" fillId="6" borderId="6" xfId="0" applyFont="1" applyFill="1" applyBorder="1" applyAlignment="1">
      <alignment horizontal="left" vertical="center" wrapText="1"/>
    </xf>
    <xf numFmtId="165" fontId="18" fillId="4" borderId="1" xfId="0" applyNumberFormat="1" applyFont="1" applyFill="1" applyBorder="1" applyAlignment="1">
      <alignment horizontal="center" vertical="center" wrapText="1"/>
    </xf>
    <xf numFmtId="0" fontId="18" fillId="18" borderId="12" xfId="0" applyFont="1" applyFill="1" applyBorder="1" applyAlignment="1">
      <alignment vertical="center"/>
    </xf>
    <xf numFmtId="0" fontId="0" fillId="5" borderId="55" xfId="0" applyFill="1" applyBorder="1" applyAlignment="1">
      <alignment horizontal="center" vertical="center"/>
    </xf>
    <xf numFmtId="0" fontId="23" fillId="25" borderId="74" xfId="0" applyFont="1" applyFill="1" applyBorder="1" applyAlignment="1">
      <alignment horizontal="center" vertical="center"/>
    </xf>
    <xf numFmtId="3" fontId="0" fillId="25" borderId="75" xfId="0" applyNumberFormat="1" applyFill="1" applyBorder="1" applyAlignment="1">
      <alignment horizontal="center" vertical="center"/>
    </xf>
    <xf numFmtId="0" fontId="0" fillId="25" borderId="75" xfId="0" applyFill="1" applyBorder="1" applyAlignment="1">
      <alignment horizontal="center" vertical="center"/>
    </xf>
    <xf numFmtId="0" fontId="23" fillId="23" borderId="75" xfId="0" applyFont="1" applyFill="1" applyBorder="1" applyAlignment="1">
      <alignment horizontal="center" vertical="center"/>
    </xf>
    <xf numFmtId="0" fontId="23" fillId="28" borderId="75" xfId="0" applyFont="1" applyFill="1" applyBorder="1" applyAlignment="1">
      <alignment horizontal="center" vertical="center"/>
    </xf>
    <xf numFmtId="3" fontId="0" fillId="28" borderId="75" xfId="0" applyNumberFormat="1" applyFill="1" applyBorder="1" applyAlignment="1">
      <alignment horizontal="center" vertical="center"/>
    </xf>
    <xf numFmtId="0" fontId="0" fillId="28" borderId="75" xfId="0" applyFill="1" applyBorder="1" applyAlignment="1">
      <alignment horizontal="center" vertical="center"/>
    </xf>
    <xf numFmtId="0" fontId="0" fillId="0" borderId="69" xfId="0" applyBorder="1" applyAlignment="1">
      <alignment horizontal="center" vertical="center"/>
    </xf>
    <xf numFmtId="0" fontId="18" fillId="18" borderId="12" xfId="0" applyFont="1" applyFill="1" applyBorder="1" applyAlignment="1">
      <alignment horizontal="left" vertical="center" wrapText="1"/>
    </xf>
    <xf numFmtId="0" fontId="38" fillId="18" borderId="12" xfId="0" applyFont="1" applyFill="1" applyBorder="1" applyAlignment="1">
      <alignment vertical="center" wrapText="1"/>
    </xf>
    <xf numFmtId="3" fontId="41" fillId="5" borderId="47" xfId="0" applyNumberFormat="1" applyFont="1" applyFill="1" applyBorder="1" applyAlignment="1">
      <alignment horizontal="center" vertical="center" wrapText="1"/>
    </xf>
    <xf numFmtId="3" fontId="41" fillId="5" borderId="57" xfId="0" applyNumberFormat="1" applyFont="1" applyFill="1" applyBorder="1" applyAlignment="1">
      <alignment horizontal="center" vertical="center" wrapText="1"/>
    </xf>
    <xf numFmtId="3" fontId="30" fillId="7" borderId="32" xfId="0" applyNumberFormat="1" applyFont="1" applyFill="1" applyBorder="1" applyAlignment="1">
      <alignment horizontal="left" vertical="center" wrapText="1"/>
    </xf>
    <xf numFmtId="167" fontId="18" fillId="0" borderId="0" xfId="1" applyNumberFormat="1" applyFont="1" applyBorder="1" applyAlignment="1">
      <alignment horizontal="center" wrapText="1"/>
    </xf>
    <xf numFmtId="3" fontId="18" fillId="0" borderId="7" xfId="0" applyNumberFormat="1" applyFont="1" applyFill="1" applyBorder="1" applyAlignment="1">
      <alignment horizontal="center" vertical="center"/>
    </xf>
    <xf numFmtId="169" fontId="18" fillId="0" borderId="3" xfId="0" applyNumberFormat="1" applyFont="1" applyFill="1" applyBorder="1" applyAlignment="1">
      <alignment horizontal="center" vertical="center" wrapText="1"/>
    </xf>
    <xf numFmtId="0" fontId="22" fillId="6" borderId="7" xfId="0" applyFont="1" applyFill="1" applyBorder="1" applyAlignment="1">
      <alignment horizontal="center" vertical="center" wrapText="1"/>
    </xf>
    <xf numFmtId="169" fontId="18" fillId="0" borderId="3" xfId="0" applyNumberFormat="1" applyFont="1" applyFill="1" applyBorder="1" applyAlignment="1">
      <alignment horizontal="center" vertical="center"/>
    </xf>
    <xf numFmtId="3" fontId="21" fillId="0" borderId="29" xfId="0" applyNumberFormat="1" applyFont="1" applyFill="1" applyBorder="1" applyAlignment="1">
      <alignment horizontal="center" vertical="center"/>
    </xf>
    <xf numFmtId="1" fontId="21" fillId="0" borderId="7" xfId="0" applyNumberFormat="1" applyFont="1" applyFill="1" applyBorder="1" applyAlignment="1">
      <alignment horizontal="center" vertical="center"/>
    </xf>
    <xf numFmtId="3" fontId="21" fillId="0" borderId="2" xfId="0" applyNumberFormat="1" applyFont="1" applyFill="1" applyBorder="1" applyAlignment="1">
      <alignment horizontal="center" vertical="center"/>
    </xf>
    <xf numFmtId="0" fontId="0" fillId="0" borderId="7" xfId="0" applyFill="1" applyBorder="1" applyAlignment="1"/>
    <xf numFmtId="0" fontId="22" fillId="14" borderId="7" xfId="0" applyFont="1" applyFill="1" applyBorder="1" applyAlignment="1">
      <alignment horizontal="left" vertical="center" wrapText="1"/>
    </xf>
    <xf numFmtId="0" fontId="22" fillId="14" borderId="13" xfId="0" applyFont="1" applyFill="1" applyBorder="1" applyAlignment="1">
      <alignment horizontal="center" vertical="center" wrapText="1"/>
    </xf>
    <xf numFmtId="0" fontId="22" fillId="13" borderId="13"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13" fillId="6" borderId="13" xfId="0" applyFont="1" applyFill="1" applyBorder="1" applyAlignment="1">
      <alignment horizontal="left" vertical="center" wrapText="1"/>
    </xf>
    <xf numFmtId="0" fontId="18" fillId="0" borderId="12" xfId="0" applyFont="1" applyFill="1" applyBorder="1" applyAlignment="1">
      <alignment wrapText="1"/>
    </xf>
    <xf numFmtId="0" fontId="26" fillId="13" borderId="3" xfId="0" applyFont="1" applyFill="1" applyBorder="1" applyAlignment="1">
      <alignment horizontal="center" vertical="center"/>
    </xf>
    <xf numFmtId="0" fontId="35" fillId="0" borderId="12" xfId="0" applyFont="1" applyBorder="1"/>
    <xf numFmtId="0" fontId="35" fillId="0" borderId="24" xfId="0" applyFont="1" applyBorder="1"/>
    <xf numFmtId="1" fontId="13" fillId="0" borderId="23" xfId="0" applyNumberFormat="1" applyFont="1" applyFill="1" applyBorder="1" applyAlignment="1">
      <alignment horizontal="center"/>
    </xf>
    <xf numFmtId="1" fontId="23" fillId="23" borderId="23" xfId="0" applyNumberFormat="1" applyFont="1" applyFill="1" applyBorder="1" applyAlignment="1">
      <alignment horizontal="center"/>
    </xf>
    <xf numFmtId="3" fontId="13" fillId="15" borderId="3" xfId="0" applyNumberFormat="1" applyFont="1" applyFill="1" applyBorder="1" applyAlignment="1">
      <alignment horizontal="left" vertical="center"/>
    </xf>
    <xf numFmtId="3" fontId="39" fillId="13" borderId="14" xfId="2" applyNumberFormat="1" applyFont="1" applyFill="1" applyBorder="1" applyAlignment="1">
      <alignment horizontal="left" vertical="center" wrapText="1"/>
    </xf>
    <xf numFmtId="0" fontId="27" fillId="21" borderId="13" xfId="0" applyFont="1" applyFill="1" applyBorder="1" applyAlignment="1">
      <alignment horizontal="center" vertical="center" wrapText="1"/>
    </xf>
    <xf numFmtId="3" fontId="39" fillId="21" borderId="7" xfId="2" applyNumberFormat="1" applyFont="1" applyFill="1" applyBorder="1" applyAlignment="1">
      <alignment horizontal="left" vertical="center" wrapText="1"/>
    </xf>
    <xf numFmtId="3" fontId="39" fillId="21" borderId="14" xfId="2" applyNumberFormat="1" applyFont="1" applyFill="1" applyBorder="1" applyAlignment="1">
      <alignment horizontal="left" vertical="center" wrapText="1"/>
    </xf>
    <xf numFmtId="3" fontId="39" fillId="24" borderId="7" xfId="2" applyNumberFormat="1" applyFont="1" applyFill="1" applyBorder="1" applyAlignment="1">
      <alignment horizontal="left" vertical="center" wrapText="1"/>
    </xf>
    <xf numFmtId="3" fontId="39" fillId="24" borderId="14" xfId="2" applyNumberFormat="1" applyFont="1" applyFill="1" applyBorder="1" applyAlignment="1">
      <alignment horizontal="left" vertical="center" wrapText="1"/>
    </xf>
    <xf numFmtId="0" fontId="27" fillId="24" borderId="13" xfId="0" applyFont="1" applyFill="1" applyBorder="1" applyAlignment="1">
      <alignment horizontal="center" vertical="center" wrapText="1"/>
    </xf>
    <xf numFmtId="3" fontId="13" fillId="0" borderId="3" xfId="0" applyNumberFormat="1" applyFont="1" applyFill="1" applyBorder="1" applyAlignment="1">
      <alignment horizontal="center" vertical="center"/>
    </xf>
    <xf numFmtId="3" fontId="13" fillId="0" borderId="7" xfId="0" applyNumberFormat="1" applyFont="1" applyFill="1" applyBorder="1" applyAlignment="1">
      <alignment horizontal="center" vertical="center"/>
    </xf>
    <xf numFmtId="0" fontId="24" fillId="0" borderId="0" xfId="0" applyFont="1" applyFill="1"/>
    <xf numFmtId="0" fontId="18" fillId="4" borderId="14" xfId="0" applyFont="1" applyFill="1" applyBorder="1" applyAlignment="1">
      <alignment horizontal="left" vertical="center"/>
    </xf>
    <xf numFmtId="0" fontId="27" fillId="17" borderId="28" xfId="0" applyFont="1" applyFill="1" applyBorder="1" applyAlignment="1">
      <alignment horizontal="left" vertical="center" wrapText="1"/>
    </xf>
    <xf numFmtId="0" fontId="21" fillId="20" borderId="22" xfId="0" applyFont="1" applyFill="1" applyBorder="1" applyAlignment="1">
      <alignment horizontal="center" vertical="center" wrapText="1"/>
    </xf>
    <xf numFmtId="0" fontId="27" fillId="61" borderId="28" xfId="0" applyFont="1" applyFill="1" applyBorder="1" applyAlignment="1">
      <alignment horizontal="left" vertical="center" wrapText="1"/>
    </xf>
    <xf numFmtId="0" fontId="21" fillId="20" borderId="14" xfId="0" applyFont="1" applyFill="1" applyBorder="1" applyAlignment="1">
      <alignment horizontal="center" vertical="center" wrapText="1"/>
    </xf>
    <xf numFmtId="0" fontId="28" fillId="13" borderId="13" xfId="0" applyFont="1" applyFill="1" applyBorder="1" applyAlignment="1">
      <alignment horizontal="left" vertical="center"/>
    </xf>
    <xf numFmtId="0" fontId="41" fillId="9" borderId="24" xfId="0" applyFont="1" applyFill="1" applyBorder="1" applyAlignment="1">
      <alignment horizontal="center" vertical="center"/>
    </xf>
    <xf numFmtId="0" fontId="34" fillId="61" borderId="28" xfId="0" applyFont="1" applyFill="1" applyBorder="1" applyAlignment="1">
      <alignment horizontal="left" vertical="center"/>
    </xf>
    <xf numFmtId="0" fontId="28" fillId="20" borderId="14" xfId="0" applyFont="1" applyFill="1" applyBorder="1" applyAlignment="1">
      <alignment horizontal="left" vertical="center"/>
    </xf>
    <xf numFmtId="0" fontId="27" fillId="6" borderId="7" xfId="0" applyFont="1" applyFill="1" applyBorder="1" applyAlignment="1">
      <alignment horizontal="left" vertical="center" wrapText="1"/>
    </xf>
    <xf numFmtId="0" fontId="34" fillId="6" borderId="7" xfId="0" applyFont="1" applyFill="1" applyBorder="1" applyAlignment="1">
      <alignment horizontal="center" vertical="center" wrapText="1"/>
    </xf>
    <xf numFmtId="0" fontId="27" fillId="6" borderId="32" xfId="0" applyFont="1" applyFill="1" applyBorder="1" applyAlignment="1">
      <alignment horizontal="left" vertical="center" wrapText="1"/>
    </xf>
    <xf numFmtId="0" fontId="34" fillId="6" borderId="32" xfId="0" applyFont="1" applyFill="1" applyBorder="1" applyAlignment="1">
      <alignment horizontal="center" vertical="center" wrapText="1"/>
    </xf>
    <xf numFmtId="0" fontId="38" fillId="0" borderId="0" xfId="0" applyFont="1" applyAlignment="1">
      <alignment horizontal="center"/>
    </xf>
    <xf numFmtId="0" fontId="38" fillId="0" borderId="0" xfId="0" applyFont="1" applyFill="1" applyAlignment="1">
      <alignment horizontal="center"/>
    </xf>
    <xf numFmtId="0" fontId="38" fillId="0" borderId="0" xfId="0" applyFont="1" applyFill="1"/>
    <xf numFmtId="0" fontId="38" fillId="0" borderId="0" xfId="0" applyFont="1" applyAlignment="1"/>
    <xf numFmtId="0" fontId="38" fillId="16" borderId="0" xfId="0" applyFont="1" applyFill="1" applyAlignment="1">
      <alignment horizontal="center"/>
    </xf>
    <xf numFmtId="0" fontId="38" fillId="16" borderId="0" xfId="0" applyFont="1" applyFill="1"/>
    <xf numFmtId="169" fontId="38" fillId="0" borderId="0" xfId="0" applyNumberFormat="1" applyFont="1" applyAlignment="1">
      <alignment horizontal="center"/>
    </xf>
    <xf numFmtId="3" fontId="38" fillId="0" borderId="0" xfId="0" applyNumberFormat="1" applyFont="1" applyAlignment="1">
      <alignment horizontal="right"/>
    </xf>
    <xf numFmtId="3" fontId="38" fillId="0" borderId="0" xfId="0" applyNumberFormat="1" applyFont="1" applyFill="1" applyAlignment="1">
      <alignment horizontal="right"/>
    </xf>
    <xf numFmtId="3" fontId="17" fillId="0" borderId="0" xfId="0" applyNumberFormat="1" applyFont="1" applyFill="1" applyBorder="1" applyAlignment="1">
      <alignment horizontal="center"/>
    </xf>
    <xf numFmtId="0" fontId="0" fillId="0" borderId="0" xfId="0" applyFill="1" applyAlignment="1">
      <alignment horizontal="center"/>
    </xf>
    <xf numFmtId="165" fontId="24" fillId="0" borderId="0" xfId="0" applyNumberFormat="1" applyFont="1" applyFill="1" applyAlignment="1">
      <alignment horizontal="center"/>
    </xf>
    <xf numFmtId="0" fontId="38" fillId="0" borderId="0" xfId="0" applyFont="1" applyAlignment="1">
      <alignment horizontal="center" vertical="center"/>
    </xf>
    <xf numFmtId="167" fontId="18" fillId="0" borderId="0" xfId="1" applyNumberFormat="1" applyFont="1" applyBorder="1" applyAlignment="1">
      <alignment horizont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0" fontId="18" fillId="18" borderId="12" xfId="0" applyFont="1" applyFill="1" applyBorder="1" applyAlignment="1">
      <alignment horizontal="left" vertical="center"/>
    </xf>
    <xf numFmtId="3" fontId="22" fillId="0" borderId="7" xfId="0" applyNumberFormat="1" applyFont="1" applyFill="1" applyBorder="1" applyAlignment="1">
      <alignment horizontal="center" vertical="center"/>
    </xf>
    <xf numFmtId="0" fontId="0" fillId="0" borderId="3" xfId="0" applyFill="1" applyBorder="1" applyAlignment="1">
      <alignment horizontal="center"/>
    </xf>
    <xf numFmtId="1" fontId="0" fillId="0" borderId="7" xfId="0" applyNumberFormat="1" applyFill="1" applyBorder="1"/>
    <xf numFmtId="0" fontId="26" fillId="0" borderId="7" xfId="0" applyFont="1" applyFill="1" applyBorder="1" applyAlignment="1">
      <alignment horizontal="left" vertical="center"/>
    </xf>
    <xf numFmtId="0" fontId="13" fillId="6" borderId="13" xfId="0" applyFont="1" applyFill="1" applyBorder="1" applyAlignment="1">
      <alignment horizontal="left" vertical="center"/>
    </xf>
    <xf numFmtId="0" fontId="17" fillId="0" borderId="7" xfId="0" applyFont="1" applyFill="1" applyBorder="1" applyAlignment="1">
      <alignment horizontal="left" vertical="center"/>
    </xf>
    <xf numFmtId="169" fontId="18" fillId="23" borderId="3" xfId="0" applyNumberFormat="1" applyFont="1" applyFill="1" applyBorder="1" applyAlignment="1">
      <alignment horizontal="center" vertical="center"/>
    </xf>
    <xf numFmtId="3" fontId="21" fillId="23" borderId="29" xfId="0" applyNumberFormat="1" applyFont="1" applyFill="1" applyBorder="1" applyAlignment="1">
      <alignment horizontal="center" vertical="center"/>
    </xf>
    <xf numFmtId="1" fontId="21" fillId="23" borderId="7" xfId="0" applyNumberFormat="1" applyFont="1" applyFill="1" applyBorder="1" applyAlignment="1">
      <alignment horizontal="center" vertical="center"/>
    </xf>
    <xf numFmtId="169" fontId="17" fillId="0" borderId="3" xfId="0" applyNumberFormat="1" applyFont="1" applyFill="1" applyBorder="1" applyAlignment="1">
      <alignment horizontal="center" vertical="center"/>
    </xf>
    <xf numFmtId="3" fontId="34" fillId="0" borderId="29" xfId="0" applyNumberFormat="1" applyFont="1" applyFill="1" applyBorder="1" applyAlignment="1">
      <alignment horizontal="center" vertical="center"/>
    </xf>
    <xf numFmtId="1" fontId="34" fillId="0" borderId="7" xfId="0" applyNumberFormat="1" applyFont="1" applyFill="1" applyBorder="1" applyAlignment="1">
      <alignment horizontal="center" vertical="center"/>
    </xf>
    <xf numFmtId="169" fontId="23" fillId="0" borderId="32" xfId="0" applyNumberFormat="1" applyFont="1" applyFill="1" applyBorder="1" applyAlignment="1">
      <alignment horizontal="center"/>
    </xf>
    <xf numFmtId="3" fontId="23" fillId="0" borderId="7" xfId="0" applyNumberFormat="1" applyFont="1" applyFill="1" applyBorder="1"/>
    <xf numFmtId="0" fontId="17" fillId="10" borderId="13" xfId="0" applyFont="1" applyFill="1" applyBorder="1" applyAlignment="1">
      <alignment horizontal="left" vertical="center"/>
    </xf>
    <xf numFmtId="1" fontId="25" fillId="0" borderId="7" xfId="0" applyNumberFormat="1" applyFont="1" applyFill="1" applyBorder="1" applyAlignment="1">
      <alignment horizontal="center" vertical="center"/>
    </xf>
    <xf numFmtId="0" fontId="23" fillId="0" borderId="0" xfId="0" applyFont="1" applyFill="1" applyAlignment="1"/>
    <xf numFmtId="0" fontId="26" fillId="0" borderId="3" xfId="0" applyFont="1" applyFill="1" applyBorder="1" applyAlignment="1">
      <alignment horizontal="center" vertical="center"/>
    </xf>
    <xf numFmtId="3" fontId="26" fillId="0" borderId="3" xfId="0" applyNumberFormat="1" applyFont="1" applyFill="1" applyBorder="1" applyAlignment="1">
      <alignment horizontal="left" vertical="center"/>
    </xf>
    <xf numFmtId="3" fontId="26" fillId="0" borderId="29" xfId="0" applyNumberFormat="1" applyFont="1" applyFill="1" applyBorder="1" applyAlignment="1">
      <alignment horizontal="center" vertical="center"/>
    </xf>
    <xf numFmtId="0" fontId="17" fillId="14" borderId="13" xfId="0" applyFont="1" applyFill="1" applyBorder="1" applyAlignment="1">
      <alignment horizontal="left" vertical="center"/>
    </xf>
    <xf numFmtId="169" fontId="26" fillId="0" borderId="3" xfId="0" applyNumberFormat="1" applyFont="1" applyFill="1" applyBorder="1" applyAlignment="1">
      <alignment horizontal="center" vertical="center"/>
    </xf>
    <xf numFmtId="3" fontId="17" fillId="0" borderId="7" xfId="0" applyNumberFormat="1" applyFont="1" applyFill="1" applyBorder="1" applyAlignment="1"/>
    <xf numFmtId="3" fontId="24" fillId="0" borderId="0" xfId="0" applyNumberFormat="1" applyFont="1" applyFill="1" applyAlignment="1">
      <alignment horizontal="center"/>
    </xf>
    <xf numFmtId="3" fontId="24" fillId="0" borderId="0" xfId="0" applyNumberFormat="1" applyFont="1" applyAlignment="1">
      <alignment horizontal="center"/>
    </xf>
    <xf numFmtId="3" fontId="24" fillId="0" borderId="0" xfId="0" applyNumberFormat="1" applyFont="1" applyFill="1" applyAlignment="1">
      <alignment horizontal="center" vertical="center"/>
    </xf>
    <xf numFmtId="3" fontId="24" fillId="0" borderId="0" xfId="0" applyNumberFormat="1" applyFont="1" applyAlignment="1">
      <alignment horizontal="center" vertical="center"/>
    </xf>
    <xf numFmtId="0" fontId="13" fillId="14" borderId="13" xfId="0" applyFont="1" applyFill="1" applyBorder="1" applyAlignment="1">
      <alignment horizontal="left" vertical="center"/>
    </xf>
    <xf numFmtId="0" fontId="17" fillId="24" borderId="13" xfId="0" applyFont="1" applyFill="1" applyBorder="1" applyAlignment="1">
      <alignment horizontal="left" vertical="center"/>
    </xf>
    <xf numFmtId="0" fontId="13" fillId="15" borderId="13" xfId="0" applyFont="1" applyFill="1" applyBorder="1" applyAlignment="1">
      <alignment horizontal="left" vertical="center"/>
    </xf>
    <xf numFmtId="3" fontId="13" fillId="0" borderId="3" xfId="0" applyNumberFormat="1" applyFont="1" applyFill="1" applyBorder="1" applyAlignment="1"/>
    <xf numFmtId="3" fontId="13" fillId="0" borderId="7" xfId="0" applyNumberFormat="1" applyFont="1" applyFill="1" applyBorder="1" applyAlignment="1"/>
    <xf numFmtId="3" fontId="13" fillId="0" borderId="32" xfId="0" applyNumberFormat="1" applyFont="1" applyFill="1" applyBorder="1" applyAlignment="1"/>
    <xf numFmtId="3" fontId="33" fillId="0" borderId="3" xfId="0" applyNumberFormat="1" applyFont="1" applyFill="1" applyBorder="1" applyAlignment="1">
      <alignment horizontal="left" vertical="center"/>
    </xf>
    <xf numFmtId="3" fontId="33" fillId="0" borderId="3" xfId="0" applyNumberFormat="1" applyFont="1" applyFill="1" applyBorder="1" applyAlignment="1">
      <alignment horizontal="center" vertical="center"/>
    </xf>
    <xf numFmtId="3" fontId="33" fillId="7" borderId="13" xfId="0" applyNumberFormat="1" applyFont="1" applyFill="1" applyBorder="1" applyAlignment="1">
      <alignment horizontal="left" vertical="center"/>
    </xf>
    <xf numFmtId="0" fontId="13" fillId="0" borderId="7" xfId="0" applyFont="1" applyFill="1" applyBorder="1" applyAlignment="1"/>
    <xf numFmtId="0" fontId="17" fillId="18" borderId="3" xfId="0" applyFont="1" applyFill="1" applyBorder="1" applyAlignment="1">
      <alignment horizontal="left" wrapText="1"/>
    </xf>
    <xf numFmtId="3" fontId="18" fillId="18" borderId="7" xfId="0" applyNumberFormat="1" applyFont="1" applyFill="1" applyBorder="1" applyAlignment="1">
      <alignment horizontal="center" vertical="center"/>
    </xf>
    <xf numFmtId="0" fontId="20" fillId="18" borderId="7" xfId="0" applyFont="1" applyFill="1" applyBorder="1" applyAlignment="1">
      <alignment vertical="center"/>
    </xf>
    <xf numFmtId="0" fontId="18" fillId="18" borderId="7" xfId="0" applyFont="1" applyFill="1" applyBorder="1" applyAlignment="1">
      <alignment horizontal="center" vertical="center" wrapText="1"/>
    </xf>
    <xf numFmtId="0" fontId="0" fillId="0" borderId="0" xfId="0" applyAlignment="1">
      <alignment horizontal="left"/>
    </xf>
    <xf numFmtId="3" fontId="21" fillId="9" borderId="7" xfId="0" applyNumberFormat="1" applyFont="1" applyFill="1" applyBorder="1" applyAlignment="1">
      <alignment horizontal="left" vertical="center" wrapText="1"/>
    </xf>
    <xf numFmtId="0" fontId="0" fillId="0" borderId="0" xfId="0" applyAlignment="1">
      <alignment horizontal="left" vertical="center"/>
    </xf>
    <xf numFmtId="0" fontId="38" fillId="0" borderId="0" xfId="0" applyFont="1" applyAlignment="1">
      <alignment horizontal="left"/>
    </xf>
    <xf numFmtId="3" fontId="20" fillId="18" borderId="7" xfId="1" applyNumberFormat="1" applyFont="1" applyFill="1" applyBorder="1" applyAlignment="1">
      <alignment horizontal="center" vertical="center"/>
    </xf>
    <xf numFmtId="3" fontId="18" fillId="9" borderId="7" xfId="0" applyNumberFormat="1" applyFont="1" applyFill="1" applyBorder="1" applyAlignment="1">
      <alignment horizontal="center" vertical="center" wrapText="1"/>
    </xf>
    <xf numFmtId="3" fontId="21" fillId="4" borderId="7" xfId="0" applyNumberFormat="1" applyFont="1" applyFill="1" applyBorder="1" applyAlignment="1">
      <alignment horizontal="left" vertical="center" wrapText="1"/>
    </xf>
    <xf numFmtId="3" fontId="25" fillId="0" borderId="0" xfId="0" applyNumberFormat="1" applyFont="1" applyFill="1" applyAlignment="1">
      <alignment horizontal="center"/>
    </xf>
    <xf numFmtId="169" fontId="41" fillId="5" borderId="78" xfId="0" applyNumberFormat="1" applyFont="1" applyFill="1" applyBorder="1" applyAlignment="1">
      <alignment horizontal="center" vertical="center" wrapText="1"/>
    </xf>
    <xf numFmtId="3" fontId="41" fillId="5" borderId="79" xfId="0" applyNumberFormat="1" applyFont="1" applyFill="1" applyBorder="1" applyAlignment="1">
      <alignment horizontal="center" vertical="center" wrapText="1"/>
    </xf>
    <xf numFmtId="0" fontId="38" fillId="0" borderId="13" xfId="0" applyFont="1" applyFill="1" applyBorder="1" applyAlignment="1">
      <alignment horizontal="center"/>
    </xf>
    <xf numFmtId="3" fontId="38" fillId="0" borderId="7" xfId="0" applyNumberFormat="1" applyFont="1" applyFill="1" applyBorder="1" applyAlignment="1">
      <alignment horizontal="right"/>
    </xf>
    <xf numFmtId="0" fontId="38" fillId="0" borderId="32" xfId="0" applyFont="1" applyFill="1" applyBorder="1"/>
    <xf numFmtId="3" fontId="38" fillId="0" borderId="32" xfId="0" applyNumberFormat="1" applyFont="1" applyFill="1" applyBorder="1"/>
    <xf numFmtId="3" fontId="21" fillId="4" borderId="13" xfId="0" applyNumberFormat="1" applyFont="1" applyFill="1" applyBorder="1" applyAlignment="1">
      <alignment horizontal="center" vertical="center" wrapText="1"/>
    </xf>
    <xf numFmtId="3" fontId="18" fillId="4" borderId="13" xfId="0" applyNumberFormat="1" applyFont="1" applyFill="1" applyBorder="1" applyAlignment="1">
      <alignment horizontal="center" vertical="center" wrapText="1"/>
    </xf>
    <xf numFmtId="0" fontId="38" fillId="0" borderId="81" xfId="0" applyFont="1" applyFill="1" applyBorder="1" applyAlignment="1">
      <alignment horizontal="center"/>
    </xf>
    <xf numFmtId="0" fontId="21" fillId="20" borderId="14" xfId="0" applyFont="1" applyFill="1" applyBorder="1" applyAlignment="1">
      <alignment horizontal="left" vertical="center" wrapText="1"/>
    </xf>
    <xf numFmtId="0" fontId="28" fillId="20" borderId="22" xfId="0" applyFont="1" applyFill="1" applyBorder="1" applyAlignment="1">
      <alignment horizontal="center" vertical="center" wrapText="1"/>
    </xf>
    <xf numFmtId="0" fontId="17" fillId="0" borderId="7" xfId="0" applyFont="1" applyFill="1" applyBorder="1" applyAlignment="1">
      <alignment horizontal="left"/>
    </xf>
    <xf numFmtId="0" fontId="0" fillId="0" borderId="7" xfId="0" applyFill="1" applyBorder="1" applyAlignment="1">
      <alignment horizontal="left"/>
    </xf>
    <xf numFmtId="169" fontId="27" fillId="5" borderId="78" xfId="0" applyNumberFormat="1" applyFont="1" applyFill="1" applyBorder="1" applyAlignment="1">
      <alignment horizontal="center" vertical="center" wrapText="1"/>
    </xf>
    <xf numFmtId="3" fontId="27" fillId="5" borderId="79" xfId="0" applyNumberFormat="1" applyFont="1" applyFill="1" applyBorder="1" applyAlignment="1">
      <alignment horizontal="left" vertical="center" wrapText="1"/>
    </xf>
    <xf numFmtId="3" fontId="27" fillId="5" borderId="79" xfId="0" applyNumberFormat="1" applyFont="1" applyFill="1" applyBorder="1" applyAlignment="1">
      <alignment horizontal="center" vertical="center" wrapText="1"/>
    </xf>
    <xf numFmtId="3" fontId="21" fillId="5" borderId="79" xfId="0" applyNumberFormat="1" applyFont="1" applyFill="1" applyBorder="1" applyAlignment="1">
      <alignment horizontal="center" vertical="center" wrapText="1"/>
    </xf>
    <xf numFmtId="3" fontId="27" fillId="5" borderId="80" xfId="0" applyNumberFormat="1" applyFont="1" applyFill="1" applyBorder="1" applyAlignment="1">
      <alignment horizontal="center" vertical="center" wrapText="1"/>
    </xf>
    <xf numFmtId="3" fontId="23" fillId="0" borderId="32" xfId="0" applyNumberFormat="1" applyFont="1" applyFill="1" applyBorder="1"/>
    <xf numFmtId="0" fontId="17" fillId="0" borderId="13" xfId="0" applyFont="1" applyFill="1" applyBorder="1" applyAlignment="1">
      <alignment horizontal="center" vertical="center"/>
    </xf>
    <xf numFmtId="3" fontId="17" fillId="0" borderId="32" xfId="0" applyNumberFormat="1" applyFont="1" applyFill="1" applyBorder="1" applyAlignment="1">
      <alignment horizontal="center" vertical="center"/>
    </xf>
    <xf numFmtId="3" fontId="21" fillId="9" borderId="13" xfId="0" applyNumberFormat="1" applyFont="1" applyFill="1" applyBorder="1" applyAlignment="1">
      <alignment horizontal="center" vertical="center" wrapText="1"/>
    </xf>
    <xf numFmtId="0" fontId="17" fillId="0" borderId="13" xfId="0" applyFont="1" applyFill="1" applyBorder="1" applyAlignment="1">
      <alignment horizontal="center"/>
    </xf>
    <xf numFmtId="0" fontId="0" fillId="0" borderId="13" xfId="0" applyFill="1" applyBorder="1" applyAlignment="1">
      <alignment horizontal="center"/>
    </xf>
    <xf numFmtId="0" fontId="0" fillId="0" borderId="13" xfId="0" applyFill="1" applyBorder="1"/>
    <xf numFmtId="3" fontId="0" fillId="0" borderId="32" xfId="0" applyNumberFormat="1" applyFill="1" applyBorder="1"/>
    <xf numFmtId="0" fontId="0" fillId="0" borderId="82" xfId="0" applyBorder="1"/>
    <xf numFmtId="0" fontId="0" fillId="0" borderId="13" xfId="0" applyFill="1" applyBorder="1" applyAlignment="1">
      <alignment horizontal="center" vertical="center"/>
    </xf>
    <xf numFmtId="3" fontId="0" fillId="0" borderId="7" xfId="0" applyNumberFormat="1" applyFill="1" applyBorder="1" applyAlignment="1">
      <alignment vertical="center"/>
    </xf>
    <xf numFmtId="3" fontId="0" fillId="0" borderId="32" xfId="0" applyNumberFormat="1" applyFill="1" applyBorder="1" applyAlignment="1">
      <alignment vertical="center"/>
    </xf>
    <xf numFmtId="0" fontId="23" fillId="0" borderId="13" xfId="0" applyFont="1" applyFill="1" applyBorder="1" applyAlignment="1">
      <alignment horizontal="center"/>
    </xf>
    <xf numFmtId="0" fontId="13" fillId="0" borderId="13" xfId="0" applyFont="1" applyFill="1" applyBorder="1" applyAlignment="1">
      <alignment horizontal="center"/>
    </xf>
    <xf numFmtId="0" fontId="13" fillId="0" borderId="13" xfId="0" applyFont="1" applyFill="1" applyBorder="1" applyAlignment="1">
      <alignment horizontal="center" vertical="center"/>
    </xf>
    <xf numFmtId="0" fontId="13" fillId="0" borderId="7" xfId="0" applyFont="1" applyFill="1" applyBorder="1" applyAlignment="1">
      <alignment vertical="center"/>
    </xf>
    <xf numFmtId="3" fontId="13" fillId="0" borderId="7" xfId="0" applyNumberFormat="1" applyFont="1" applyFill="1" applyBorder="1" applyAlignment="1">
      <alignment vertical="center"/>
    </xf>
    <xf numFmtId="3" fontId="27" fillId="4" borderId="13" xfId="0" applyNumberFormat="1" applyFont="1" applyFill="1" applyBorder="1" applyAlignment="1">
      <alignment horizontal="center" vertical="center" wrapText="1"/>
    </xf>
    <xf numFmtId="3" fontId="27" fillId="4" borderId="7" xfId="0" applyNumberFormat="1" applyFont="1" applyFill="1" applyBorder="1" applyAlignment="1">
      <alignment horizontal="center" vertical="center" wrapText="1"/>
    </xf>
    <xf numFmtId="0" fontId="0" fillId="0" borderId="81" xfId="0" applyBorder="1" applyAlignment="1">
      <alignment horizontal="center"/>
    </xf>
    <xf numFmtId="0" fontId="23" fillId="25" borderId="13" xfId="0" applyFont="1" applyFill="1" applyBorder="1" applyAlignment="1">
      <alignment horizontal="center"/>
    </xf>
    <xf numFmtId="0" fontId="23" fillId="25" borderId="32" xfId="0" applyFont="1" applyFill="1" applyBorder="1"/>
    <xf numFmtId="3" fontId="0" fillId="25" borderId="13" xfId="0" applyNumberFormat="1" applyFill="1" applyBorder="1" applyAlignment="1">
      <alignment horizontal="center"/>
    </xf>
    <xf numFmtId="3" fontId="0" fillId="0" borderId="13" xfId="0" applyNumberFormat="1" applyFill="1" applyBorder="1" applyAlignment="1">
      <alignment horizontal="center"/>
    </xf>
    <xf numFmtId="3" fontId="17" fillId="0" borderId="13" xfId="0" applyNumberFormat="1" applyFont="1" applyFill="1" applyBorder="1" applyAlignment="1">
      <alignment horizontal="center"/>
    </xf>
    <xf numFmtId="0" fontId="0" fillId="25" borderId="13" xfId="0" applyFill="1" applyBorder="1" applyAlignment="1">
      <alignment horizontal="center"/>
    </xf>
    <xf numFmtId="3" fontId="21" fillId="0" borderId="13" xfId="0" applyNumberFormat="1" applyFont="1" applyFill="1" applyBorder="1" applyAlignment="1">
      <alignment horizontal="center" vertical="center" wrapText="1"/>
    </xf>
    <xf numFmtId="3" fontId="28" fillId="0" borderId="13" xfId="0" applyNumberFormat="1" applyFont="1" applyFill="1" applyBorder="1" applyAlignment="1">
      <alignment horizontal="center" vertical="center" wrapText="1"/>
    </xf>
    <xf numFmtId="3" fontId="17" fillId="0" borderId="32" xfId="0" applyNumberFormat="1" applyFont="1" applyFill="1" applyBorder="1"/>
    <xf numFmtId="0" fontId="23" fillId="23" borderId="13" xfId="0" applyFont="1" applyFill="1" applyBorder="1" applyAlignment="1">
      <alignment horizontal="center"/>
    </xf>
    <xf numFmtId="0" fontId="23" fillId="23" borderId="32" xfId="0" applyFont="1" applyFill="1" applyBorder="1"/>
    <xf numFmtId="3" fontId="0" fillId="26" borderId="13" xfId="0" applyNumberFormat="1" applyFill="1" applyBorder="1" applyAlignment="1">
      <alignment horizontal="center"/>
    </xf>
    <xf numFmtId="0" fontId="0" fillId="0" borderId="7" xfId="0" applyFont="1" applyFill="1" applyBorder="1"/>
    <xf numFmtId="0" fontId="23" fillId="28" borderId="13" xfId="0" applyFont="1" applyFill="1" applyBorder="1" applyAlignment="1">
      <alignment horizontal="center"/>
    </xf>
    <xf numFmtId="0" fontId="23" fillId="28" borderId="32" xfId="0" applyFont="1" applyFill="1" applyBorder="1"/>
    <xf numFmtId="3" fontId="0" fillId="28" borderId="13" xfId="0" applyNumberFormat="1" applyFill="1" applyBorder="1" applyAlignment="1">
      <alignment horizontal="center"/>
    </xf>
    <xf numFmtId="0" fontId="0" fillId="28" borderId="32" xfId="0" applyFill="1" applyBorder="1"/>
    <xf numFmtId="0" fontId="0" fillId="28" borderId="13" xfId="0" applyFill="1" applyBorder="1" applyAlignment="1">
      <alignment horizontal="center"/>
    </xf>
    <xf numFmtId="0" fontId="0" fillId="0" borderId="32" xfId="0" applyFill="1" applyBorder="1"/>
    <xf numFmtId="167" fontId="41" fillId="9" borderId="81" xfId="1" applyNumberFormat="1" applyFont="1" applyFill="1" applyBorder="1" applyAlignment="1">
      <alignment horizontal="center" vertical="center" wrapText="1"/>
    </xf>
    <xf numFmtId="0" fontId="38" fillId="19" borderId="82" xfId="0" applyFont="1" applyFill="1" applyBorder="1" applyAlignment="1">
      <alignment horizontal="center" vertical="center"/>
    </xf>
    <xf numFmtId="3" fontId="23" fillId="25" borderId="13" xfId="0" applyNumberFormat="1" applyFont="1" applyFill="1" applyBorder="1" applyAlignment="1">
      <alignment horizontal="center" vertical="center"/>
    </xf>
    <xf numFmtId="0" fontId="23" fillId="0" borderId="32" xfId="0" applyFont="1" applyFill="1" applyBorder="1"/>
    <xf numFmtId="3" fontId="0" fillId="0" borderId="13" xfId="0" applyNumberFormat="1" applyFill="1" applyBorder="1" applyAlignment="1">
      <alignment horizontal="center" vertical="center"/>
    </xf>
    <xf numFmtId="3" fontId="21" fillId="19" borderId="13" xfId="1" applyNumberFormat="1" applyFont="1" applyFill="1" applyBorder="1" applyAlignment="1">
      <alignment horizontal="center" vertical="center" wrapText="1"/>
    </xf>
    <xf numFmtId="3" fontId="30" fillId="7" borderId="13" xfId="0" applyNumberFormat="1" applyFont="1" applyFill="1" applyBorder="1" applyAlignment="1">
      <alignment horizontal="left" vertical="center" wrapText="1"/>
    </xf>
    <xf numFmtId="3" fontId="0" fillId="23" borderId="13" xfId="0" applyNumberFormat="1" applyFill="1" applyBorder="1" applyAlignment="1">
      <alignment horizontal="center" vertical="center"/>
    </xf>
    <xf numFmtId="3" fontId="21" fillId="19" borderId="13" xfId="0" applyNumberFormat="1" applyFont="1" applyFill="1" applyBorder="1" applyAlignment="1">
      <alignment horizontal="center" vertical="center" wrapText="1"/>
    </xf>
    <xf numFmtId="3" fontId="18" fillId="19" borderId="81" xfId="0" applyNumberFormat="1" applyFont="1" applyFill="1" applyBorder="1" applyAlignment="1">
      <alignment horizontal="center" vertical="center"/>
    </xf>
    <xf numFmtId="0" fontId="18" fillId="19" borderId="82" xfId="0" applyFont="1" applyFill="1" applyBorder="1" applyAlignment="1">
      <alignment vertical="center"/>
    </xf>
    <xf numFmtId="3" fontId="18" fillId="19" borderId="82" xfId="0" applyNumberFormat="1" applyFont="1" applyFill="1" applyBorder="1" applyAlignment="1">
      <alignment horizontal="center" vertical="center"/>
    </xf>
    <xf numFmtId="3" fontId="18" fillId="19" borderId="83" xfId="0" applyNumberFormat="1" applyFont="1" applyFill="1" applyBorder="1" applyAlignment="1">
      <alignment horizontal="center" vertical="center"/>
    </xf>
    <xf numFmtId="3" fontId="65" fillId="23" borderId="83" xfId="1" applyNumberFormat="1" applyFont="1" applyFill="1" applyBorder="1" applyAlignment="1">
      <alignment horizontal="center" vertical="center" wrapText="1"/>
    </xf>
    <xf numFmtId="0" fontId="24" fillId="0" borderId="0" xfId="0" applyFont="1" applyAlignment="1">
      <alignment horizontal="center"/>
    </xf>
    <xf numFmtId="0" fontId="24" fillId="0" borderId="0" xfId="0" applyFont="1" applyFill="1" applyAlignment="1">
      <alignment horizontal="center"/>
    </xf>
    <xf numFmtId="0" fontId="24" fillId="0" borderId="0" xfId="0" applyFont="1" applyAlignment="1">
      <alignment horizontal="center" vertical="center"/>
    </xf>
    <xf numFmtId="1" fontId="0" fillId="5" borderId="0" xfId="0" applyNumberFormat="1" applyFill="1" applyBorder="1" applyAlignment="1">
      <alignment horizontal="center" vertical="center" wrapText="1"/>
    </xf>
    <xf numFmtId="1" fontId="0" fillId="5" borderId="19" xfId="0" applyNumberFormat="1" applyFill="1" applyBorder="1" applyAlignment="1">
      <alignment horizontal="center" vertical="center" wrapText="1"/>
    </xf>
    <xf numFmtId="1" fontId="0" fillId="5" borderId="4" xfId="0" applyNumberFormat="1" applyFill="1" applyBorder="1" applyAlignment="1">
      <alignment horizontal="center" vertical="center" wrapText="1"/>
    </xf>
    <xf numFmtId="1" fontId="30" fillId="7" borderId="7" xfId="0" applyNumberFormat="1" applyFont="1" applyFill="1" applyBorder="1" applyAlignment="1">
      <alignment horizontal="left" vertical="center" wrapText="1"/>
    </xf>
    <xf numFmtId="3" fontId="0" fillId="5" borderId="4" xfId="0" applyNumberFormat="1" applyFill="1" applyBorder="1" applyAlignment="1">
      <alignment vertical="center" wrapText="1"/>
    </xf>
    <xf numFmtId="3" fontId="0" fillId="5" borderId="46" xfId="0" applyNumberFormat="1" applyFill="1" applyBorder="1" applyAlignment="1">
      <alignment vertical="center" wrapText="1"/>
    </xf>
    <xf numFmtId="169" fontId="0" fillId="5" borderId="16" xfId="0" applyNumberFormat="1" applyFill="1" applyBorder="1" applyAlignment="1">
      <alignment horizontal="center" vertical="center" wrapText="1"/>
    </xf>
    <xf numFmtId="169" fontId="0" fillId="5" borderId="18" xfId="0" applyNumberFormat="1" applyFill="1" applyBorder="1" applyAlignment="1">
      <alignment horizontal="center" vertical="center" wrapText="1"/>
    </xf>
    <xf numFmtId="169" fontId="0" fillId="5" borderId="4" xfId="0" applyNumberFormat="1" applyFill="1" applyBorder="1" applyAlignment="1">
      <alignment horizontal="center" vertical="center" wrapText="1"/>
    </xf>
    <xf numFmtId="169" fontId="0" fillId="0" borderId="13" xfId="0" applyNumberFormat="1" applyFill="1" applyBorder="1" applyAlignment="1">
      <alignment horizontal="center" vertical="center"/>
    </xf>
    <xf numFmtId="169" fontId="18" fillId="4" borderId="7" xfId="0" applyNumberFormat="1" applyFont="1" applyFill="1" applyBorder="1" applyAlignment="1">
      <alignment horizontal="center" vertical="center" wrapText="1"/>
    </xf>
    <xf numFmtId="169" fontId="18" fillId="9" borderId="84" xfId="1" applyNumberFormat="1" applyFont="1" applyFill="1" applyBorder="1" applyAlignment="1">
      <alignment horizontal="center" wrapText="1"/>
    </xf>
    <xf numFmtId="169" fontId="18" fillId="0" borderId="0" xfId="1" applyNumberFormat="1" applyFont="1" applyBorder="1" applyAlignment="1">
      <alignment wrapText="1"/>
    </xf>
    <xf numFmtId="169" fontId="41" fillId="0" borderId="0" xfId="0" applyNumberFormat="1" applyFont="1" applyAlignment="1">
      <alignment horizontal="center" vertical="center"/>
    </xf>
    <xf numFmtId="169" fontId="38" fillId="0" borderId="0" xfId="0" applyNumberFormat="1" applyFont="1" applyAlignment="1">
      <alignment horizontal="center" vertical="center"/>
    </xf>
    <xf numFmtId="169" fontId="18" fillId="0" borderId="25" xfId="1" applyNumberFormat="1" applyFont="1" applyBorder="1" applyAlignment="1">
      <alignment wrapText="1"/>
    </xf>
    <xf numFmtId="169" fontId="0" fillId="0" borderId="0" xfId="0" applyNumberFormat="1"/>
    <xf numFmtId="169" fontId="37" fillId="5" borderId="16" xfId="0" applyNumberFormat="1" applyFont="1" applyFill="1" applyBorder="1" applyAlignment="1">
      <alignment horizontal="center" vertical="center" wrapText="1"/>
    </xf>
    <xf numFmtId="169" fontId="41" fillId="5" borderId="1" xfId="0" applyNumberFormat="1" applyFont="1" applyFill="1" applyBorder="1" applyAlignment="1">
      <alignment horizontal="center" vertical="center" wrapText="1"/>
    </xf>
    <xf numFmtId="169" fontId="17" fillId="6" borderId="19" xfId="0" applyNumberFormat="1" applyFont="1" applyFill="1" applyBorder="1" applyAlignment="1">
      <alignment horizontal="left" vertical="center" wrapText="1"/>
    </xf>
    <xf numFmtId="169" fontId="38" fillId="6" borderId="2" xfId="0" applyNumberFormat="1" applyFont="1" applyFill="1" applyBorder="1" applyAlignment="1">
      <alignment horizontal="left" vertical="center" wrapText="1"/>
    </xf>
    <xf numFmtId="169" fontId="17" fillId="9" borderId="2" xfId="0" applyNumberFormat="1" applyFont="1" applyFill="1" applyBorder="1" applyAlignment="1">
      <alignment horizontal="justify" vertical="center" wrapText="1"/>
    </xf>
    <xf numFmtId="169" fontId="17" fillId="9" borderId="2" xfId="0" applyNumberFormat="1" applyFont="1" applyFill="1" applyBorder="1" applyAlignment="1">
      <alignment horizontal="left" vertical="center"/>
    </xf>
    <xf numFmtId="169" fontId="38" fillId="23" borderId="2" xfId="0" applyNumberFormat="1" applyFont="1" applyFill="1" applyBorder="1" applyAlignment="1">
      <alignment horizontal="left" vertical="center" wrapText="1"/>
    </xf>
    <xf numFmtId="169" fontId="17" fillId="8" borderId="2" xfId="0" applyNumberFormat="1" applyFont="1" applyFill="1" applyBorder="1" applyAlignment="1">
      <alignment horizontal="left" vertical="center"/>
    </xf>
    <xf numFmtId="169" fontId="18" fillId="4" borderId="2" xfId="0" applyNumberFormat="1" applyFont="1" applyFill="1" applyBorder="1" applyAlignment="1">
      <alignment horizontal="left" vertical="center"/>
    </xf>
    <xf numFmtId="169" fontId="17" fillId="12" borderId="2" xfId="0" applyNumberFormat="1" applyFont="1" applyFill="1" applyBorder="1" applyAlignment="1">
      <alignment horizontal="left" vertical="center" wrapText="1"/>
    </xf>
    <xf numFmtId="169" fontId="18" fillId="9" borderId="2" xfId="0" applyNumberFormat="1" applyFont="1" applyFill="1" applyBorder="1" applyAlignment="1">
      <alignment horizontal="left" vertical="center"/>
    </xf>
    <xf numFmtId="169" fontId="18" fillId="4" borderId="2" xfId="0" applyNumberFormat="1" applyFont="1" applyFill="1" applyBorder="1" applyAlignment="1">
      <alignment horizontal="center" vertical="center" wrapText="1"/>
    </xf>
    <xf numFmtId="169" fontId="41" fillId="9" borderId="25" xfId="1" applyNumberFormat="1" applyFont="1" applyFill="1" applyBorder="1" applyAlignment="1">
      <alignment horizontal="center" vertical="center" wrapText="1"/>
    </xf>
    <xf numFmtId="169" fontId="18" fillId="0" borderId="0" xfId="1" applyNumberFormat="1" applyFont="1" applyBorder="1" applyAlignment="1">
      <alignment horizontal="center" vertical="center" wrapText="1"/>
    </xf>
    <xf numFmtId="169" fontId="41" fillId="0" borderId="0" xfId="0" applyNumberFormat="1" applyFont="1" applyBorder="1" applyAlignment="1">
      <alignment horizontal="center" vertical="center"/>
    </xf>
    <xf numFmtId="169" fontId="38" fillId="0" borderId="0" xfId="0" applyNumberFormat="1" applyFont="1" applyBorder="1" applyAlignment="1">
      <alignment horizontal="center" vertical="center"/>
    </xf>
    <xf numFmtId="169" fontId="0" fillId="0" borderId="0" xfId="0" applyNumberFormat="1" applyFill="1" applyBorder="1"/>
    <xf numFmtId="169" fontId="0" fillId="0" borderId="25" xfId="0" applyNumberFormat="1" applyFill="1" applyBorder="1"/>
    <xf numFmtId="169" fontId="0" fillId="0" borderId="0" xfId="0" applyNumberFormat="1" applyFill="1"/>
    <xf numFmtId="169" fontId="0" fillId="0" borderId="0" xfId="0" applyNumberFormat="1" applyBorder="1"/>
    <xf numFmtId="169" fontId="36" fillId="0" borderId="0" xfId="0" applyNumberFormat="1" applyFont="1" applyBorder="1" applyAlignment="1">
      <alignment horizontal="center"/>
    </xf>
    <xf numFmtId="169" fontId="36" fillId="0" borderId="0" xfId="0" applyNumberFormat="1" applyFont="1"/>
    <xf numFmtId="169" fontId="13" fillId="0" borderId="2" xfId="0" applyNumberFormat="1" applyFont="1" applyFill="1" applyBorder="1" applyAlignment="1">
      <alignment horizontal="left" vertical="center"/>
    </xf>
    <xf numFmtId="1" fontId="37" fillId="5" borderId="0" xfId="0" applyNumberFormat="1" applyFont="1" applyFill="1" applyBorder="1" applyAlignment="1">
      <alignment horizontal="center" vertical="center" wrapText="1"/>
    </xf>
    <xf numFmtId="1" fontId="0" fillId="28" borderId="7" xfId="0" applyNumberFormat="1" applyFill="1" applyBorder="1"/>
    <xf numFmtId="1" fontId="18" fillId="0" borderId="0" xfId="1" applyNumberFormat="1" applyFont="1" applyBorder="1" applyAlignment="1">
      <alignment horizontal="center" wrapText="1"/>
    </xf>
    <xf numFmtId="1" fontId="41" fillId="9" borderId="35" xfId="1" applyNumberFormat="1" applyFont="1" applyFill="1" applyBorder="1" applyAlignment="1">
      <alignment horizontal="center" vertical="center" wrapText="1"/>
    </xf>
    <xf numFmtId="1" fontId="35" fillId="0" borderId="0" xfId="0" applyNumberFormat="1" applyFont="1" applyFill="1" applyBorder="1" applyAlignment="1">
      <alignment horizontal="center" vertical="center" wrapText="1"/>
    </xf>
    <xf numFmtId="169" fontId="13" fillId="6" borderId="4" xfId="0" applyNumberFormat="1" applyFont="1" applyFill="1" applyBorder="1" applyAlignment="1">
      <alignment horizontal="center" vertical="center" wrapText="1"/>
    </xf>
    <xf numFmtId="169" fontId="22" fillId="6" borderId="2" xfId="0" applyNumberFormat="1" applyFont="1" applyFill="1" applyBorder="1" applyAlignment="1">
      <alignment horizontal="center" vertical="center" wrapText="1"/>
    </xf>
    <xf numFmtId="169" fontId="18" fillId="8" borderId="2" xfId="0" applyNumberFormat="1" applyFont="1" applyFill="1" applyBorder="1" applyAlignment="1">
      <alignment horizontal="left" vertical="center" wrapText="1"/>
    </xf>
    <xf numFmtId="169" fontId="18" fillId="10" borderId="2" xfId="0" applyNumberFormat="1" applyFont="1" applyFill="1" applyBorder="1" applyAlignment="1">
      <alignment horizontal="left" vertical="center" wrapText="1"/>
    </xf>
    <xf numFmtId="169" fontId="22" fillId="13" borderId="2" xfId="0" applyNumberFormat="1" applyFont="1" applyFill="1" applyBorder="1" applyAlignment="1">
      <alignment horizontal="left" vertical="center" wrapText="1"/>
    </xf>
    <xf numFmtId="169" fontId="26" fillId="14" borderId="2" xfId="0" applyNumberFormat="1" applyFont="1" applyFill="1" applyBorder="1" applyAlignment="1">
      <alignment horizontal="left" vertical="center" wrapText="1"/>
    </xf>
    <xf numFmtId="169" fontId="22" fillId="14" borderId="2" xfId="0" applyNumberFormat="1" applyFont="1" applyFill="1" applyBorder="1" applyAlignment="1">
      <alignment horizontal="left" vertical="center" wrapText="1"/>
    </xf>
    <xf numFmtId="169" fontId="22" fillId="24" borderId="2" xfId="0" applyNumberFormat="1" applyFont="1" applyFill="1" applyBorder="1" applyAlignment="1">
      <alignment horizontal="left" vertical="center" wrapText="1"/>
    </xf>
    <xf numFmtId="169" fontId="22" fillId="4" borderId="2" xfId="0" applyNumberFormat="1" applyFont="1" applyFill="1" applyBorder="1" applyAlignment="1">
      <alignment horizontal="justify" vertical="center" wrapText="1"/>
    </xf>
    <xf numFmtId="169" fontId="22" fillId="0" borderId="4" xfId="0" applyNumberFormat="1" applyFont="1" applyFill="1" applyBorder="1" applyAlignment="1">
      <alignment horizontal="justify" vertical="center" wrapText="1"/>
    </xf>
    <xf numFmtId="169" fontId="18" fillId="9" borderId="46" xfId="0" applyNumberFormat="1" applyFont="1" applyFill="1" applyBorder="1" applyAlignment="1">
      <alignment horizontal="justify" vertical="center" wrapText="1"/>
    </xf>
    <xf numFmtId="169" fontId="18" fillId="0" borderId="0" xfId="0" applyNumberFormat="1" applyFont="1" applyFill="1" applyBorder="1" applyAlignment="1">
      <alignment horizontal="justify" vertical="center" wrapText="1"/>
    </xf>
    <xf numFmtId="169" fontId="38" fillId="0" borderId="0" xfId="0" applyNumberFormat="1" applyFont="1" applyBorder="1" applyAlignment="1">
      <alignment horizontal="center" vertical="top"/>
    </xf>
    <xf numFmtId="169" fontId="0" fillId="0" borderId="25" xfId="0" applyNumberFormat="1" applyBorder="1"/>
    <xf numFmtId="169" fontId="13" fillId="0" borderId="2" xfId="0" applyNumberFormat="1" applyFont="1" applyFill="1" applyBorder="1" applyAlignment="1">
      <alignment horizontal="center" vertical="center"/>
    </xf>
    <xf numFmtId="169" fontId="17" fillId="0" borderId="2" xfId="0" applyNumberFormat="1" applyFont="1" applyFill="1" applyBorder="1" applyAlignment="1">
      <alignment horizontal="left" vertical="center"/>
    </xf>
    <xf numFmtId="1" fontId="0" fillId="5" borderId="2" xfId="0" applyNumberFormat="1" applyFill="1" applyBorder="1" applyAlignment="1">
      <alignment horizontal="center" vertical="center" wrapText="1"/>
    </xf>
    <xf numFmtId="1" fontId="21" fillId="25" borderId="14" xfId="0" applyNumberFormat="1" applyFont="1" applyFill="1" applyBorder="1" applyAlignment="1">
      <alignment horizontal="center" vertical="center" wrapText="1"/>
    </xf>
    <xf numFmtId="3" fontId="21" fillId="25" borderId="26" xfId="0" applyNumberFormat="1" applyFont="1" applyFill="1" applyBorder="1" applyAlignment="1">
      <alignment horizontal="center" vertical="center" wrapText="1"/>
    </xf>
    <xf numFmtId="3" fontId="0" fillId="0" borderId="29" xfId="0" applyNumberFormat="1" applyFill="1" applyBorder="1"/>
    <xf numFmtId="3" fontId="26" fillId="0" borderId="7" xfId="0" applyNumberFormat="1" applyFont="1" applyFill="1" applyBorder="1" applyAlignment="1">
      <alignment horizontal="left" vertical="center"/>
    </xf>
    <xf numFmtId="1" fontId="0" fillId="5" borderId="0" xfId="0" applyNumberFormat="1" applyFill="1" applyBorder="1" applyAlignment="1">
      <alignment horizontal="center"/>
    </xf>
    <xf numFmtId="1" fontId="0" fillId="5" borderId="19" xfId="0" applyNumberFormat="1" applyFill="1" applyBorder="1" applyAlignment="1">
      <alignment horizontal="center"/>
    </xf>
    <xf numFmtId="1" fontId="26" fillId="13" borderId="7" xfId="0" applyNumberFormat="1" applyFont="1" applyFill="1" applyBorder="1" applyAlignment="1">
      <alignment horizontal="center" vertical="center"/>
    </xf>
    <xf numFmtId="1" fontId="0" fillId="5" borderId="0" xfId="0" applyNumberFormat="1" applyFill="1" applyBorder="1" applyAlignment="1">
      <alignment horizontal="center" vertical="center"/>
    </xf>
    <xf numFmtId="1" fontId="0" fillId="5" borderId="19" xfId="0" applyNumberFormat="1" applyFill="1" applyBorder="1" applyAlignment="1">
      <alignment horizontal="center" vertical="center"/>
    </xf>
    <xf numFmtId="1" fontId="0" fillId="25" borderId="7" xfId="0" applyNumberFormat="1" applyFill="1" applyBorder="1" applyAlignment="1">
      <alignment horizontal="center" vertical="center"/>
    </xf>
    <xf numFmtId="1" fontId="0" fillId="0" borderId="7" xfId="0" applyNumberFormat="1" applyFill="1" applyBorder="1" applyAlignment="1">
      <alignment horizontal="center" vertical="center"/>
    </xf>
    <xf numFmtId="1" fontId="0" fillId="0" borderId="0" xfId="0" applyNumberFormat="1" applyBorder="1" applyAlignment="1">
      <alignment horizontal="center" vertical="center"/>
    </xf>
    <xf numFmtId="1" fontId="0" fillId="0" borderId="25" xfId="0" applyNumberFormat="1" applyBorder="1" applyAlignment="1">
      <alignment horizontal="center" vertical="center"/>
    </xf>
    <xf numFmtId="1" fontId="18" fillId="0" borderId="0" xfId="0" applyNumberFormat="1" applyFont="1" applyAlignment="1">
      <alignment horizontal="center" vertical="center"/>
    </xf>
    <xf numFmtId="169" fontId="17" fillId="0" borderId="32" xfId="0" applyNumberFormat="1" applyFont="1" applyFill="1" applyBorder="1" applyAlignment="1">
      <alignment horizontal="center"/>
    </xf>
    <xf numFmtId="1" fontId="0" fillId="5" borderId="16" xfId="0" applyNumberFormat="1" applyFill="1" applyBorder="1" applyAlignment="1">
      <alignment horizontal="center"/>
    </xf>
    <xf numFmtId="1" fontId="0" fillId="5" borderId="18" xfId="0" applyNumberFormat="1" applyFill="1" applyBorder="1" applyAlignment="1">
      <alignment horizontal="center"/>
    </xf>
    <xf numFmtId="1" fontId="33" fillId="7" borderId="3" xfId="0" applyNumberFormat="1" applyFont="1" applyFill="1" applyBorder="1" applyAlignment="1">
      <alignment horizontal="left" vertical="center" wrapText="1"/>
    </xf>
    <xf numFmtId="1" fontId="17" fillId="9" borderId="2" xfId="0" applyNumberFormat="1" applyFont="1" applyFill="1" applyBorder="1" applyAlignment="1">
      <alignment horizontal="left" vertical="center"/>
    </xf>
    <xf numFmtId="1" fontId="13" fillId="8" borderId="3" xfId="0" applyNumberFormat="1" applyFont="1" applyFill="1" applyBorder="1" applyAlignment="1">
      <alignment horizontal="left" vertical="center" wrapText="1"/>
    </xf>
    <xf numFmtId="1" fontId="18" fillId="4" borderId="2" xfId="0" applyNumberFormat="1" applyFont="1" applyFill="1" applyBorder="1" applyAlignment="1">
      <alignment horizontal="left" vertical="center"/>
    </xf>
    <xf numFmtId="1" fontId="18" fillId="9" borderId="2" xfId="0" applyNumberFormat="1" applyFont="1" applyFill="1" applyBorder="1" applyAlignment="1">
      <alignment horizontal="justify" vertical="center" wrapText="1"/>
    </xf>
    <xf numFmtId="1" fontId="18" fillId="0" borderId="0" xfId="0" applyNumberFormat="1" applyFont="1" applyFill="1" applyBorder="1" applyAlignment="1">
      <alignment horizontal="justify" vertical="center" wrapText="1"/>
    </xf>
    <xf numFmtId="1" fontId="41" fillId="0" borderId="0" xfId="0" applyNumberFormat="1" applyFont="1" applyBorder="1" applyAlignment="1">
      <alignment horizontal="center" vertical="center"/>
    </xf>
    <xf numFmtId="1" fontId="38" fillId="0" borderId="0" xfId="0" applyNumberFormat="1" applyFont="1" applyBorder="1" applyAlignment="1">
      <alignment horizontal="center" vertical="top"/>
    </xf>
    <xf numFmtId="1" fontId="36" fillId="0" borderId="25" xfId="0" applyNumberFormat="1" applyFont="1" applyBorder="1" applyAlignment="1">
      <alignment horizontal="center"/>
    </xf>
    <xf numFmtId="1" fontId="33" fillId="0" borderId="3" xfId="0" applyNumberFormat="1" applyFont="1" applyFill="1" applyBorder="1" applyAlignment="1">
      <alignment horizontal="center" vertical="center"/>
    </xf>
    <xf numFmtId="1" fontId="18" fillId="9" borderId="3" xfId="0" applyNumberFormat="1" applyFont="1" applyFill="1" applyBorder="1" applyAlignment="1">
      <alignment horizontal="center" vertical="center" wrapText="1"/>
    </xf>
    <xf numFmtId="1" fontId="13" fillId="23" borderId="3"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xf>
    <xf numFmtId="1" fontId="18" fillId="4" borderId="3" xfId="0" applyNumberFormat="1" applyFont="1" applyFill="1" applyBorder="1" applyAlignment="1">
      <alignment horizontal="center" vertical="center" wrapText="1"/>
    </xf>
    <xf numFmtId="1" fontId="18" fillId="0" borderId="17"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1" fontId="41" fillId="0" borderId="0" xfId="1" applyNumberFormat="1" applyFont="1" applyBorder="1" applyAlignment="1">
      <alignment horizontal="center" wrapText="1"/>
    </xf>
    <xf numFmtId="1" fontId="13" fillId="0" borderId="3" xfId="0" applyNumberFormat="1" applyFont="1" applyFill="1" applyBorder="1" applyAlignment="1">
      <alignment horizontal="left" vertical="center"/>
    </xf>
    <xf numFmtId="1" fontId="13" fillId="15" borderId="7" xfId="0" applyNumberFormat="1" applyFont="1" applyFill="1" applyBorder="1" applyAlignment="1">
      <alignment horizontal="center" vertical="center"/>
    </xf>
    <xf numFmtId="0" fontId="13" fillId="15" borderId="7" xfId="0" applyFont="1" applyFill="1" applyBorder="1" applyAlignment="1">
      <alignment horizontal="center" vertical="center"/>
    </xf>
    <xf numFmtId="0" fontId="38" fillId="20" borderId="13" xfId="0" applyFont="1" applyFill="1" applyBorder="1" applyAlignment="1">
      <alignment horizontal="center"/>
    </xf>
    <xf numFmtId="3" fontId="38" fillId="20" borderId="7" xfId="0" applyNumberFormat="1" applyFont="1" applyFill="1" applyBorder="1" applyAlignment="1">
      <alignment horizontal="right"/>
    </xf>
    <xf numFmtId="0" fontId="38" fillId="20" borderId="32" xfId="0" applyFont="1" applyFill="1" applyBorder="1"/>
    <xf numFmtId="1" fontId="0" fillId="3" borderId="0" xfId="0" applyNumberFormat="1" applyFill="1" applyAlignment="1">
      <alignment horizontal="center" vertical="center" wrapText="1"/>
    </xf>
    <xf numFmtId="1" fontId="0" fillId="3" borderId="0" xfId="0" applyNumberFormat="1" applyFill="1" applyBorder="1" applyAlignment="1">
      <alignment horizontal="center" vertical="center" wrapText="1"/>
    </xf>
    <xf numFmtId="1" fontId="21" fillId="5" borderId="79" xfId="0" applyNumberFormat="1" applyFont="1" applyFill="1" applyBorder="1" applyAlignment="1">
      <alignment horizontal="center" vertical="center" wrapText="1"/>
    </xf>
    <xf numFmtId="1" fontId="18" fillId="25" borderId="7" xfId="0" applyNumberFormat="1" applyFont="1" applyFill="1" applyBorder="1" applyAlignment="1">
      <alignment horizontal="center" vertical="center"/>
    </xf>
    <xf numFmtId="1" fontId="18" fillId="19" borderId="7" xfId="0" applyNumberFormat="1" applyFont="1" applyFill="1" applyBorder="1" applyAlignment="1">
      <alignment horizontal="center" vertical="center"/>
    </xf>
    <xf numFmtId="1" fontId="23" fillId="23" borderId="7" xfId="0" applyNumberFormat="1" applyFont="1" applyFill="1" applyBorder="1" applyAlignment="1">
      <alignment horizontal="center" vertical="center"/>
    </xf>
    <xf numFmtId="1" fontId="0" fillId="19" borderId="7" xfId="0" applyNumberFormat="1" applyFill="1" applyBorder="1" applyAlignment="1">
      <alignment horizontal="center" vertical="center"/>
    </xf>
    <xf numFmtId="1" fontId="18" fillId="19" borderId="82" xfId="0" applyNumberFormat="1" applyFont="1" applyFill="1" applyBorder="1" applyAlignment="1">
      <alignment horizontal="center" vertical="center"/>
    </xf>
    <xf numFmtId="1" fontId="30" fillId="7" borderId="7" xfId="0" applyNumberFormat="1" applyFont="1" applyFill="1" applyBorder="1" applyAlignment="1">
      <alignment horizontal="center" vertical="center" wrapText="1"/>
    </xf>
    <xf numFmtId="1" fontId="27" fillId="5" borderId="79" xfId="0" applyNumberFormat="1" applyFont="1" applyFill="1" applyBorder="1" applyAlignment="1">
      <alignment horizontal="center" vertical="center" wrapText="1"/>
    </xf>
    <xf numFmtId="1" fontId="23" fillId="25" borderId="7" xfId="0" applyNumberFormat="1" applyFont="1" applyFill="1" applyBorder="1" applyAlignment="1">
      <alignment horizontal="center"/>
    </xf>
    <xf numFmtId="1" fontId="0" fillId="19" borderId="7" xfId="0" applyNumberFormat="1" applyFill="1" applyBorder="1" applyAlignment="1">
      <alignment horizontal="center"/>
    </xf>
    <xf numFmtId="1" fontId="0" fillId="25" borderId="7" xfId="0" applyNumberFormat="1" applyFill="1" applyBorder="1" applyAlignment="1">
      <alignment horizontal="center"/>
    </xf>
    <xf numFmtId="1" fontId="23" fillId="28" borderId="7" xfId="0" applyNumberFormat="1" applyFont="1" applyFill="1" applyBorder="1" applyAlignment="1">
      <alignment horizontal="center"/>
    </xf>
    <xf numFmtId="1" fontId="0" fillId="28" borderId="7" xfId="0" applyNumberFormat="1" applyFill="1" applyBorder="1" applyAlignment="1">
      <alignment horizontal="center"/>
    </xf>
    <xf numFmtId="1" fontId="38" fillId="19" borderId="82" xfId="0" applyNumberFormat="1" applyFont="1" applyFill="1" applyBorder="1" applyAlignment="1">
      <alignment horizontal="center" vertical="center"/>
    </xf>
    <xf numFmtId="1" fontId="0" fillId="5" borderId="2" xfId="0" applyNumberFormat="1" applyFill="1" applyBorder="1" applyAlignment="1">
      <alignment horizontal="center"/>
    </xf>
    <xf numFmtId="1" fontId="26" fillId="0" borderId="7" xfId="0" applyNumberFormat="1" applyFont="1" applyFill="1" applyBorder="1" applyAlignment="1">
      <alignment horizontal="center" vertical="center"/>
    </xf>
    <xf numFmtId="49" fontId="17" fillId="0" borderId="7" xfId="0" applyNumberFormat="1" applyFont="1" applyFill="1" applyBorder="1" applyAlignment="1">
      <alignment horizontal="center"/>
    </xf>
    <xf numFmtId="1" fontId="23" fillId="0" borderId="7" xfId="0" applyNumberFormat="1" applyFont="1" applyFill="1" applyBorder="1"/>
    <xf numFmtId="1" fontId="0" fillId="0" borderId="82" xfId="0" applyNumberFormat="1" applyBorder="1"/>
    <xf numFmtId="1" fontId="0" fillId="0" borderId="0" xfId="0" applyNumberFormat="1" applyFill="1"/>
    <xf numFmtId="1" fontId="0" fillId="0" borderId="0" xfId="0" applyNumberFormat="1" applyAlignment="1">
      <alignment vertical="center"/>
    </xf>
    <xf numFmtId="1" fontId="13" fillId="15" borderId="23" xfId="0" applyNumberFormat="1" applyFont="1" applyFill="1" applyBorder="1" applyAlignment="1">
      <alignment horizontal="center" vertical="center"/>
    </xf>
    <xf numFmtId="1" fontId="38" fillId="0" borderId="0" xfId="0" applyNumberFormat="1" applyFont="1"/>
    <xf numFmtId="1" fontId="38" fillId="0" borderId="0" xfId="0" applyNumberFormat="1" applyFont="1" applyFill="1" applyAlignment="1">
      <alignment horizontal="center"/>
    </xf>
    <xf numFmtId="1" fontId="38" fillId="0" borderId="7" xfId="0" applyNumberFormat="1" applyFont="1" applyFill="1" applyBorder="1" applyAlignment="1">
      <alignment horizontal="center"/>
    </xf>
    <xf numFmtId="1" fontId="38" fillId="20" borderId="7" xfId="0" applyNumberFormat="1" applyFont="1" applyFill="1" applyBorder="1" applyAlignment="1">
      <alignment horizontal="center"/>
    </xf>
    <xf numFmtId="1" fontId="38" fillId="0" borderId="82" xfId="0" applyNumberFormat="1" applyFont="1" applyFill="1" applyBorder="1" applyAlignment="1">
      <alignment horizontal="center"/>
    </xf>
    <xf numFmtId="1" fontId="38" fillId="16" borderId="0" xfId="0" applyNumberFormat="1" applyFont="1" applyFill="1" applyAlignment="1">
      <alignment horizontal="center"/>
    </xf>
    <xf numFmtId="1" fontId="28" fillId="4" borderId="7" xfId="0" applyNumberFormat="1" applyFont="1" applyFill="1" applyBorder="1" applyAlignment="1">
      <alignment horizontal="center" vertical="center" wrapText="1"/>
    </xf>
    <xf numFmtId="1" fontId="38" fillId="5" borderId="79" xfId="0" applyNumberFormat="1" applyFont="1" applyFill="1" applyBorder="1" applyAlignment="1">
      <alignment horizontal="center" vertical="center" wrapText="1"/>
    </xf>
    <xf numFmtId="167" fontId="18" fillId="0" borderId="0" xfId="1" applyNumberFormat="1" applyFont="1" applyBorder="1" applyAlignment="1">
      <alignment horizont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38" fillId="0" borderId="0" xfId="0" applyNumberFormat="1" applyFont="1" applyFill="1"/>
    <xf numFmtId="3" fontId="38" fillId="0" borderId="0" xfId="0" applyNumberFormat="1" applyFont="1" applyAlignment="1"/>
    <xf numFmtId="3" fontId="38" fillId="0" borderId="7" xfId="0" applyNumberFormat="1" applyFont="1" applyFill="1" applyBorder="1"/>
    <xf numFmtId="3" fontId="41" fillId="0" borderId="7" xfId="0" applyNumberFormat="1" applyFont="1" applyFill="1" applyBorder="1"/>
    <xf numFmtId="3" fontId="38" fillId="20" borderId="7" xfId="0" applyNumberFormat="1" applyFont="1" applyFill="1" applyBorder="1"/>
    <xf numFmtId="3" fontId="38" fillId="0" borderId="82" xfId="0" applyNumberFormat="1" applyFont="1" applyFill="1" applyBorder="1"/>
    <xf numFmtId="3" fontId="38" fillId="16" borderId="0" xfId="0" applyNumberFormat="1" applyFont="1" applyFill="1"/>
    <xf numFmtId="3" fontId="38" fillId="0" borderId="0" xfId="0" applyNumberFormat="1" applyFont="1" applyAlignment="1">
      <alignment horizontal="center"/>
    </xf>
    <xf numFmtId="1" fontId="0" fillId="0" borderId="0" xfId="0" applyNumberFormat="1" applyAlignment="1">
      <alignment horizontal="left"/>
    </xf>
    <xf numFmtId="1" fontId="27" fillId="5" borderId="79" xfId="0" applyNumberFormat="1" applyFont="1" applyFill="1" applyBorder="1" applyAlignment="1">
      <alignment horizontal="left" vertical="center" wrapText="1"/>
    </xf>
    <xf numFmtId="1" fontId="17" fillId="0" borderId="7" xfId="0" applyNumberFormat="1" applyFont="1" applyFill="1" applyBorder="1" applyAlignment="1">
      <alignment horizontal="left" vertical="center"/>
    </xf>
    <xf numFmtId="1" fontId="21" fillId="9" borderId="7" xfId="0" applyNumberFormat="1" applyFont="1" applyFill="1" applyBorder="1" applyAlignment="1">
      <alignment horizontal="left" vertical="center" wrapText="1"/>
    </xf>
    <xf numFmtId="1" fontId="17" fillId="0" borderId="7" xfId="0" applyNumberFormat="1" applyFont="1" applyFill="1" applyBorder="1" applyAlignment="1">
      <alignment horizontal="left"/>
    </xf>
    <xf numFmtId="1" fontId="21" fillId="4" borderId="7" xfId="0" applyNumberFormat="1" applyFont="1" applyFill="1" applyBorder="1" applyAlignment="1">
      <alignment horizontal="left" vertical="center" wrapText="1"/>
    </xf>
    <xf numFmtId="1" fontId="0" fillId="0" borderId="7" xfId="0" applyNumberFormat="1" applyFill="1" applyBorder="1" applyAlignment="1">
      <alignment horizontal="left"/>
    </xf>
    <xf numFmtId="1" fontId="0" fillId="0" borderId="0" xfId="0" applyNumberFormat="1" applyAlignment="1">
      <alignment horizontal="left" vertical="center"/>
    </xf>
    <xf numFmtId="1" fontId="38" fillId="0" borderId="0" xfId="0" applyNumberFormat="1" applyFont="1" applyAlignment="1">
      <alignment horizontal="left"/>
    </xf>
    <xf numFmtId="169" fontId="18" fillId="27" borderId="3" xfId="0" applyNumberFormat="1" applyFont="1" applyFill="1" applyBorder="1" applyAlignment="1">
      <alignment horizontal="center" vertical="center" wrapText="1"/>
    </xf>
    <xf numFmtId="1" fontId="21" fillId="27" borderId="7" xfId="0" applyNumberFormat="1" applyFont="1" applyFill="1" applyBorder="1" applyAlignment="1">
      <alignment horizontal="center" vertical="center" wrapText="1"/>
    </xf>
    <xf numFmtId="3" fontId="21" fillId="27" borderId="29" xfId="0" applyNumberFormat="1" applyFont="1" applyFill="1" applyBorder="1" applyAlignment="1">
      <alignment horizontal="center" vertical="center" wrapText="1"/>
    </xf>
    <xf numFmtId="3" fontId="21" fillId="27" borderId="32" xfId="0" applyNumberFormat="1" applyFont="1" applyFill="1" applyBorder="1" applyAlignment="1">
      <alignment horizontal="center" vertical="center" wrapText="1"/>
    </xf>
    <xf numFmtId="3" fontId="21" fillId="27" borderId="2" xfId="0" applyNumberFormat="1" applyFont="1" applyFill="1" applyBorder="1" applyAlignment="1">
      <alignment horizontal="center" vertical="center" wrapText="1"/>
    </xf>
    <xf numFmtId="3" fontId="0" fillId="27" borderId="32" xfId="0" applyNumberFormat="1" applyFill="1" applyBorder="1" applyAlignment="1">
      <alignment horizontal="center" vertical="center"/>
    </xf>
    <xf numFmtId="3" fontId="0" fillId="27" borderId="53" xfId="0" applyNumberFormat="1" applyFill="1" applyBorder="1" applyAlignment="1">
      <alignment horizontal="center" vertical="center"/>
    </xf>
    <xf numFmtId="0" fontId="0" fillId="27" borderId="0" xfId="0" applyFill="1"/>
    <xf numFmtId="0" fontId="0" fillId="27" borderId="13" xfId="0" applyFill="1" applyBorder="1" applyAlignment="1">
      <alignment horizontal="center"/>
    </xf>
    <xf numFmtId="0" fontId="0" fillId="27" borderId="7" xfId="0" applyFill="1" applyBorder="1"/>
    <xf numFmtId="1" fontId="0" fillId="27" borderId="7" xfId="0" applyNumberFormat="1" applyFill="1" applyBorder="1"/>
    <xf numFmtId="3" fontId="0" fillId="27" borderId="7" xfId="0" applyNumberFormat="1" applyFill="1" applyBorder="1"/>
    <xf numFmtId="3" fontId="0" fillId="27" borderId="32" xfId="0" applyNumberFormat="1" applyFill="1" applyBorder="1"/>
    <xf numFmtId="3" fontId="33" fillId="0" borderId="3" xfId="0" applyNumberFormat="1" applyFont="1" applyFill="1" applyBorder="1" applyAlignment="1">
      <alignment horizontal="right" vertical="center"/>
    </xf>
    <xf numFmtId="0" fontId="66" fillId="64" borderId="0" xfId="0" applyFont="1" applyFill="1" applyAlignment="1">
      <alignment horizontal="center" vertical="center"/>
    </xf>
    <xf numFmtId="0" fontId="28" fillId="64" borderId="0" xfId="0" applyFont="1" applyFill="1" applyAlignment="1">
      <alignment vertical="center"/>
    </xf>
    <xf numFmtId="0" fontId="0" fillId="64" borderId="1" xfId="0" applyFill="1" applyBorder="1" applyAlignment="1">
      <alignment vertical="center" wrapText="1"/>
    </xf>
    <xf numFmtId="3" fontId="0" fillId="64" borderId="1" xfId="0" applyNumberFormat="1" applyFill="1" applyBorder="1" applyAlignment="1">
      <alignment vertical="center"/>
    </xf>
    <xf numFmtId="10" fontId="28" fillId="64" borderId="30" xfId="0" applyNumberFormat="1" applyFont="1" applyFill="1" applyBorder="1" applyAlignment="1">
      <alignment horizontal="left" vertical="center"/>
    </xf>
    <xf numFmtId="9" fontId="28" fillId="64" borderId="1" xfId="0" applyNumberFormat="1" applyFont="1" applyFill="1" applyBorder="1" applyAlignment="1">
      <alignment horizontal="center" vertical="center"/>
    </xf>
    <xf numFmtId="2" fontId="28" fillId="64" borderId="1" xfId="0" applyNumberFormat="1" applyFont="1" applyFill="1" applyBorder="1" applyAlignment="1">
      <alignment horizontal="center" vertical="center"/>
    </xf>
    <xf numFmtId="10" fontId="28" fillId="64" borderId="1" xfId="0" applyNumberFormat="1" applyFont="1" applyFill="1" applyBorder="1" applyAlignment="1">
      <alignment horizontal="left" vertical="center"/>
    </xf>
    <xf numFmtId="10" fontId="28" fillId="64" borderId="1" xfId="0" applyNumberFormat="1" applyFont="1" applyFill="1" applyBorder="1" applyAlignment="1">
      <alignment vertical="center"/>
    </xf>
    <xf numFmtId="0" fontId="0" fillId="64" borderId="1" xfId="0" applyFill="1" applyBorder="1" applyAlignment="1">
      <alignment vertical="center"/>
    </xf>
    <xf numFmtId="0" fontId="21" fillId="62" borderId="37" xfId="0" applyFont="1" applyFill="1" applyBorder="1" applyAlignment="1">
      <alignment horizontal="center" vertical="center"/>
    </xf>
    <xf numFmtId="3" fontId="21" fillId="62" borderId="37" xfId="0" applyNumberFormat="1" applyFont="1" applyFill="1" applyBorder="1" applyAlignment="1">
      <alignment horizontal="center" vertical="center"/>
    </xf>
    <xf numFmtId="173" fontId="21" fillId="62" borderId="37" xfId="0" applyNumberFormat="1" applyFont="1" applyFill="1" applyBorder="1" applyAlignment="1">
      <alignment horizontal="center" vertical="center"/>
    </xf>
    <xf numFmtId="10" fontId="28" fillId="62" borderId="30" xfId="0" applyNumberFormat="1" applyFont="1" applyFill="1" applyBorder="1" applyAlignment="1">
      <alignment horizontal="left" vertical="center"/>
    </xf>
    <xf numFmtId="9" fontId="28" fillId="62" borderId="1" xfId="0" applyNumberFormat="1" applyFont="1" applyFill="1" applyBorder="1" applyAlignment="1">
      <alignment horizontal="center" vertical="center"/>
    </xf>
    <xf numFmtId="2" fontId="28" fillId="62" borderId="1" xfId="0" applyNumberFormat="1" applyFont="1" applyFill="1" applyBorder="1" applyAlignment="1">
      <alignment horizontal="center" vertical="center"/>
    </xf>
    <xf numFmtId="10" fontId="28" fillId="62" borderId="1" xfId="0" applyNumberFormat="1" applyFont="1" applyFill="1" applyBorder="1" applyAlignment="1">
      <alignment horizontal="left" vertical="center"/>
    </xf>
    <xf numFmtId="10" fontId="28" fillId="62" borderId="1" xfId="0" applyNumberFormat="1" applyFont="1" applyFill="1" applyBorder="1" applyAlignment="1">
      <alignment vertical="center"/>
    </xf>
    <xf numFmtId="0" fontId="0" fillId="64" borderId="0" xfId="0" applyFill="1" applyBorder="1" applyAlignment="1">
      <alignment vertical="center" wrapText="1"/>
    </xf>
    <xf numFmtId="3" fontId="0" fillId="64" borderId="0" xfId="0" applyNumberFormat="1" applyFill="1" applyBorder="1" applyAlignment="1">
      <alignment vertical="center"/>
    </xf>
    <xf numFmtId="10" fontId="28" fillId="64" borderId="0" xfId="0" applyNumberFormat="1" applyFont="1" applyFill="1" applyBorder="1" applyAlignment="1">
      <alignment horizontal="left" vertical="center"/>
    </xf>
    <xf numFmtId="9" fontId="28" fillId="64" borderId="0" xfId="0" applyNumberFormat="1" applyFont="1" applyFill="1" applyBorder="1" applyAlignment="1">
      <alignment horizontal="center" vertical="center"/>
    </xf>
    <xf numFmtId="2" fontId="28" fillId="64" borderId="0" xfId="0" applyNumberFormat="1" applyFont="1" applyFill="1" applyBorder="1" applyAlignment="1">
      <alignment horizontal="center" vertical="center"/>
    </xf>
    <xf numFmtId="10" fontId="28" fillId="64" borderId="0" xfId="0" applyNumberFormat="1" applyFont="1" applyFill="1" applyBorder="1" applyAlignment="1">
      <alignment vertical="center"/>
    </xf>
    <xf numFmtId="10" fontId="28" fillId="64" borderId="30" xfId="0" applyNumberFormat="1" applyFont="1" applyFill="1" applyBorder="1" applyAlignment="1">
      <alignment horizontal="right" vertical="center"/>
    </xf>
    <xf numFmtId="10" fontId="28" fillId="64" borderId="1" xfId="0" applyNumberFormat="1" applyFont="1" applyFill="1" applyBorder="1" applyAlignment="1">
      <alignment horizontal="right" vertical="center"/>
    </xf>
    <xf numFmtId="10" fontId="28" fillId="62" borderId="30" xfId="0" applyNumberFormat="1" applyFont="1" applyFill="1" applyBorder="1" applyAlignment="1">
      <alignment horizontal="right" vertical="center"/>
    </xf>
    <xf numFmtId="10" fontId="28" fillId="62" borderId="1" xfId="0" applyNumberFormat="1" applyFont="1" applyFill="1" applyBorder="1" applyAlignment="1">
      <alignment horizontal="right" vertical="center"/>
    </xf>
    <xf numFmtId="10" fontId="28" fillId="20" borderId="30" xfId="0" applyNumberFormat="1" applyFont="1" applyFill="1" applyBorder="1" applyAlignment="1">
      <alignment horizontal="right" vertical="center"/>
    </xf>
    <xf numFmtId="9" fontId="28" fillId="20" borderId="1" xfId="0" applyNumberFormat="1" applyFont="1" applyFill="1" applyBorder="1" applyAlignment="1">
      <alignment horizontal="center" vertical="center"/>
    </xf>
    <xf numFmtId="2" fontId="28" fillId="20" borderId="1" xfId="0" applyNumberFormat="1" applyFont="1" applyFill="1" applyBorder="1" applyAlignment="1">
      <alignment horizontal="center" vertical="center"/>
    </xf>
    <xf numFmtId="10" fontId="28" fillId="20" borderId="1" xfId="0" applyNumberFormat="1" applyFont="1" applyFill="1" applyBorder="1" applyAlignment="1">
      <alignment horizontal="right" vertical="center"/>
    </xf>
    <xf numFmtId="10" fontId="28" fillId="20" borderId="1" xfId="0" applyNumberFormat="1" applyFont="1" applyFill="1" applyBorder="1" applyAlignment="1">
      <alignment vertical="center"/>
    </xf>
    <xf numFmtId="3" fontId="0" fillId="64" borderId="1" xfId="0" applyNumberFormat="1" applyFill="1" applyBorder="1" applyAlignment="1">
      <alignment vertical="center" wrapText="1"/>
    </xf>
    <xf numFmtId="3" fontId="0" fillId="64" borderId="37" xfId="0" applyNumberFormat="1" applyFill="1" applyBorder="1" applyAlignment="1">
      <alignment vertical="center"/>
    </xf>
    <xf numFmtId="10" fontId="28" fillId="62" borderId="86" xfId="0" applyNumberFormat="1" applyFont="1" applyFill="1" applyBorder="1" applyAlignment="1">
      <alignment horizontal="right" vertical="center"/>
    </xf>
    <xf numFmtId="0" fontId="28" fillId="0" borderId="0" xfId="0" applyFont="1" applyFill="1" applyAlignment="1">
      <alignment vertical="center"/>
    </xf>
    <xf numFmtId="0" fontId="21" fillId="67" borderId="1" xfId="0" applyFont="1" applyFill="1" applyBorder="1" applyAlignment="1">
      <alignment horizontal="center" vertical="center"/>
    </xf>
    <xf numFmtId="0" fontId="28" fillId="0" borderId="1" xfId="0" applyFont="1" applyFill="1" applyBorder="1" applyAlignment="1">
      <alignment vertical="center"/>
    </xf>
    <xf numFmtId="168" fontId="28" fillId="0" borderId="1" xfId="0" applyNumberFormat="1" applyFont="1" applyFill="1" applyBorder="1" applyAlignment="1">
      <alignment vertical="center"/>
    </xf>
    <xf numFmtId="167" fontId="28" fillId="0" borderId="1" xfId="0" applyNumberFormat="1" applyFont="1" applyFill="1" applyBorder="1" applyAlignment="1">
      <alignment vertical="center"/>
    </xf>
    <xf numFmtId="0" fontId="21" fillId="62" borderId="1" xfId="0" applyFont="1" applyFill="1" applyBorder="1" applyAlignment="1">
      <alignment horizontal="center" vertical="center"/>
    </xf>
    <xf numFmtId="168" fontId="21" fillId="62" borderId="1" xfId="0" applyNumberFormat="1" applyFont="1" applyFill="1" applyBorder="1" applyAlignment="1">
      <alignment vertical="center"/>
    </xf>
    <xf numFmtId="168" fontId="0" fillId="0" borderId="0" xfId="0" applyNumberFormat="1" applyAlignment="1">
      <alignment vertical="center"/>
    </xf>
    <xf numFmtId="0" fontId="28" fillId="0" borderId="1" xfId="0" applyFont="1" applyBorder="1" applyAlignment="1">
      <alignment horizontal="left" vertical="center" wrapText="1"/>
    </xf>
    <xf numFmtId="168" fontId="21" fillId="64" borderId="1" xfId="0" applyNumberFormat="1" applyFont="1" applyFill="1" applyBorder="1" applyAlignment="1">
      <alignment vertical="center"/>
    </xf>
    <xf numFmtId="0" fontId="21" fillId="0" borderId="0" xfId="0" applyFont="1" applyFill="1" applyBorder="1" applyAlignment="1">
      <alignment vertical="center"/>
    </xf>
    <xf numFmtId="168" fontId="21" fillId="0" borderId="0" xfId="0" applyNumberFormat="1" applyFont="1" applyFill="1" applyBorder="1" applyAlignment="1">
      <alignment vertical="center"/>
    </xf>
    <xf numFmtId="10" fontId="21" fillId="0" borderId="0" xfId="0" applyNumberFormat="1" applyFont="1" applyFill="1" applyBorder="1" applyAlignment="1">
      <alignment horizontal="right" vertical="center"/>
    </xf>
    <xf numFmtId="0" fontId="21" fillId="64" borderId="1" xfId="0" applyFont="1" applyFill="1" applyBorder="1" applyAlignment="1">
      <alignment horizontal="left" vertical="center" wrapText="1"/>
    </xf>
    <xf numFmtId="168" fontId="18" fillId="64" borderId="1" xfId="0" applyNumberFormat="1" applyFont="1" applyFill="1" applyBorder="1" applyAlignment="1">
      <alignment vertical="center"/>
    </xf>
    <xf numFmtId="3" fontId="18" fillId="25" borderId="3" xfId="0" applyNumberFormat="1" applyFont="1" applyFill="1" applyBorder="1" applyAlignment="1">
      <alignment horizontal="center" vertical="center" wrapText="1"/>
    </xf>
    <xf numFmtId="3" fontId="21" fillId="25" borderId="32" xfId="0" applyNumberFormat="1" applyFont="1" applyFill="1" applyBorder="1" applyAlignment="1">
      <alignment horizontal="center" vertical="center" wrapText="1"/>
    </xf>
    <xf numFmtId="3" fontId="21" fillId="25" borderId="2" xfId="0" applyNumberFormat="1" applyFont="1" applyFill="1" applyBorder="1" applyAlignment="1">
      <alignment horizontal="center" vertical="center" wrapText="1"/>
    </xf>
    <xf numFmtId="3" fontId="21" fillId="25" borderId="13" xfId="0" applyNumberFormat="1" applyFont="1" applyFill="1" applyBorder="1" applyAlignment="1">
      <alignment horizontal="center" vertical="center" wrapText="1"/>
    </xf>
    <xf numFmtId="3" fontId="21" fillId="25" borderId="7" xfId="0" applyNumberFormat="1" applyFont="1" applyFill="1" applyBorder="1" applyAlignment="1">
      <alignment horizontal="center" vertical="center" wrapText="1"/>
    </xf>
    <xf numFmtId="0" fontId="67" fillId="65" borderId="50" xfId="0" applyFont="1" applyFill="1" applyBorder="1" applyAlignment="1">
      <alignment horizontal="center" vertical="center" wrapText="1"/>
    </xf>
    <xf numFmtId="0" fontId="67" fillId="65" borderId="1" xfId="0" applyFont="1" applyFill="1" applyBorder="1" applyAlignment="1">
      <alignment horizontal="center" vertical="center" wrapText="1"/>
    </xf>
    <xf numFmtId="0" fontId="21" fillId="25" borderId="1" xfId="0" applyFont="1" applyFill="1" applyBorder="1" applyAlignment="1">
      <alignment horizontal="center" vertical="center" wrapText="1"/>
    </xf>
    <xf numFmtId="0" fontId="17" fillId="64" borderId="37" xfId="0" applyFont="1" applyFill="1" applyBorder="1" applyAlignment="1">
      <alignment vertical="center" wrapText="1"/>
    </xf>
    <xf numFmtId="0" fontId="17" fillId="64" borderId="1" xfId="0" applyFont="1" applyFill="1" applyBorder="1" applyAlignment="1">
      <alignment vertical="center" wrapText="1"/>
    </xf>
    <xf numFmtId="3" fontId="0" fillId="20" borderId="1" xfId="0" applyNumberFormat="1" applyFill="1" applyBorder="1" applyAlignment="1">
      <alignment horizontal="center" vertical="center"/>
    </xf>
    <xf numFmtId="0" fontId="18" fillId="20" borderId="1" xfId="0" applyFont="1" applyFill="1" applyBorder="1" applyAlignment="1">
      <alignment horizontal="center" vertical="center" wrapText="1"/>
    </xf>
    <xf numFmtId="3" fontId="18" fillId="20" borderId="1" xfId="0" applyNumberFormat="1" applyFont="1" applyFill="1" applyBorder="1" applyAlignment="1">
      <alignment horizontal="center" vertical="center"/>
    </xf>
    <xf numFmtId="0" fontId="21" fillId="67" borderId="1" xfId="0" applyFont="1" applyFill="1" applyBorder="1" applyAlignment="1">
      <alignment horizontal="center" vertical="center"/>
    </xf>
    <xf numFmtId="0" fontId="28" fillId="0" borderId="32" xfId="0" applyFont="1" applyFill="1" applyBorder="1" applyAlignment="1">
      <alignment horizontal="center" vertical="center"/>
    </xf>
    <xf numFmtId="169" fontId="17" fillId="0" borderId="32" xfId="0" applyNumberFormat="1" applyFont="1" applyFill="1" applyBorder="1" applyAlignment="1">
      <alignment horizontal="left"/>
    </xf>
    <xf numFmtId="3" fontId="26" fillId="13" borderId="7" xfId="0" applyNumberFormat="1" applyFont="1" applyFill="1" applyBorder="1" applyAlignment="1">
      <alignment horizontal="center" vertical="center"/>
    </xf>
    <xf numFmtId="1" fontId="17" fillId="0" borderId="23" xfId="0" applyNumberFormat="1" applyFont="1" applyFill="1" applyBorder="1" applyAlignment="1">
      <alignment horizontal="center"/>
    </xf>
    <xf numFmtId="3" fontId="0" fillId="0" borderId="1" xfId="0" applyNumberFormat="1" applyBorder="1"/>
    <xf numFmtId="3" fontId="22" fillId="22" borderId="7" xfId="0" applyNumberFormat="1" applyFont="1" applyFill="1" applyBorder="1" applyAlignment="1">
      <alignment horizontal="center" vertical="center"/>
    </xf>
    <xf numFmtId="1" fontId="27" fillId="69" borderId="7" xfId="0" applyNumberFormat="1" applyFont="1" applyFill="1" applyBorder="1" applyAlignment="1">
      <alignment horizontal="center" vertical="center" wrapText="1"/>
    </xf>
    <xf numFmtId="3" fontId="27" fillId="69" borderId="29" xfId="0" applyNumberFormat="1" applyFont="1" applyFill="1" applyBorder="1" applyAlignment="1">
      <alignment horizontal="center" vertical="center" wrapText="1"/>
    </xf>
    <xf numFmtId="3" fontId="23" fillId="69" borderId="7" xfId="0" applyNumberFormat="1" applyFont="1" applyFill="1" applyBorder="1" applyAlignment="1">
      <alignment horizontal="center" vertical="center"/>
    </xf>
    <xf numFmtId="169" fontId="23" fillId="69" borderId="32" xfId="0" applyNumberFormat="1" applyFont="1" applyFill="1" applyBorder="1" applyAlignment="1">
      <alignment horizontal="center"/>
    </xf>
    <xf numFmtId="3" fontId="23" fillId="69" borderId="3" xfId="0" applyNumberFormat="1" applyFont="1" applyFill="1" applyBorder="1" applyAlignment="1">
      <alignment horizontal="center" vertical="center"/>
    </xf>
    <xf numFmtId="3" fontId="23" fillId="69" borderId="32" xfId="0" applyNumberFormat="1" applyFont="1" applyFill="1" applyBorder="1" applyAlignment="1">
      <alignment horizontal="center" vertical="center"/>
    </xf>
    <xf numFmtId="3" fontId="23" fillId="69" borderId="53" xfId="0" applyNumberFormat="1" applyFont="1" applyFill="1" applyBorder="1" applyAlignment="1">
      <alignment horizontal="center" vertical="center"/>
    </xf>
    <xf numFmtId="1" fontId="34" fillId="69" borderId="7" xfId="0" applyNumberFormat="1" applyFont="1" applyFill="1" applyBorder="1" applyAlignment="1">
      <alignment horizontal="center" vertical="center" wrapText="1"/>
    </xf>
    <xf numFmtId="3" fontId="34" fillId="69" borderId="29" xfId="0" applyNumberFormat="1" applyFont="1" applyFill="1" applyBorder="1" applyAlignment="1">
      <alignment horizontal="center" vertical="center" wrapText="1"/>
    </xf>
    <xf numFmtId="3" fontId="26" fillId="69" borderId="7" xfId="0" applyNumberFormat="1" applyFont="1" applyFill="1" applyBorder="1" applyAlignment="1">
      <alignment horizontal="center" vertical="center"/>
    </xf>
    <xf numFmtId="169" fontId="26" fillId="69" borderId="32" xfId="0" applyNumberFormat="1" applyFont="1" applyFill="1" applyBorder="1" applyAlignment="1">
      <alignment horizontal="center"/>
    </xf>
    <xf numFmtId="3" fontId="0" fillId="69" borderId="7" xfId="0" applyNumberFormat="1" applyFill="1" applyBorder="1" applyAlignment="1">
      <alignment horizontal="center" vertical="center"/>
    </xf>
    <xf numFmtId="3" fontId="0" fillId="69" borderId="32" xfId="0" applyNumberFormat="1" applyFill="1" applyBorder="1" applyAlignment="1">
      <alignment horizontal="center" vertical="center"/>
    </xf>
    <xf numFmtId="3" fontId="0" fillId="69" borderId="53" xfId="0" applyNumberFormat="1" applyFill="1" applyBorder="1" applyAlignment="1">
      <alignment horizontal="center" vertical="center"/>
    </xf>
    <xf numFmtId="0" fontId="23" fillId="69" borderId="13" xfId="0" applyFont="1" applyFill="1" applyBorder="1" applyAlignment="1">
      <alignment horizontal="center"/>
    </xf>
    <xf numFmtId="0" fontId="23" fillId="69" borderId="7" xfId="0" applyFont="1" applyFill="1" applyBorder="1"/>
    <xf numFmtId="1" fontId="23" fillId="69" borderId="7" xfId="0" applyNumberFormat="1" applyFont="1" applyFill="1" applyBorder="1"/>
    <xf numFmtId="3" fontId="23" fillId="69" borderId="7" xfId="0" applyNumberFormat="1" applyFont="1" applyFill="1" applyBorder="1"/>
    <xf numFmtId="3" fontId="23" fillId="69" borderId="32" xfId="0" applyNumberFormat="1" applyFont="1" applyFill="1" applyBorder="1"/>
    <xf numFmtId="3" fontId="24" fillId="23" borderId="83" xfId="0" applyNumberFormat="1" applyFont="1" applyFill="1" applyBorder="1" applyAlignment="1">
      <alignment horizontal="center" vertical="center"/>
    </xf>
    <xf numFmtId="0" fontId="24" fillId="3" borderId="0" xfId="0" applyFont="1" applyFill="1" applyAlignment="1">
      <alignment horizontal="center" vertical="center" wrapText="1"/>
    </xf>
    <xf numFmtId="0" fontId="24" fillId="3" borderId="0" xfId="0" applyFont="1" applyFill="1" applyBorder="1" applyAlignment="1">
      <alignment horizontal="center" vertical="center" wrapText="1"/>
    </xf>
    <xf numFmtId="3" fontId="41" fillId="5" borderId="80" xfId="0" applyNumberFormat="1" applyFont="1" applyFill="1" applyBorder="1" applyAlignment="1">
      <alignment horizontal="center" vertical="center" wrapText="1"/>
    </xf>
    <xf numFmtId="3" fontId="21" fillId="23" borderId="45" xfId="0" applyNumberFormat="1" applyFont="1" applyFill="1" applyBorder="1" applyAlignment="1">
      <alignment horizontal="center" vertical="center" wrapText="1"/>
    </xf>
    <xf numFmtId="3" fontId="34" fillId="29" borderId="13" xfId="0" applyNumberFormat="1" applyFont="1" applyFill="1" applyBorder="1" applyAlignment="1">
      <alignment horizontal="center" vertical="center"/>
    </xf>
    <xf numFmtId="3" fontId="40" fillId="13" borderId="22" xfId="2" applyNumberFormat="1" applyFont="1" applyFill="1" applyBorder="1" applyAlignment="1">
      <alignment horizontal="left" vertical="center"/>
    </xf>
    <xf numFmtId="3" fontId="34" fillId="21" borderId="13" xfId="0" applyNumberFormat="1" applyFont="1" applyFill="1" applyBorder="1" applyAlignment="1">
      <alignment horizontal="center" vertical="center"/>
    </xf>
    <xf numFmtId="3" fontId="34" fillId="24" borderId="13" xfId="0" applyNumberFormat="1" applyFont="1" applyFill="1" applyBorder="1" applyAlignment="1">
      <alignment horizontal="center" vertical="center"/>
    </xf>
    <xf numFmtId="3" fontId="34" fillId="24" borderId="53" xfId="0" applyNumberFormat="1" applyFont="1" applyFill="1" applyBorder="1" applyAlignment="1">
      <alignment horizontal="center" vertical="center"/>
    </xf>
    <xf numFmtId="0" fontId="27" fillId="6" borderId="13" xfId="0" applyFont="1" applyFill="1" applyBorder="1" applyAlignment="1">
      <alignment horizontal="left" vertical="center" wrapText="1"/>
    </xf>
    <xf numFmtId="0" fontId="34" fillId="6" borderId="13" xfId="0" applyFont="1" applyFill="1" applyBorder="1" applyAlignment="1">
      <alignment horizontal="center" vertical="center" wrapText="1"/>
    </xf>
    <xf numFmtId="49" fontId="17" fillId="0" borderId="32" xfId="0" applyNumberFormat="1" applyFont="1" applyFill="1" applyBorder="1" applyAlignment="1">
      <alignment horizontal="center"/>
    </xf>
    <xf numFmtId="165" fontId="28" fillId="0" borderId="0" xfId="0" applyNumberFormat="1" applyFont="1"/>
    <xf numFmtId="167" fontId="18" fillId="0" borderId="0" xfId="1" applyNumberFormat="1" applyFont="1" applyBorder="1" applyAlignment="1">
      <alignment horizontal="center" wrapText="1"/>
    </xf>
    <xf numFmtId="174" fontId="28" fillId="0" borderId="32" xfId="1" applyNumberFormat="1" applyFont="1" applyFill="1" applyBorder="1" applyAlignment="1">
      <alignment horizontal="center" vertical="center" wrapText="1"/>
    </xf>
    <xf numFmtId="0" fontId="0" fillId="5" borderId="0" xfId="0" applyFill="1" applyBorder="1" applyAlignment="1">
      <alignment horizontal="center"/>
    </xf>
    <xf numFmtId="0" fontId="0" fillId="5" borderId="19" xfId="0" applyFill="1" applyBorder="1" applyAlignment="1">
      <alignment horizontal="center"/>
    </xf>
    <xf numFmtId="0" fontId="17" fillId="5" borderId="0" xfId="0" applyFont="1" applyFill="1" applyBorder="1" applyAlignment="1">
      <alignment horizontal="center"/>
    </xf>
    <xf numFmtId="0" fontId="17" fillId="5" borderId="19" xfId="0" applyFont="1" applyFill="1" applyBorder="1" applyAlignment="1">
      <alignment horizontal="center"/>
    </xf>
    <xf numFmtId="167" fontId="17" fillId="5" borderId="2" xfId="0" applyNumberFormat="1" applyFont="1" applyFill="1" applyBorder="1" applyAlignment="1">
      <alignment horizontal="center" vertical="center" wrapText="1"/>
    </xf>
    <xf numFmtId="3" fontId="13" fillId="7" borderId="3" xfId="0" applyNumberFormat="1" applyFont="1" applyFill="1" applyBorder="1" applyAlignment="1">
      <alignment horizontal="center" vertical="center"/>
    </xf>
    <xf numFmtId="0" fontId="17" fillId="0" borderId="0" xfId="0" applyFont="1" applyBorder="1" applyAlignment="1">
      <alignment horizontal="center"/>
    </xf>
    <xf numFmtId="3" fontId="17" fillId="5" borderId="0" xfId="0" applyNumberFormat="1" applyFont="1" applyFill="1" applyBorder="1" applyAlignment="1">
      <alignment horizontal="center"/>
    </xf>
    <xf numFmtId="3" fontId="17" fillId="5" borderId="19" xfId="0" applyNumberFormat="1" applyFont="1" applyFill="1" applyBorder="1" applyAlignment="1">
      <alignment horizontal="center"/>
    </xf>
    <xf numFmtId="3" fontId="17" fillId="5" borderId="2" xfId="0" applyNumberFormat="1" applyFont="1" applyFill="1" applyBorder="1" applyAlignment="1">
      <alignment horizontal="center"/>
    </xf>
    <xf numFmtId="3" fontId="22" fillId="23" borderId="7" xfId="0" applyNumberFormat="1" applyFont="1" applyFill="1" applyBorder="1" applyAlignment="1">
      <alignment horizontal="center" vertical="center" wrapText="1"/>
    </xf>
    <xf numFmtId="3" fontId="18" fillId="5" borderId="14" xfId="0" applyNumberFormat="1" applyFont="1" applyFill="1" applyBorder="1" applyAlignment="1">
      <alignment horizontal="center" vertical="center" wrapText="1"/>
    </xf>
    <xf numFmtId="3" fontId="18" fillId="11" borderId="7"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3" fontId="22" fillId="5" borderId="50" xfId="0" applyNumberFormat="1" applyFont="1" applyFill="1" applyBorder="1" applyAlignment="1">
      <alignment horizontal="center" vertical="center" wrapText="1"/>
    </xf>
    <xf numFmtId="3" fontId="18" fillId="5" borderId="15" xfId="0" applyNumberFormat="1" applyFont="1" applyFill="1" applyBorder="1" applyAlignment="1">
      <alignment horizontal="center" vertical="center" wrapText="1"/>
    </xf>
    <xf numFmtId="1" fontId="17" fillId="5" borderId="0" xfId="0" applyNumberFormat="1" applyFont="1" applyFill="1" applyBorder="1" applyAlignment="1">
      <alignment horizontal="center"/>
    </xf>
    <xf numFmtId="1" fontId="17" fillId="5" borderId="19" xfId="0" applyNumberFormat="1" applyFont="1" applyFill="1" applyBorder="1" applyAlignment="1">
      <alignment horizontal="center"/>
    </xf>
    <xf numFmtId="1" fontId="17" fillId="5" borderId="2" xfId="0" applyNumberFormat="1" applyFont="1" applyFill="1" applyBorder="1" applyAlignment="1">
      <alignment horizontal="center" vertical="center" wrapText="1"/>
    </xf>
    <xf numFmtId="1" fontId="13" fillId="7" borderId="3" xfId="0" applyNumberFormat="1" applyFont="1" applyFill="1" applyBorder="1" applyAlignment="1">
      <alignment horizontal="center" vertical="center"/>
    </xf>
    <xf numFmtId="1" fontId="17" fillId="0" borderId="0" xfId="0" applyNumberFormat="1" applyFont="1" applyBorder="1" applyAlignment="1">
      <alignment horizontal="center"/>
    </xf>
    <xf numFmtId="1" fontId="17" fillId="5" borderId="2" xfId="0" applyNumberFormat="1" applyFont="1" applyFill="1" applyBorder="1" applyAlignment="1">
      <alignment horizontal="center"/>
    </xf>
    <xf numFmtId="1" fontId="13" fillId="0" borderId="7" xfId="0" applyNumberFormat="1" applyFont="1" applyFill="1" applyBorder="1" applyAlignment="1">
      <alignment horizontal="center" vertical="center"/>
    </xf>
    <xf numFmtId="1" fontId="18" fillId="9" borderId="7" xfId="0" applyNumberFormat="1" applyFont="1" applyFill="1" applyBorder="1" applyAlignment="1">
      <alignment horizontal="center" vertical="center" wrapText="1"/>
    </xf>
    <xf numFmtId="1" fontId="22" fillId="23" borderId="7" xfId="0" applyNumberFormat="1" applyFont="1" applyFill="1" applyBorder="1" applyAlignment="1">
      <alignment horizontal="center" vertical="center" wrapText="1"/>
    </xf>
    <xf numFmtId="1" fontId="22" fillId="0" borderId="7" xfId="0" applyNumberFormat="1" applyFont="1" applyFill="1" applyBorder="1" applyAlignment="1">
      <alignment horizontal="center" vertical="center"/>
    </xf>
    <xf numFmtId="1" fontId="18" fillId="4" borderId="7" xfId="0" applyNumberFormat="1" applyFont="1" applyFill="1" applyBorder="1" applyAlignment="1">
      <alignment horizontal="center" vertical="center" wrapText="1"/>
    </xf>
    <xf numFmtId="1" fontId="18" fillId="0" borderId="15" xfId="0" applyNumberFormat="1" applyFont="1" applyFill="1" applyBorder="1" applyAlignment="1">
      <alignment horizontal="center" vertical="center" wrapText="1"/>
    </xf>
    <xf numFmtId="1" fontId="18" fillId="0" borderId="0" xfId="1" applyNumberFormat="1" applyFont="1" applyBorder="1" applyAlignment="1">
      <alignment horizontal="center"/>
    </xf>
    <xf numFmtId="1" fontId="18" fillId="5" borderId="50" xfId="0" applyNumberFormat="1" applyFont="1" applyFill="1" applyBorder="1" applyAlignment="1">
      <alignment horizontal="center" vertical="center" wrapText="1"/>
    </xf>
    <xf numFmtId="1" fontId="18" fillId="0" borderId="14" xfId="0" applyNumberFormat="1" applyFont="1" applyFill="1" applyBorder="1" applyAlignment="1">
      <alignment horizontal="center" vertical="center" wrapText="1"/>
    </xf>
    <xf numFmtId="1" fontId="18" fillId="5" borderId="14" xfId="0" applyNumberFormat="1" applyFont="1" applyFill="1" applyBorder="1" applyAlignment="1">
      <alignment horizontal="center" vertical="center" wrapText="1"/>
    </xf>
    <xf numFmtId="1" fontId="18" fillId="11" borderId="7" xfId="0" applyNumberFormat="1" applyFont="1" applyFill="1" applyBorder="1" applyAlignment="1">
      <alignment horizontal="center" vertical="center" wrapText="1"/>
    </xf>
    <xf numFmtId="1" fontId="13" fillId="7" borderId="77" xfId="0" applyNumberFormat="1" applyFont="1" applyFill="1" applyBorder="1" applyAlignment="1">
      <alignment horizontal="center" vertical="center"/>
    </xf>
    <xf numFmtId="1" fontId="13" fillId="0" borderId="77" xfId="0" applyNumberFormat="1" applyFont="1" applyFill="1" applyBorder="1" applyAlignment="1">
      <alignment horizontal="center" vertical="center"/>
    </xf>
    <xf numFmtId="1" fontId="17" fillId="0" borderId="27" xfId="0" applyNumberFormat="1" applyFont="1" applyFill="1" applyBorder="1" applyAlignment="1">
      <alignment horizontal="center"/>
    </xf>
    <xf numFmtId="1" fontId="18" fillId="9" borderId="23" xfId="0" applyNumberFormat="1" applyFont="1" applyFill="1" applyBorder="1" applyAlignment="1">
      <alignment horizontal="center" vertical="center" wrapText="1"/>
    </xf>
    <xf numFmtId="1" fontId="18" fillId="4" borderId="23" xfId="0" applyNumberFormat="1" applyFont="1" applyFill="1" applyBorder="1" applyAlignment="1">
      <alignment horizontal="center" vertical="center" wrapText="1"/>
    </xf>
    <xf numFmtId="0" fontId="0" fillId="5" borderId="2" xfId="0" applyFill="1" applyBorder="1" applyAlignment="1">
      <alignment horizontal="center"/>
    </xf>
    <xf numFmtId="1" fontId="18" fillId="22" borderId="7" xfId="0" applyNumberFormat="1" applyFont="1" applyFill="1" applyBorder="1" applyAlignment="1">
      <alignment horizontal="center" vertical="center"/>
    </xf>
    <xf numFmtId="3" fontId="28" fillId="0" borderId="7" xfId="1" applyNumberFormat="1" applyFont="1" applyFill="1" applyBorder="1" applyAlignment="1">
      <alignment horizontal="right" vertical="center" wrapText="1"/>
    </xf>
    <xf numFmtId="1" fontId="17" fillId="0" borderId="7" xfId="0" applyNumberFormat="1" applyFont="1" applyFill="1" applyBorder="1" applyAlignment="1">
      <alignment horizontal="center"/>
    </xf>
    <xf numFmtId="0" fontId="13" fillId="13" borderId="13" xfId="0" applyFont="1" applyFill="1" applyBorder="1" applyAlignment="1">
      <alignment horizontal="left" vertical="center"/>
    </xf>
    <xf numFmtId="0" fontId="13" fillId="13" borderId="7" xfId="0" applyFont="1" applyFill="1" applyBorder="1" applyAlignment="1">
      <alignment horizontal="left" vertical="center"/>
    </xf>
    <xf numFmtId="0" fontId="22" fillId="15" borderId="7" xfId="0" applyFont="1" applyFill="1" applyBorder="1" applyAlignment="1">
      <alignment horizontal="left" vertical="center" wrapText="1"/>
    </xf>
    <xf numFmtId="0" fontId="22" fillId="8" borderId="7" xfId="0" applyFont="1" applyFill="1" applyBorder="1" applyAlignment="1">
      <alignment horizontal="left" vertical="center" wrapText="1"/>
    </xf>
    <xf numFmtId="3" fontId="29" fillId="7" borderId="3" xfId="0" applyNumberFormat="1" applyFont="1" applyFill="1" applyBorder="1" applyAlignment="1">
      <alignment horizontal="left" vertical="center" wrapText="1"/>
    </xf>
    <xf numFmtId="3" fontId="21" fillId="70" borderId="7" xfId="0" applyNumberFormat="1" applyFont="1" applyFill="1" applyBorder="1" applyAlignment="1">
      <alignment horizontal="center" vertical="center" wrapText="1"/>
    </xf>
    <xf numFmtId="3" fontId="21" fillId="70" borderId="32" xfId="0" applyNumberFormat="1" applyFont="1" applyFill="1" applyBorder="1" applyAlignment="1">
      <alignment horizontal="center" vertical="center" wrapText="1"/>
    </xf>
    <xf numFmtId="3" fontId="21" fillId="70" borderId="13" xfId="0" applyNumberFormat="1" applyFont="1" applyFill="1" applyBorder="1" applyAlignment="1">
      <alignment horizontal="center" vertical="center" wrapText="1"/>
    </xf>
    <xf numFmtId="1" fontId="28" fillId="70" borderId="7" xfId="0" applyNumberFormat="1" applyFont="1" applyFill="1" applyBorder="1" applyAlignment="1">
      <alignment horizontal="center" vertical="center" wrapText="1"/>
    </xf>
    <xf numFmtId="3" fontId="28" fillId="0" borderId="7" xfId="0" applyNumberFormat="1" applyFont="1" applyFill="1" applyBorder="1" applyAlignment="1">
      <alignment horizontal="center" vertical="center"/>
    </xf>
    <xf numFmtId="3" fontId="21" fillId="70" borderId="29" xfId="0" applyNumberFormat="1" applyFont="1" applyFill="1" applyBorder="1" applyAlignment="1">
      <alignment horizontal="center" vertical="center" wrapText="1"/>
    </xf>
    <xf numFmtId="0" fontId="38" fillId="6" borderId="7" xfId="0" applyFont="1" applyFill="1" applyBorder="1" applyAlignment="1">
      <alignment horizontal="left" vertical="top" wrapText="1"/>
    </xf>
    <xf numFmtId="0" fontId="41" fillId="6" borderId="7" xfId="0" applyFont="1" applyFill="1" applyBorder="1" applyAlignment="1">
      <alignment horizontal="left" vertical="center" wrapText="1"/>
    </xf>
    <xf numFmtId="0" fontId="41" fillId="6" borderId="7" xfId="0" applyFont="1" applyFill="1" applyBorder="1" applyAlignment="1">
      <alignment horizontal="left" vertical="top" wrapText="1"/>
    </xf>
    <xf numFmtId="0" fontId="41" fillId="12" borderId="7" xfId="0" applyFont="1" applyFill="1" applyBorder="1" applyAlignment="1">
      <alignment horizontal="left" vertical="top" wrapText="1"/>
    </xf>
    <xf numFmtId="0" fontId="70" fillId="12" borderId="7" xfId="0" applyFont="1" applyFill="1" applyBorder="1" applyAlignment="1">
      <alignment horizontal="left" vertical="top" wrapText="1"/>
    </xf>
    <xf numFmtId="0" fontId="41" fillId="23" borderId="7" xfId="0" applyFont="1" applyFill="1" applyBorder="1" applyAlignment="1">
      <alignment horizontal="left" vertical="center" wrapText="1"/>
    </xf>
    <xf numFmtId="0" fontId="41" fillId="23" borderId="7" xfId="0" applyFont="1" applyFill="1" applyBorder="1" applyAlignment="1">
      <alignment horizontal="left" vertical="top" wrapText="1"/>
    </xf>
    <xf numFmtId="0" fontId="18" fillId="12" borderId="7" xfId="0" applyFont="1" applyFill="1" applyBorder="1" applyAlignment="1">
      <alignment horizontal="left" vertical="top" wrapText="1"/>
    </xf>
    <xf numFmtId="165" fontId="18" fillId="0" borderId="7"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38" fillId="6" borderId="7" xfId="0" applyFont="1" applyFill="1" applyBorder="1" applyAlignment="1">
      <alignment horizontal="left" vertical="top"/>
    </xf>
    <xf numFmtId="169" fontId="17" fillId="71" borderId="2" xfId="0" applyNumberFormat="1" applyFont="1" applyFill="1" applyBorder="1" applyAlignment="1">
      <alignment horizontal="left" vertical="center"/>
    </xf>
    <xf numFmtId="0" fontId="18" fillId="71" borderId="3" xfId="0" applyFont="1" applyFill="1" applyBorder="1" applyAlignment="1">
      <alignment horizontal="center" vertical="center" wrapText="1"/>
    </xf>
    <xf numFmtId="3" fontId="18" fillId="71" borderId="3" xfId="0" applyNumberFormat="1" applyFont="1" applyFill="1" applyBorder="1" applyAlignment="1">
      <alignment horizontal="center" vertical="center" wrapText="1"/>
    </xf>
    <xf numFmtId="1" fontId="21" fillId="71" borderId="7" xfId="0" applyNumberFormat="1" applyFont="1" applyFill="1" applyBorder="1" applyAlignment="1">
      <alignment horizontal="center" vertical="center" wrapText="1"/>
    </xf>
    <xf numFmtId="3" fontId="21" fillId="71" borderId="29" xfId="0" applyNumberFormat="1" applyFont="1" applyFill="1" applyBorder="1" applyAlignment="1">
      <alignment horizontal="center" vertical="center" wrapText="1"/>
    </xf>
    <xf numFmtId="3" fontId="21" fillId="71" borderId="32" xfId="0" applyNumberFormat="1" applyFont="1" applyFill="1" applyBorder="1" applyAlignment="1">
      <alignment horizontal="center" vertical="center" wrapText="1"/>
    </xf>
    <xf numFmtId="3" fontId="21" fillId="71" borderId="2" xfId="0" applyNumberFormat="1" applyFont="1" applyFill="1" applyBorder="1" applyAlignment="1">
      <alignment horizontal="center" vertical="center" wrapText="1"/>
    </xf>
    <xf numFmtId="3" fontId="21" fillId="71" borderId="75" xfId="0" applyNumberFormat="1" applyFont="1" applyFill="1" applyBorder="1" applyAlignment="1">
      <alignment horizontal="center" vertical="center" wrapText="1"/>
    </xf>
    <xf numFmtId="0" fontId="0" fillId="71" borderId="7" xfId="0" applyFill="1" applyBorder="1"/>
    <xf numFmtId="1" fontId="0" fillId="71" borderId="7" xfId="0" applyNumberFormat="1" applyFill="1" applyBorder="1" applyAlignment="1">
      <alignment horizontal="center"/>
    </xf>
    <xf numFmtId="3" fontId="21" fillId="71" borderId="7" xfId="0" applyNumberFormat="1" applyFont="1" applyFill="1" applyBorder="1" applyAlignment="1">
      <alignment horizontal="center" vertical="center" wrapText="1"/>
    </xf>
    <xf numFmtId="0" fontId="18" fillId="62" borderId="1" xfId="0" applyFont="1" applyFill="1" applyBorder="1" applyAlignment="1">
      <alignment horizontal="center" vertical="center" wrapText="1"/>
    </xf>
    <xf numFmtId="3" fontId="0" fillId="62" borderId="1" xfId="0" applyNumberFormat="1" applyFill="1" applyBorder="1" applyAlignment="1">
      <alignment vertical="center"/>
    </xf>
    <xf numFmtId="3" fontId="64" fillId="7" borderId="7" xfId="0" applyNumberFormat="1" applyFont="1" applyFill="1" applyBorder="1" applyAlignment="1">
      <alignment horizontal="left" vertical="top" wrapText="1"/>
    </xf>
    <xf numFmtId="3" fontId="71" fillId="7" borderId="7" xfId="0" applyNumberFormat="1" applyFont="1" applyFill="1" applyBorder="1" applyAlignment="1">
      <alignment horizontal="left" vertical="top" wrapText="1"/>
    </xf>
    <xf numFmtId="0" fontId="63" fillId="8" borderId="7" xfId="0" applyFont="1" applyFill="1" applyBorder="1" applyAlignment="1">
      <alignment horizontal="left" vertical="top" wrapText="1"/>
    </xf>
    <xf numFmtId="0" fontId="70" fillId="8" borderId="7" xfId="0" applyFont="1" applyFill="1" applyBorder="1" applyAlignment="1">
      <alignment horizontal="left" vertical="top" wrapText="1"/>
    </xf>
    <xf numFmtId="3" fontId="39" fillId="13" borderId="7" xfId="2" applyNumberFormat="1" applyFont="1" applyFill="1" applyBorder="1" applyAlignment="1">
      <alignment horizontal="left" vertical="top" wrapText="1"/>
    </xf>
    <xf numFmtId="3" fontId="39" fillId="13" borderId="14" xfId="2" applyNumberFormat="1" applyFont="1" applyFill="1" applyBorder="1" applyAlignment="1">
      <alignment horizontal="left" vertical="top" wrapText="1"/>
    </xf>
    <xf numFmtId="3" fontId="40" fillId="13" borderId="14" xfId="2" applyNumberFormat="1" applyFont="1" applyFill="1" applyBorder="1" applyAlignment="1">
      <alignment horizontal="left" vertical="top"/>
    </xf>
    <xf numFmtId="3" fontId="39" fillId="13" borderId="14" xfId="2" applyNumberFormat="1" applyFont="1" applyFill="1" applyBorder="1" applyAlignment="1">
      <alignment horizontal="left" vertical="top"/>
    </xf>
    <xf numFmtId="0" fontId="21" fillId="13" borderId="13" xfId="0" applyFont="1" applyFill="1" applyBorder="1" applyAlignment="1">
      <alignment horizontal="center" vertical="top" wrapText="1"/>
    </xf>
    <xf numFmtId="3" fontId="39" fillId="21" borderId="7" xfId="2" applyNumberFormat="1" applyFont="1" applyFill="1" applyBorder="1" applyAlignment="1">
      <alignment horizontal="left" vertical="top" wrapText="1"/>
    </xf>
    <xf numFmtId="3" fontId="39" fillId="21" borderId="14" xfId="2" applyNumberFormat="1" applyFont="1" applyFill="1" applyBorder="1" applyAlignment="1">
      <alignment horizontal="left" vertical="top" wrapText="1"/>
    </xf>
    <xf numFmtId="0" fontId="27" fillId="21" borderId="13" xfId="0" applyFont="1" applyFill="1" applyBorder="1" applyAlignment="1">
      <alignment horizontal="center" vertical="top" wrapText="1"/>
    </xf>
    <xf numFmtId="3" fontId="39" fillId="24" borderId="7" xfId="2" applyNumberFormat="1" applyFont="1" applyFill="1" applyBorder="1" applyAlignment="1">
      <alignment horizontal="left" vertical="top" wrapText="1"/>
    </xf>
    <xf numFmtId="3" fontId="39" fillId="24" borderId="14" xfId="2" applyNumberFormat="1" applyFont="1" applyFill="1" applyBorder="1" applyAlignment="1">
      <alignment horizontal="left" vertical="top" wrapText="1"/>
    </xf>
    <xf numFmtId="0" fontId="27" fillId="17" borderId="28" xfId="0" applyFont="1" applyFill="1" applyBorder="1" applyAlignment="1">
      <alignment horizontal="left" vertical="top" wrapText="1"/>
    </xf>
    <xf numFmtId="3" fontId="28" fillId="0" borderId="7" xfId="0" applyNumberFormat="1" applyFont="1" applyFill="1" applyBorder="1" applyAlignment="1">
      <alignment horizontal="left" vertical="center"/>
    </xf>
    <xf numFmtId="0" fontId="28" fillId="13" borderId="13" xfId="0" applyFont="1" applyFill="1" applyBorder="1" applyAlignment="1">
      <alignment horizontal="center" vertical="top" wrapText="1"/>
    </xf>
    <xf numFmtId="0" fontId="34" fillId="21" borderId="13" xfId="0" applyFont="1" applyFill="1" applyBorder="1" applyAlignment="1">
      <alignment horizontal="left" vertical="top"/>
    </xf>
    <xf numFmtId="1" fontId="38" fillId="0" borderId="4" xfId="0" applyNumberFormat="1" applyFont="1" applyFill="1" applyBorder="1" applyAlignment="1">
      <alignment horizontal="center"/>
    </xf>
    <xf numFmtId="0" fontId="25" fillId="0" borderId="0" xfId="0" applyFont="1" applyFill="1" applyAlignment="1">
      <alignment vertical="center"/>
    </xf>
    <xf numFmtId="0" fontId="38" fillId="0" borderId="7" xfId="0" applyFont="1" applyFill="1" applyBorder="1" applyAlignment="1">
      <alignment vertical="center"/>
    </xf>
    <xf numFmtId="3" fontId="38" fillId="0" borderId="32" xfId="0" applyNumberFormat="1" applyFont="1" applyFill="1" applyBorder="1" applyAlignment="1">
      <alignment vertical="center"/>
    </xf>
    <xf numFmtId="3" fontId="25" fillId="0" borderId="0" xfId="0" applyNumberFormat="1" applyFont="1" applyFill="1" applyAlignment="1">
      <alignment horizontal="center" vertical="center"/>
    </xf>
    <xf numFmtId="0" fontId="22" fillId="6" borderId="7" xfId="0" applyFont="1" applyFill="1" applyBorder="1" applyAlignment="1">
      <alignment horizontal="left" vertical="top" wrapText="1"/>
    </xf>
    <xf numFmtId="0" fontId="22" fillId="6" borderId="7" xfId="0" applyFont="1" applyFill="1" applyBorder="1" applyAlignment="1">
      <alignment horizontal="center" vertical="top" wrapText="1"/>
    </xf>
    <xf numFmtId="0" fontId="18" fillId="8" borderId="7" xfId="0" applyFont="1" applyFill="1" applyBorder="1" applyAlignment="1">
      <alignment horizontal="left" vertical="top" wrapText="1"/>
    </xf>
    <xf numFmtId="0" fontId="18" fillId="10" borderId="7" xfId="0" applyFont="1" applyFill="1" applyBorder="1" applyAlignment="1">
      <alignment horizontal="left" vertical="top" wrapText="1"/>
    </xf>
    <xf numFmtId="0" fontId="22" fillId="13" borderId="7" xfId="0" applyFont="1" applyFill="1" applyBorder="1" applyAlignment="1">
      <alignment horizontal="left" vertical="top" wrapText="1"/>
    </xf>
    <xf numFmtId="0" fontId="22" fillId="14" borderId="7" xfId="0" applyFont="1" applyFill="1" applyBorder="1" applyAlignment="1">
      <alignment horizontal="left" vertical="top" wrapText="1"/>
    </xf>
    <xf numFmtId="0" fontId="22" fillId="24" borderId="7" xfId="0" applyFont="1" applyFill="1" applyBorder="1" applyAlignment="1">
      <alignment horizontal="left" vertical="top" wrapText="1"/>
    </xf>
    <xf numFmtId="0" fontId="28" fillId="0" borderId="0" xfId="0" applyFont="1" applyAlignment="1">
      <alignment horizontal="right"/>
    </xf>
    <xf numFmtId="0" fontId="0" fillId="5" borderId="0" xfId="0" applyFill="1" applyBorder="1" applyAlignment="1">
      <alignment horizontal="center"/>
    </xf>
    <xf numFmtId="0" fontId="0" fillId="5" borderId="19" xfId="0" applyFill="1" applyBorder="1" applyAlignment="1">
      <alignment horizontal="center"/>
    </xf>
    <xf numFmtId="169" fontId="17" fillId="0" borderId="2" xfId="0" applyNumberFormat="1" applyFont="1" applyFill="1" applyBorder="1" applyAlignment="1">
      <alignment horizontal="center" vertical="center"/>
    </xf>
    <xf numFmtId="169" fontId="21" fillId="71" borderId="32" xfId="0" applyNumberFormat="1" applyFont="1" applyFill="1" applyBorder="1" applyAlignment="1">
      <alignment horizontal="center" vertical="center" wrapText="1"/>
    </xf>
    <xf numFmtId="3" fontId="0" fillId="71" borderId="32" xfId="0" applyNumberFormat="1" applyFill="1" applyBorder="1" applyAlignment="1">
      <alignment horizontal="center" vertical="center"/>
    </xf>
    <xf numFmtId="3" fontId="0" fillId="71" borderId="53" xfId="0" applyNumberFormat="1" applyFill="1" applyBorder="1" applyAlignment="1">
      <alignment horizontal="center" vertical="center"/>
    </xf>
    <xf numFmtId="168" fontId="0" fillId="0" borderId="0" xfId="0" applyNumberFormat="1"/>
    <xf numFmtId="3" fontId="21" fillId="4" borderId="22" xfId="0" applyNumberFormat="1" applyFont="1" applyFill="1" applyBorder="1" applyAlignment="1">
      <alignment horizontal="center" vertical="center" wrapText="1"/>
    </xf>
    <xf numFmtId="1" fontId="28" fillId="4" borderId="14" xfId="0" applyNumberFormat="1" applyFont="1" applyFill="1" applyBorder="1" applyAlignment="1">
      <alignment horizontal="center" vertical="center" wrapText="1"/>
    </xf>
    <xf numFmtId="3" fontId="21" fillId="0" borderId="22" xfId="0" applyNumberFormat="1" applyFont="1" applyFill="1" applyBorder="1" applyAlignment="1">
      <alignment horizontal="center" vertical="center" wrapText="1"/>
    </xf>
    <xf numFmtId="0" fontId="28" fillId="13" borderId="13" xfId="0" applyFont="1" applyFill="1" applyBorder="1" applyAlignment="1">
      <alignment horizontal="center" vertical="top"/>
    </xf>
    <xf numFmtId="3" fontId="40" fillId="13" borderId="14" xfId="2" applyNumberFormat="1" applyFont="1" applyFill="1" applyBorder="1" applyAlignment="1">
      <alignment horizontal="center" vertical="center"/>
    </xf>
    <xf numFmtId="1" fontId="38" fillId="0" borderId="7" xfId="0" applyNumberFormat="1" applyFont="1" applyFill="1" applyBorder="1" applyAlignment="1">
      <alignment horizontal="center" vertical="center"/>
    </xf>
    <xf numFmtId="0" fontId="27" fillId="6" borderId="7" xfId="0" applyFont="1" applyFill="1" applyBorder="1" applyAlignment="1">
      <alignment horizontal="center" vertic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0" fontId="38" fillId="0" borderId="0" xfId="0" applyFont="1" applyFill="1" applyAlignment="1">
      <alignment vertical="center"/>
    </xf>
    <xf numFmtId="0" fontId="38" fillId="0" borderId="0" xfId="0" applyFont="1" applyAlignment="1">
      <alignment vertical="center"/>
    </xf>
    <xf numFmtId="0" fontId="38" fillId="20" borderId="7" xfId="0" applyFont="1" applyFill="1" applyBorder="1" applyAlignment="1">
      <alignment vertical="center"/>
    </xf>
    <xf numFmtId="0" fontId="38" fillId="0" borderId="82" xfId="0" applyFont="1" applyFill="1" applyBorder="1" applyAlignment="1">
      <alignment vertical="center"/>
    </xf>
    <xf numFmtId="0" fontId="38" fillId="16" borderId="0" xfId="0" applyFont="1" applyFill="1" applyAlignment="1">
      <alignment vertical="center"/>
    </xf>
    <xf numFmtId="171" fontId="17" fillId="0" borderId="0" xfId="0" applyNumberFormat="1" applyFont="1" applyAlignment="1">
      <alignment horizontal="center"/>
    </xf>
    <xf numFmtId="49" fontId="0" fillId="0" borderId="0" xfId="0" applyNumberFormat="1" applyAlignment="1">
      <alignment horizontal="right"/>
    </xf>
    <xf numFmtId="49" fontId="17" fillId="0" borderId="0" xfId="0" applyNumberFormat="1" applyFont="1" applyAlignment="1">
      <alignment horizontal="right"/>
    </xf>
    <xf numFmtId="0" fontId="13" fillId="6" borderId="7" xfId="0" applyFont="1" applyFill="1" applyBorder="1" applyAlignment="1">
      <alignment horizontal="left" vertical="top"/>
    </xf>
    <xf numFmtId="3" fontId="23" fillId="0" borderId="0" xfId="0" applyNumberFormat="1" applyFont="1"/>
    <xf numFmtId="49" fontId="17" fillId="0" borderId="12" xfId="0" applyNumberFormat="1" applyFont="1" applyBorder="1" applyAlignment="1">
      <alignment horizontal="right"/>
    </xf>
    <xf numFmtId="0" fontId="17" fillId="0" borderId="2" xfId="0" applyFont="1" applyFill="1" applyBorder="1" applyAlignment="1">
      <alignment horizontal="center"/>
    </xf>
    <xf numFmtId="3" fontId="65" fillId="0" borderId="0" xfId="0" applyNumberFormat="1" applyFont="1" applyAlignment="1">
      <alignment horizontal="center" vertical="center"/>
    </xf>
    <xf numFmtId="3" fontId="65" fillId="23" borderId="9" xfId="1" applyNumberFormat="1" applyFont="1" applyFill="1" applyBorder="1" applyAlignment="1">
      <alignment horizontal="center" vertical="center" wrapText="1"/>
    </xf>
    <xf numFmtId="0" fontId="0" fillId="5" borderId="0" xfId="0" applyFill="1" applyBorder="1" applyAlignment="1">
      <alignment horizontal="center" vertical="center"/>
    </xf>
    <xf numFmtId="0" fontId="0" fillId="5" borderId="19" xfId="0" applyFill="1" applyBorder="1" applyAlignment="1">
      <alignment horizontal="center" vertical="center"/>
    </xf>
    <xf numFmtId="0" fontId="0" fillId="5" borderId="2" xfId="0" applyFill="1" applyBorder="1" applyAlignment="1">
      <alignment horizontal="center" vertical="center"/>
    </xf>
    <xf numFmtId="3" fontId="13" fillId="23" borderId="7" xfId="0" applyNumberFormat="1" applyFont="1" applyFill="1" applyBorder="1" applyAlignment="1">
      <alignment horizontal="center" vertical="center"/>
    </xf>
    <xf numFmtId="3" fontId="13" fillId="0" borderId="14" xfId="0" applyNumberFormat="1" applyFont="1" applyFill="1" applyBorder="1" applyAlignment="1">
      <alignment horizontal="center" vertical="center"/>
    </xf>
    <xf numFmtId="3" fontId="13" fillId="0" borderId="0" xfId="0" applyNumberFormat="1" applyFont="1" applyBorder="1" applyAlignment="1">
      <alignment horizontal="center" vertical="center"/>
    </xf>
    <xf numFmtId="3" fontId="13" fillId="0" borderId="25" xfId="0" applyNumberFormat="1" applyFont="1" applyBorder="1" applyAlignment="1">
      <alignment horizontal="center" vertical="center"/>
    </xf>
    <xf numFmtId="3" fontId="13" fillId="0" borderId="0" xfId="0" applyNumberFormat="1" applyFont="1" applyAlignment="1">
      <alignment horizontal="center" vertical="center"/>
    </xf>
    <xf numFmtId="0" fontId="13" fillId="0" borderId="2" xfId="0" applyFont="1" applyFill="1" applyBorder="1" applyAlignment="1">
      <alignment horizontal="center"/>
    </xf>
    <xf numFmtId="0" fontId="17" fillId="0" borderId="0" xfId="0" applyFont="1" applyFill="1"/>
    <xf numFmtId="3" fontId="20" fillId="18" borderId="29" xfId="1" applyNumberFormat="1" applyFont="1" applyFill="1" applyBorder="1" applyAlignment="1">
      <alignment horizontal="center" vertical="center" wrapText="1"/>
    </xf>
    <xf numFmtId="0" fontId="17" fillId="4" borderId="3" xfId="0" applyFont="1" applyFill="1" applyBorder="1" applyAlignment="1">
      <alignment horizontal="left" wrapText="1"/>
    </xf>
    <xf numFmtId="0" fontId="18" fillId="4" borderId="87" xfId="0" applyFont="1" applyFill="1" applyBorder="1" applyAlignment="1">
      <alignment horizontal="center" vertical="center" wrapText="1"/>
    </xf>
    <xf numFmtId="0" fontId="21" fillId="4" borderId="7" xfId="0" applyFont="1" applyFill="1" applyBorder="1" applyAlignment="1">
      <alignment horizontal="center" wrapText="1"/>
    </xf>
    <xf numFmtId="3" fontId="18" fillId="18" borderId="7" xfId="0" applyNumberFormat="1" applyFont="1" applyFill="1" applyBorder="1" applyAlignment="1">
      <alignment horizontal="center"/>
    </xf>
    <xf numFmtId="3" fontId="29" fillId="7" borderId="3" xfId="0" applyNumberFormat="1" applyFont="1" applyFill="1" applyBorder="1" applyAlignment="1">
      <alignment horizontal="left" vertical="top" wrapText="1"/>
    </xf>
    <xf numFmtId="0" fontId="21" fillId="4" borderId="0" xfId="0" applyFont="1" applyFill="1" applyBorder="1" applyAlignment="1">
      <alignment horizontal="center" vertical="center" wrapText="1"/>
    </xf>
    <xf numFmtId="3" fontId="38" fillId="0" borderId="7" xfId="0" applyNumberFormat="1" applyFont="1" applyFill="1" applyBorder="1" applyAlignment="1"/>
    <xf numFmtId="0" fontId="17" fillId="0" borderId="13" xfId="0" applyFont="1" applyFill="1" applyBorder="1" applyAlignment="1">
      <alignment horizontal="left"/>
    </xf>
    <xf numFmtId="0" fontId="38" fillId="0" borderId="13" xfId="0" applyFont="1" applyFill="1" applyBorder="1" applyAlignment="1">
      <alignment horizontal="center" vertical="center"/>
    </xf>
    <xf numFmtId="3" fontId="38" fillId="0" borderId="7" xfId="0" applyNumberFormat="1" applyFont="1" applyFill="1" applyBorder="1" applyAlignment="1">
      <alignment horizontal="right" vertical="center"/>
    </xf>
    <xf numFmtId="3" fontId="23" fillId="0" borderId="2" xfId="0" applyNumberFormat="1" applyFont="1" applyFill="1" applyBorder="1" applyAlignment="1">
      <alignment horizontal="center" vertical="center"/>
    </xf>
    <xf numFmtId="3" fontId="23" fillId="0" borderId="29" xfId="0" applyNumberFormat="1" applyFont="1" applyFill="1" applyBorder="1" applyAlignment="1">
      <alignment horizontal="center" vertical="center"/>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10" fontId="28" fillId="0" borderId="1" xfId="0" applyNumberFormat="1" applyFont="1" applyFill="1" applyBorder="1" applyAlignment="1">
      <alignment horizontal="right" vertical="center"/>
    </xf>
    <xf numFmtId="10" fontId="21" fillId="62" borderId="1" xfId="0" applyNumberFormat="1" applyFont="1" applyFill="1" applyBorder="1" applyAlignment="1">
      <alignment horizontal="right" vertical="center"/>
    </xf>
    <xf numFmtId="169" fontId="28" fillId="0" borderId="32" xfId="0" applyNumberFormat="1" applyFont="1" applyFill="1" applyBorder="1" applyAlignment="1">
      <alignment horizontal="center" vertical="center" wrapText="1"/>
    </xf>
    <xf numFmtId="173" fontId="18" fillId="62" borderId="1" xfId="0" applyNumberFormat="1" applyFont="1" applyFill="1" applyBorder="1" applyAlignment="1">
      <alignment vertical="center"/>
    </xf>
    <xf numFmtId="0" fontId="17" fillId="0" borderId="3" xfId="0" applyFont="1" applyFill="1" applyBorder="1" applyAlignment="1">
      <alignment horizontal="center"/>
    </xf>
    <xf numFmtId="3" fontId="33" fillId="7" borderId="32" xfId="0" applyNumberFormat="1" applyFont="1" applyFill="1" applyBorder="1" applyAlignment="1">
      <alignment horizontal="left" vertical="center"/>
    </xf>
    <xf numFmtId="0" fontId="13" fillId="8" borderId="32" xfId="0" applyFont="1" applyFill="1" applyBorder="1" applyAlignment="1">
      <alignment horizontal="left" vertical="center"/>
    </xf>
    <xf numFmtId="0" fontId="13" fillId="15" borderId="32" xfId="0" applyFont="1" applyFill="1" applyBorder="1" applyAlignment="1">
      <alignment horizontal="left" vertical="center"/>
    </xf>
    <xf numFmtId="1" fontId="13" fillId="15" borderId="3" xfId="0" applyNumberFormat="1" applyFont="1" applyFill="1" applyBorder="1" applyAlignment="1">
      <alignment horizontal="left" vertical="center" wrapText="1"/>
    </xf>
    <xf numFmtId="10" fontId="28" fillId="0" borderId="1" xfId="0" applyNumberFormat="1" applyFont="1" applyFill="1" applyBorder="1" applyAlignment="1">
      <alignment horizontal="right" vertical="center"/>
    </xf>
    <xf numFmtId="3" fontId="39" fillId="0" borderId="4" xfId="2" applyNumberFormat="1" applyFont="1" applyFill="1" applyBorder="1" applyAlignment="1">
      <alignment horizontal="left" vertical="top" wrapText="1"/>
    </xf>
    <xf numFmtId="3" fontId="39" fillId="13" borderId="13" xfId="2" applyNumberFormat="1" applyFont="1" applyFill="1" applyBorder="1" applyAlignment="1">
      <alignment horizontal="left" vertical="top" wrapText="1"/>
    </xf>
    <xf numFmtId="3" fontId="39" fillId="13" borderId="32" xfId="2" applyNumberFormat="1" applyFont="1" applyFill="1" applyBorder="1" applyAlignment="1">
      <alignment horizontal="left" vertical="top" wrapText="1"/>
    </xf>
    <xf numFmtId="3" fontId="21" fillId="0" borderId="7" xfId="0" applyNumberFormat="1" applyFont="1" applyFill="1" applyBorder="1" applyAlignment="1">
      <alignment horizontal="left" vertical="center" wrapText="1"/>
    </xf>
    <xf numFmtId="173" fontId="0" fillId="0" borderId="1" xfId="0" applyNumberFormat="1" applyFill="1" applyBorder="1" applyAlignment="1">
      <alignment vertical="center"/>
    </xf>
    <xf numFmtId="3" fontId="0" fillId="0" borderId="1" xfId="0" applyNumberFormat="1" applyFill="1" applyBorder="1" applyAlignment="1">
      <alignment vertical="center"/>
    </xf>
    <xf numFmtId="1" fontId="38" fillId="0" borderId="2" xfId="0" applyNumberFormat="1" applyFont="1" applyFill="1" applyBorder="1" applyAlignment="1">
      <alignment horizontal="center"/>
    </xf>
    <xf numFmtId="0" fontId="0" fillId="0" borderId="2" xfId="0" applyFill="1" applyBorder="1" applyAlignment="1">
      <alignment horizontal="center" vertical="center"/>
    </xf>
    <xf numFmtId="3" fontId="34"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xf>
    <xf numFmtId="1" fontId="0" fillId="0" borderId="7" xfId="0" applyNumberFormat="1" applyFill="1" applyBorder="1" applyAlignment="1">
      <alignment vertical="center"/>
    </xf>
    <xf numFmtId="0" fontId="13" fillId="0" borderId="7" xfId="0" applyFont="1" applyFill="1" applyBorder="1" applyAlignment="1" applyProtection="1">
      <alignment horizontal="left" vertical="center"/>
      <protection locked="0"/>
    </xf>
    <xf numFmtId="3" fontId="38" fillId="0" borderId="7" xfId="0" applyNumberFormat="1" applyFont="1" applyFill="1" applyBorder="1" applyAlignment="1">
      <alignment vertical="center"/>
    </xf>
    <xf numFmtId="0" fontId="23" fillId="23" borderId="13" xfId="0" applyFont="1" applyFill="1" applyBorder="1"/>
    <xf numFmtId="0" fontId="23" fillId="23" borderId="7" xfId="0" applyFont="1" applyFill="1" applyBorder="1" applyAlignment="1">
      <alignment horizontal="left"/>
    </xf>
    <xf numFmtId="1" fontId="23" fillId="23" borderId="7" xfId="0" applyNumberFormat="1" applyFont="1" applyFill="1" applyBorder="1" applyAlignment="1">
      <alignment horizontal="left"/>
    </xf>
    <xf numFmtId="1" fontId="23" fillId="23" borderId="7" xfId="0" applyNumberFormat="1" applyFont="1" applyFill="1" applyBorder="1"/>
    <xf numFmtId="3" fontId="23" fillId="23" borderId="32" xfId="0" applyNumberFormat="1" applyFont="1" applyFill="1" applyBorder="1"/>
    <xf numFmtId="3" fontId="33" fillId="7" borderId="13" xfId="0" applyNumberFormat="1" applyFont="1" applyFill="1" applyBorder="1" applyAlignment="1">
      <alignment horizontal="center" vertical="center"/>
    </xf>
    <xf numFmtId="3" fontId="33" fillId="7" borderId="53" xfId="0" applyNumberFormat="1" applyFont="1" applyFill="1" applyBorder="1" applyAlignment="1">
      <alignment horizontal="center" vertical="center"/>
    </xf>
    <xf numFmtId="0" fontId="10" fillId="0" borderId="0" xfId="50" applyFill="1" applyBorder="1"/>
    <xf numFmtId="3" fontId="13" fillId="15" borderId="13" xfId="0" applyNumberFormat="1" applyFont="1" applyFill="1" applyBorder="1" applyAlignment="1">
      <alignment horizontal="center" vertical="center"/>
    </xf>
    <xf numFmtId="3" fontId="13" fillId="15" borderId="32" xfId="0" applyNumberFormat="1" applyFont="1" applyFill="1" applyBorder="1" applyAlignment="1">
      <alignment horizontal="center" vertical="center"/>
    </xf>
    <xf numFmtId="0" fontId="41" fillId="9" borderId="71" xfId="0" applyFont="1" applyFill="1" applyBorder="1" applyAlignment="1">
      <alignment wrapText="1"/>
    </xf>
    <xf numFmtId="3" fontId="41" fillId="9" borderId="8" xfId="1" applyNumberFormat="1" applyFont="1" applyFill="1" applyBorder="1" applyAlignment="1">
      <alignment horizontal="center" wrapText="1"/>
    </xf>
    <xf numFmtId="167" fontId="41" fillId="9" borderId="8" xfId="1" applyNumberFormat="1" applyFont="1" applyFill="1" applyBorder="1" applyAlignment="1">
      <alignment horizontal="center" wrapText="1"/>
    </xf>
    <xf numFmtId="167" fontId="41" fillId="9" borderId="9" xfId="1" applyNumberFormat="1" applyFont="1" applyFill="1" applyBorder="1" applyAlignment="1">
      <alignment horizontal="center" wrapText="1"/>
    </xf>
    <xf numFmtId="1" fontId="41" fillId="9" borderId="84" xfId="1" applyNumberFormat="1" applyFont="1" applyFill="1" applyBorder="1" applyAlignment="1">
      <alignment horizontal="center" wrapText="1"/>
    </xf>
    <xf numFmtId="1" fontId="41" fillId="9" borderId="9" xfId="1" applyNumberFormat="1" applyFont="1" applyFill="1" applyBorder="1" applyAlignment="1">
      <alignment horizontal="center" wrapText="1"/>
    </xf>
    <xf numFmtId="3" fontId="41" fillId="9" borderId="9" xfId="1" applyNumberFormat="1" applyFont="1" applyFill="1" applyBorder="1" applyAlignment="1">
      <alignment horizontal="center" wrapText="1"/>
    </xf>
    <xf numFmtId="1" fontId="41" fillId="9" borderId="8" xfId="1" applyNumberFormat="1" applyFont="1" applyFill="1" applyBorder="1" applyAlignment="1">
      <alignment horizontal="center" wrapText="1"/>
    </xf>
    <xf numFmtId="166" fontId="41" fillId="9" borderId="8" xfId="1" applyNumberFormat="1" applyFont="1" applyFill="1" applyBorder="1" applyAlignment="1">
      <alignment horizontal="center" wrapText="1"/>
    </xf>
    <xf numFmtId="1" fontId="41" fillId="9" borderId="43" xfId="1" applyNumberFormat="1" applyFont="1" applyFill="1" applyBorder="1" applyAlignment="1">
      <alignment horizontal="center" wrapText="1"/>
    </xf>
    <xf numFmtId="1" fontId="41" fillId="9" borderId="10" xfId="1" applyNumberFormat="1" applyFont="1" applyFill="1" applyBorder="1" applyAlignment="1">
      <alignment horizontal="center" wrapText="1"/>
    </xf>
    <xf numFmtId="0" fontId="38" fillId="0" borderId="81" xfId="0" applyFont="1" applyBorder="1"/>
    <xf numFmtId="0" fontId="38" fillId="0" borderId="82" xfId="0" applyFont="1" applyBorder="1" applyAlignment="1">
      <alignment horizontal="left"/>
    </xf>
    <xf numFmtId="1" fontId="38" fillId="0" borderId="82" xfId="0" applyNumberFormat="1" applyFont="1" applyBorder="1" applyAlignment="1">
      <alignment horizontal="left"/>
    </xf>
    <xf numFmtId="1" fontId="38" fillId="0" borderId="82" xfId="0" applyNumberFormat="1" applyFont="1" applyBorder="1"/>
    <xf numFmtId="3" fontId="41" fillId="9" borderId="34" xfId="1" applyNumberFormat="1" applyFont="1" applyFill="1" applyBorder="1" applyAlignment="1">
      <alignment horizontal="center" wrapText="1"/>
    </xf>
    <xf numFmtId="3" fontId="41" fillId="9" borderId="72" xfId="1" applyNumberFormat="1" applyFont="1" applyFill="1" applyBorder="1" applyAlignment="1">
      <alignment horizontal="center" wrapText="1"/>
    </xf>
    <xf numFmtId="3" fontId="22" fillId="22" borderId="32" xfId="0" applyNumberFormat="1" applyFont="1" applyFill="1" applyBorder="1" applyAlignment="1">
      <alignment horizontal="center" vertical="center"/>
    </xf>
    <xf numFmtId="3" fontId="41" fillId="11" borderId="29" xfId="0" applyNumberFormat="1" applyFont="1" applyFill="1" applyBorder="1" applyAlignment="1">
      <alignment horizontal="center" vertical="center" wrapText="1"/>
    </xf>
    <xf numFmtId="3" fontId="41" fillId="11" borderId="75" xfId="0" applyNumberFormat="1" applyFont="1" applyFill="1" applyBorder="1" applyAlignment="1">
      <alignment horizontal="center" vertical="center" wrapText="1"/>
    </xf>
    <xf numFmtId="3" fontId="41" fillId="22" borderId="7" xfId="0" applyNumberFormat="1" applyFont="1" applyFill="1" applyBorder="1" applyAlignment="1">
      <alignment horizontal="center" vertical="center"/>
    </xf>
    <xf numFmtId="3" fontId="41" fillId="22" borderId="32" xfId="0" applyNumberFormat="1" applyFont="1" applyFill="1" applyBorder="1" applyAlignment="1">
      <alignment horizontal="center" vertical="center"/>
    </xf>
    <xf numFmtId="3" fontId="41" fillId="19" borderId="49" xfId="0" applyNumberFormat="1" applyFont="1" applyFill="1" applyBorder="1" applyAlignment="1">
      <alignment horizontal="center" vertical="center"/>
    </xf>
    <xf numFmtId="3" fontId="41" fillId="19" borderId="55" xfId="0" applyNumberFormat="1" applyFont="1" applyFill="1" applyBorder="1" applyAlignment="1">
      <alignment horizontal="center" vertical="center"/>
    </xf>
    <xf numFmtId="3" fontId="38" fillId="16" borderId="0" xfId="0" applyNumberFormat="1" applyFont="1" applyFill="1" applyAlignment="1">
      <alignment horizontal="center"/>
    </xf>
    <xf numFmtId="3" fontId="38" fillId="0" borderId="7" xfId="0" applyNumberFormat="1" applyFont="1" applyFill="1" applyBorder="1" applyAlignment="1">
      <alignment horizontal="left" vertical="center"/>
    </xf>
    <xf numFmtId="0" fontId="37" fillId="5" borderId="69" xfId="0" applyFont="1" applyFill="1" applyBorder="1" applyAlignment="1">
      <alignment horizontal="center" vertical="center" wrapText="1"/>
    </xf>
    <xf numFmtId="0" fontId="0" fillId="18" borderId="0" xfId="0" applyFill="1" applyBorder="1" applyAlignment="1">
      <alignment horizontal="center" vertical="center" wrapText="1"/>
    </xf>
    <xf numFmtId="0" fontId="3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3" fontId="41" fillId="0" borderId="0" xfId="0" applyNumberFormat="1" applyFont="1" applyFill="1" applyBorder="1" applyAlignment="1">
      <alignment horizontal="center" vertical="center" wrapText="1"/>
    </xf>
    <xf numFmtId="3" fontId="23" fillId="0" borderId="19" xfId="0" applyNumberFormat="1" applyFont="1" applyFill="1" applyBorder="1" applyAlignment="1">
      <alignment horizontal="center" vertical="center"/>
    </xf>
    <xf numFmtId="3" fontId="21" fillId="0" borderId="2" xfId="1" applyNumberFormat="1" applyFont="1" applyFill="1" applyBorder="1" applyAlignment="1">
      <alignment horizontal="center" vertical="center" wrapText="1"/>
    </xf>
    <xf numFmtId="3" fontId="30" fillId="0" borderId="2" xfId="0" applyNumberFormat="1" applyFont="1" applyFill="1" applyBorder="1" applyAlignment="1">
      <alignment horizontal="left" vertical="center" wrapText="1"/>
    </xf>
    <xf numFmtId="3" fontId="41" fillId="0" borderId="4"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 fontId="0" fillId="0" borderId="0" xfId="0" applyNumberFormat="1" applyFill="1" applyAlignment="1">
      <alignment horizontal="center" vertical="center"/>
    </xf>
    <xf numFmtId="3" fontId="0" fillId="0" borderId="97" xfId="0" applyNumberFormat="1" applyFill="1" applyBorder="1" applyAlignment="1">
      <alignment horizontal="center" vertical="center"/>
    </xf>
    <xf numFmtId="3" fontId="0" fillId="0" borderId="98" xfId="0" applyNumberForma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3" fontId="62" fillId="0" borderId="12" xfId="0" applyNumberFormat="1" applyFont="1" applyFill="1" applyBorder="1" applyAlignment="1">
      <alignment horizontal="center" vertical="center" wrapText="1"/>
    </xf>
    <xf numFmtId="0" fontId="23" fillId="0" borderId="21" xfId="0" applyFont="1" applyFill="1" applyBorder="1" applyAlignment="1">
      <alignment horizontal="center" vertical="center"/>
    </xf>
    <xf numFmtId="0" fontId="0" fillId="0" borderId="97" xfId="0" applyFill="1" applyBorder="1" applyAlignment="1">
      <alignment horizontal="center" vertical="center"/>
    </xf>
    <xf numFmtId="3" fontId="21" fillId="0" borderId="97" xfId="0" applyNumberFormat="1" applyFont="1" applyFill="1" applyBorder="1" applyAlignment="1">
      <alignment horizontal="center" vertical="center" wrapText="1"/>
    </xf>
    <xf numFmtId="0" fontId="23" fillId="0" borderId="97" xfId="0" applyFont="1" applyFill="1" applyBorder="1" applyAlignment="1">
      <alignment horizontal="center" vertical="center"/>
    </xf>
    <xf numFmtId="3" fontId="41" fillId="0" borderId="25" xfId="1" applyNumberFormat="1" applyFont="1" applyFill="1" applyBorder="1" applyAlignment="1">
      <alignment horizontal="center" vertical="center" wrapText="1"/>
    </xf>
    <xf numFmtId="3" fontId="18" fillId="0" borderId="0" xfId="0" applyNumberFormat="1" applyFont="1" applyFill="1" applyBorder="1" applyAlignment="1">
      <alignment horizontal="center" vertical="center"/>
    </xf>
    <xf numFmtId="0" fontId="0" fillId="0" borderId="0" xfId="0" applyFill="1" applyAlignment="1">
      <alignment horizontal="center" vertical="center"/>
    </xf>
    <xf numFmtId="3" fontId="17" fillId="5" borderId="2" xfId="0" applyNumberFormat="1" applyFont="1" applyFill="1" applyBorder="1" applyAlignment="1">
      <alignment horizontal="center" vertical="center" wrapText="1"/>
    </xf>
    <xf numFmtId="3" fontId="17" fillId="5" borderId="1" xfId="0" applyNumberFormat="1" applyFont="1" applyFill="1" applyBorder="1" applyAlignment="1">
      <alignment horizontal="center" vertical="center" wrapText="1"/>
    </xf>
    <xf numFmtId="3" fontId="17" fillId="25" borderId="5" xfId="0" applyNumberFormat="1" applyFont="1" applyFill="1" applyBorder="1" applyAlignment="1">
      <alignment horizontal="center" vertical="center" wrapText="1"/>
    </xf>
    <xf numFmtId="3" fontId="17" fillId="9" borderId="3" xfId="0" applyNumberFormat="1" applyFont="1" applyFill="1" applyBorder="1" applyAlignment="1">
      <alignment horizontal="center" vertical="center" wrapText="1"/>
    </xf>
    <xf numFmtId="3" fontId="23" fillId="23" borderId="3" xfId="0" applyNumberFormat="1" applyFont="1" applyFill="1" applyBorder="1" applyAlignment="1">
      <alignment horizontal="center" vertical="center" wrapText="1"/>
    </xf>
    <xf numFmtId="3" fontId="17" fillId="23" borderId="3" xfId="0" applyNumberFormat="1" applyFont="1" applyFill="1" applyBorder="1" applyAlignment="1">
      <alignment horizontal="center" vertical="center"/>
    </xf>
    <xf numFmtId="3" fontId="17" fillId="4" borderId="3" xfId="0" applyNumberFormat="1" applyFont="1" applyFill="1" applyBorder="1" applyAlignment="1">
      <alignment horizontal="center" vertical="center" wrapText="1"/>
    </xf>
    <xf numFmtId="3" fontId="17" fillId="23" borderId="3" xfId="0" applyNumberFormat="1" applyFont="1" applyFill="1" applyBorder="1" applyAlignment="1">
      <alignment horizontal="center" vertical="center" wrapText="1"/>
    </xf>
    <xf numFmtId="3" fontId="23" fillId="22" borderId="3" xfId="0" applyNumberFormat="1" applyFont="1" applyFill="1" applyBorder="1" applyAlignment="1">
      <alignment horizontal="center" vertical="center" wrapText="1"/>
    </xf>
    <xf numFmtId="3" fontId="13" fillId="13" borderId="7" xfId="0" applyNumberFormat="1" applyFont="1" applyFill="1" applyBorder="1" applyAlignment="1">
      <alignment horizontal="left" vertical="center"/>
    </xf>
    <xf numFmtId="3" fontId="13" fillId="0" borderId="3" xfId="0" applyNumberFormat="1" applyFont="1" applyFill="1" applyBorder="1" applyAlignment="1">
      <alignment horizontal="left" vertical="center"/>
    </xf>
    <xf numFmtId="169" fontId="13" fillId="14" borderId="2" xfId="0" applyNumberFormat="1" applyFont="1" applyFill="1" applyBorder="1" applyAlignment="1">
      <alignment horizontal="left" vertical="center" wrapText="1"/>
    </xf>
    <xf numFmtId="3" fontId="17" fillId="27" borderId="3" xfId="0" applyNumberFormat="1" applyFont="1" applyFill="1" applyBorder="1" applyAlignment="1">
      <alignment horizontal="center" vertical="center" wrapText="1"/>
    </xf>
    <xf numFmtId="3" fontId="13" fillId="24" borderId="3" xfId="0" applyNumberFormat="1" applyFont="1" applyFill="1" applyBorder="1" applyAlignment="1">
      <alignment horizontal="center" vertical="center" wrapText="1"/>
    </xf>
    <xf numFmtId="3" fontId="13" fillId="4" borderId="3"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3" fontId="17" fillId="9" borderId="45"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3" fontId="17" fillId="0" borderId="0" xfId="1" applyNumberFormat="1" applyFont="1" applyBorder="1" applyAlignment="1">
      <alignment horizontal="center" wrapText="1"/>
    </xf>
    <xf numFmtId="3" fontId="17" fillId="0" borderId="0" xfId="1" applyNumberFormat="1" applyFont="1" applyFill="1" applyBorder="1" applyAlignment="1">
      <alignment horizontal="center" vertical="center" wrapText="1"/>
    </xf>
    <xf numFmtId="3" fontId="38" fillId="0" borderId="13" xfId="0" applyNumberFormat="1" applyFont="1" applyFill="1" applyBorder="1" applyAlignment="1">
      <alignment horizontal="center" vertical="center" wrapText="1"/>
    </xf>
    <xf numFmtId="3" fontId="38" fillId="0" borderId="7" xfId="0" applyNumberFormat="1" applyFont="1" applyFill="1" applyBorder="1" applyAlignment="1">
      <alignment horizontal="center" vertical="center" wrapText="1"/>
    </xf>
    <xf numFmtId="0" fontId="28" fillId="13" borderId="13" xfId="0" applyFont="1" applyFill="1" applyBorder="1" applyAlignment="1">
      <alignment horizontal="left" vertical="center" wrapText="1"/>
    </xf>
    <xf numFmtId="0" fontId="22" fillId="15" borderId="7" xfId="0" applyFont="1" applyFill="1" applyBorder="1" applyAlignment="1">
      <alignment horizontal="left" vertical="top" wrapText="1"/>
    </xf>
    <xf numFmtId="3" fontId="41" fillId="9" borderId="49" xfId="0" applyNumberFormat="1" applyFont="1" applyFill="1" applyBorder="1" applyAlignment="1">
      <alignment horizontal="center" vertical="center" wrapText="1"/>
    </xf>
    <xf numFmtId="3" fontId="41" fillId="9" borderId="76" xfId="0" applyNumberFormat="1" applyFont="1" applyFill="1" applyBorder="1" applyAlignment="1">
      <alignment horizontal="center" vertical="center" wrapText="1"/>
    </xf>
    <xf numFmtId="3" fontId="41" fillId="0" borderId="69" xfId="0" applyNumberFormat="1" applyFont="1" applyFill="1" applyBorder="1" applyAlignment="1">
      <alignment horizontal="center" vertical="center" wrapText="1"/>
    </xf>
    <xf numFmtId="3" fontId="38" fillId="0" borderId="0" xfId="0" applyNumberFormat="1" applyFont="1" applyFill="1" applyBorder="1" applyAlignment="1">
      <alignment horizontal="center" vertical="center"/>
    </xf>
    <xf numFmtId="3" fontId="38" fillId="0" borderId="69" xfId="0" applyNumberFormat="1" applyFont="1" applyFill="1" applyBorder="1" applyAlignment="1">
      <alignment horizontal="center" vertical="center"/>
    </xf>
    <xf numFmtId="3" fontId="38" fillId="0" borderId="0" xfId="0" applyNumberFormat="1" applyFont="1" applyBorder="1" applyAlignment="1">
      <alignment horizontal="center" vertical="center"/>
    </xf>
    <xf numFmtId="3" fontId="38" fillId="0" borderId="69" xfId="0" applyNumberFormat="1" applyFont="1" applyBorder="1" applyAlignment="1">
      <alignment horizontal="center" vertical="center"/>
    </xf>
    <xf numFmtId="166" fontId="41" fillId="11" borderId="32" xfId="0" applyNumberFormat="1" applyFont="1" applyFill="1" applyBorder="1" applyAlignment="1">
      <alignment horizontal="center" vertical="center" wrapText="1"/>
    </xf>
    <xf numFmtId="3" fontId="17" fillId="0" borderId="7" xfId="0" applyNumberFormat="1" applyFont="1" applyFill="1" applyBorder="1" applyAlignment="1">
      <alignment horizontal="right"/>
    </xf>
    <xf numFmtId="167" fontId="21" fillId="16" borderId="102" xfId="1" applyNumberFormat="1" applyFont="1" applyFill="1" applyBorder="1" applyAlignment="1">
      <alignment horizontal="center" wrapText="1"/>
    </xf>
    <xf numFmtId="0" fontId="21" fillId="16" borderId="102" xfId="0" applyFont="1" applyFill="1" applyBorder="1" applyAlignment="1">
      <alignment wrapText="1"/>
    </xf>
    <xf numFmtId="0" fontId="21" fillId="10" borderId="102" xfId="0" applyFont="1" applyFill="1" applyBorder="1" applyAlignment="1">
      <alignment wrapText="1"/>
    </xf>
    <xf numFmtId="167" fontId="21" fillId="0" borderId="102" xfId="1" applyNumberFormat="1" applyFont="1" applyFill="1" applyBorder="1" applyAlignment="1">
      <alignment horizontal="center" wrapText="1"/>
    </xf>
    <xf numFmtId="0" fontId="21" fillId="11" borderId="102" xfId="0" applyFont="1" applyFill="1" applyBorder="1" applyAlignment="1">
      <alignment horizontal="center" vertical="center" wrapText="1"/>
    </xf>
    <xf numFmtId="10" fontId="21" fillId="0" borderId="102" xfId="1" applyNumberFormat="1" applyFont="1" applyFill="1" applyBorder="1" applyAlignment="1">
      <alignment horizontal="center" vertical="center" wrapText="1"/>
    </xf>
    <xf numFmtId="167" fontId="18" fillId="0" borderId="102" xfId="1" applyNumberFormat="1" applyFont="1" applyBorder="1" applyAlignment="1">
      <alignment wrapText="1"/>
    </xf>
    <xf numFmtId="0" fontId="21" fillId="0" borderId="102" xfId="0" applyFont="1" applyFill="1" applyBorder="1" applyAlignment="1">
      <alignment wrapText="1"/>
    </xf>
    <xf numFmtId="0" fontId="28" fillId="0" borderId="102" xfId="0" applyFont="1" applyFill="1" applyBorder="1"/>
    <xf numFmtId="167" fontId="21" fillId="16" borderId="102" xfId="1" applyNumberFormat="1" applyFont="1" applyFill="1" applyBorder="1" applyAlignment="1">
      <alignment horizontal="center" vertical="center" wrapText="1"/>
    </xf>
    <xf numFmtId="167" fontId="21" fillId="16" borderId="102" xfId="1" applyNumberFormat="1" applyFont="1" applyFill="1" applyBorder="1" applyAlignment="1">
      <alignment horizontal="left" wrapText="1"/>
    </xf>
    <xf numFmtId="167" fontId="21" fillId="16" borderId="102" xfId="1" applyNumberFormat="1" applyFont="1" applyFill="1" applyBorder="1" applyAlignment="1">
      <alignment horizontal="left"/>
    </xf>
    <xf numFmtId="167" fontId="28" fillId="16" borderId="102" xfId="1" applyNumberFormat="1" applyFont="1" applyFill="1" applyBorder="1" applyAlignment="1">
      <alignment horizontal="left" wrapText="1"/>
    </xf>
    <xf numFmtId="0" fontId="21" fillId="16" borderId="102" xfId="0" applyFont="1" applyFill="1" applyBorder="1"/>
    <xf numFmtId="0" fontId="28" fillId="16" borderId="102" xfId="0" applyFont="1" applyFill="1" applyBorder="1"/>
    <xf numFmtId="168" fontId="28" fillId="16" borderId="102" xfId="0" applyNumberFormat="1" applyFont="1" applyFill="1" applyBorder="1" applyAlignment="1">
      <alignment wrapText="1"/>
    </xf>
    <xf numFmtId="0" fontId="28" fillId="16" borderId="102" xfId="0" applyFont="1" applyFill="1" applyBorder="1" applyAlignment="1">
      <alignment wrapText="1"/>
    </xf>
    <xf numFmtId="0" fontId="28" fillId="16" borderId="102" xfId="0" applyFont="1" applyFill="1" applyBorder="1" applyAlignment="1">
      <alignment horizontal="center"/>
    </xf>
    <xf numFmtId="0" fontId="28" fillId="16" borderId="103" xfId="0" applyFont="1" applyFill="1" applyBorder="1"/>
    <xf numFmtId="0" fontId="38" fillId="16" borderId="103" xfId="0" applyFont="1" applyFill="1" applyBorder="1" applyAlignment="1">
      <alignment horizontal="center"/>
    </xf>
    <xf numFmtId="0" fontId="38" fillId="16" borderId="103" xfId="0" applyFont="1" applyFill="1" applyBorder="1" applyAlignment="1">
      <alignment vertical="center"/>
    </xf>
    <xf numFmtId="3" fontId="38" fillId="16" borderId="103" xfId="0" applyNumberFormat="1" applyFont="1" applyFill="1" applyBorder="1"/>
    <xf numFmtId="1" fontId="38" fillId="16" borderId="103" xfId="0" applyNumberFormat="1" applyFont="1" applyFill="1" applyBorder="1" applyAlignment="1">
      <alignment horizontal="center"/>
    </xf>
    <xf numFmtId="3" fontId="38" fillId="16" borderId="103" xfId="0" applyNumberFormat="1" applyFont="1" applyFill="1" applyBorder="1" applyAlignment="1">
      <alignment horizontal="right"/>
    </xf>
    <xf numFmtId="0" fontId="38" fillId="16" borderId="103" xfId="0" applyFont="1" applyFill="1" applyBorder="1"/>
    <xf numFmtId="0" fontId="28" fillId="0" borderId="103" xfId="0" applyFont="1" applyBorder="1"/>
    <xf numFmtId="0" fontId="38" fillId="0" borderId="103" xfId="0" applyFont="1" applyBorder="1" applyAlignment="1">
      <alignment horizontal="center"/>
    </xf>
    <xf numFmtId="0" fontId="38" fillId="0" borderId="103" xfId="0" applyFont="1" applyBorder="1" applyAlignment="1">
      <alignment vertical="center"/>
    </xf>
    <xf numFmtId="3" fontId="38" fillId="0" borderId="103" xfId="0" applyNumberFormat="1" applyFont="1" applyBorder="1"/>
    <xf numFmtId="1" fontId="38" fillId="0" borderId="103" xfId="0" applyNumberFormat="1" applyFont="1" applyBorder="1" applyAlignment="1">
      <alignment horizontal="center"/>
    </xf>
    <xf numFmtId="3" fontId="38" fillId="0" borderId="103" xfId="0" applyNumberFormat="1" applyFont="1" applyBorder="1" applyAlignment="1">
      <alignment horizontal="right"/>
    </xf>
    <xf numFmtId="0" fontId="38" fillId="0" borderId="103" xfId="0" applyFont="1" applyBorder="1"/>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38" fillId="0" borderId="29" xfId="0" applyNumberFormat="1" applyFont="1" applyFill="1" applyBorder="1" applyAlignment="1">
      <alignment horizontal="center" vertical="center" wrapText="1"/>
    </xf>
    <xf numFmtId="0" fontId="28" fillId="0" borderId="102" xfId="0" applyFont="1" applyFill="1" applyBorder="1" applyAlignment="1">
      <alignment vertical="center" wrapText="1"/>
    </xf>
    <xf numFmtId="0" fontId="28" fillId="0" borderId="0" xfId="0" applyFont="1" applyFill="1" applyAlignment="1">
      <alignment vertical="center" wrapText="1"/>
    </xf>
    <xf numFmtId="0" fontId="38" fillId="0" borderId="0" xfId="0" applyFont="1" applyFill="1" applyAlignment="1">
      <alignment horizontal="center" vertical="center" wrapText="1"/>
    </xf>
    <xf numFmtId="0" fontId="38" fillId="0" borderId="0" xfId="0" applyFont="1" applyFill="1" applyAlignment="1">
      <alignment vertical="center" wrapText="1"/>
    </xf>
    <xf numFmtId="3" fontId="38" fillId="0" borderId="0" xfId="0" applyNumberFormat="1" applyFont="1" applyFill="1" applyAlignment="1">
      <alignment vertical="center" wrapText="1"/>
    </xf>
    <xf numFmtId="1" fontId="38" fillId="0" borderId="0" xfId="0" applyNumberFormat="1" applyFont="1" applyFill="1" applyAlignment="1">
      <alignment horizontal="center" vertical="center" wrapText="1"/>
    </xf>
    <xf numFmtId="3" fontId="38" fillId="0" borderId="0" xfId="0" applyNumberFormat="1" applyFont="1" applyFill="1" applyAlignment="1">
      <alignment horizontal="right" vertical="center" wrapText="1"/>
    </xf>
    <xf numFmtId="3" fontId="25" fillId="0" borderId="0" xfId="0" applyNumberFormat="1" applyFont="1" applyFill="1" applyAlignment="1">
      <alignment horizontal="center" vertical="center" wrapText="1"/>
    </xf>
    <xf numFmtId="0" fontId="21" fillId="0" borderId="0" xfId="0" applyFont="1" applyFill="1"/>
    <xf numFmtId="3" fontId="21" fillId="0" borderId="0" xfId="0" applyNumberFormat="1" applyFont="1" applyFill="1"/>
    <xf numFmtId="3" fontId="0" fillId="0" borderId="0" xfId="0" applyNumberFormat="1" applyFill="1" applyAlignment="1"/>
    <xf numFmtId="3" fontId="17" fillId="0" borderId="0" xfId="0" applyNumberFormat="1" applyFont="1" applyFill="1" applyAlignment="1"/>
    <xf numFmtId="3" fontId="17" fillId="0" borderId="0" xfId="0" applyNumberFormat="1" applyFont="1" applyFill="1"/>
    <xf numFmtId="0" fontId="17" fillId="0" borderId="0" xfId="0" applyFont="1" applyAlignment="1">
      <alignment vertical="center"/>
    </xf>
    <xf numFmtId="3" fontId="13" fillId="0" borderId="0" xfId="0" applyNumberFormat="1" applyFont="1" applyFill="1"/>
    <xf numFmtId="168" fontId="0" fillId="0" borderId="0" xfId="1" applyNumberFormat="1" applyFont="1" applyFill="1"/>
    <xf numFmtId="1" fontId="38" fillId="0" borderId="4" xfId="0" applyNumberFormat="1" applyFont="1" applyFill="1" applyBorder="1" applyAlignment="1">
      <alignment horizontal="center" vertical="center"/>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0" fillId="25" borderId="32" xfId="0" applyNumberFormat="1" applyFill="1" applyBorder="1"/>
    <xf numFmtId="0" fontId="0" fillId="23" borderId="13" xfId="0" applyFill="1" applyBorder="1" applyAlignment="1">
      <alignment horizontal="center"/>
    </xf>
    <xf numFmtId="0" fontId="0" fillId="23" borderId="7" xfId="0" applyFill="1" applyBorder="1" applyAlignment="1"/>
    <xf numFmtId="1" fontId="0" fillId="23" borderId="7" xfId="0" applyNumberFormat="1" applyFill="1" applyBorder="1" applyAlignment="1"/>
    <xf numFmtId="3" fontId="0" fillId="23" borderId="7" xfId="0" applyNumberFormat="1" applyFill="1" applyBorder="1" applyAlignment="1"/>
    <xf numFmtId="3" fontId="0" fillId="23" borderId="32" xfId="0" applyNumberFormat="1" applyFill="1" applyBorder="1" applyAlignment="1"/>
    <xf numFmtId="1" fontId="38" fillId="0" borderId="0" xfId="0" applyNumberFormat="1" applyFont="1" applyFill="1" applyBorder="1" applyAlignment="1">
      <alignment horizontal="center"/>
    </xf>
    <xf numFmtId="1" fontId="18" fillId="0" borderId="7" xfId="0" applyNumberFormat="1"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1" fontId="18" fillId="0" borderId="23" xfId="0" applyNumberFormat="1" applyFont="1" applyFill="1" applyBorder="1" applyAlignment="1">
      <alignment horizontal="center" vertical="center" wrapText="1"/>
    </xf>
    <xf numFmtId="3" fontId="74" fillId="72" borderId="7" xfId="2" applyNumberFormat="1" applyFont="1" applyFill="1" applyBorder="1" applyAlignment="1">
      <alignment horizontal="left" vertical="top" wrapText="1"/>
    </xf>
    <xf numFmtId="3" fontId="75" fillId="72" borderId="7" xfId="2" applyNumberFormat="1" applyFont="1" applyFill="1" applyBorder="1" applyAlignment="1">
      <alignment horizontal="left" vertical="top"/>
    </xf>
    <xf numFmtId="1" fontId="17" fillId="72" borderId="2" xfId="0" applyNumberFormat="1" applyFont="1" applyFill="1" applyBorder="1" applyAlignment="1">
      <alignment horizontal="left" vertical="center"/>
    </xf>
    <xf numFmtId="1" fontId="18" fillId="72" borderId="3" xfId="0" applyNumberFormat="1" applyFont="1" applyFill="1" applyBorder="1" applyAlignment="1">
      <alignment horizontal="center" vertical="center" wrapText="1"/>
    </xf>
    <xf numFmtId="3" fontId="18" fillId="72" borderId="3" xfId="0" applyNumberFormat="1" applyFont="1" applyFill="1" applyBorder="1" applyAlignment="1">
      <alignment horizontal="center" vertical="center" wrapText="1"/>
    </xf>
    <xf numFmtId="1" fontId="18" fillId="72" borderId="7" xfId="0" applyNumberFormat="1" applyFont="1" applyFill="1" applyBorder="1" applyAlignment="1">
      <alignment horizontal="center" vertical="center" wrapText="1"/>
    </xf>
    <xf numFmtId="3" fontId="18" fillId="72" borderId="7" xfId="0" applyNumberFormat="1" applyFont="1" applyFill="1" applyBorder="1" applyAlignment="1">
      <alignment horizontal="center" vertical="center" wrapText="1"/>
    </xf>
    <xf numFmtId="1" fontId="18" fillId="72" borderId="23" xfId="0" applyNumberFormat="1" applyFont="1" applyFill="1" applyBorder="1" applyAlignment="1">
      <alignment horizontal="center" vertical="center" wrapText="1"/>
    </xf>
    <xf numFmtId="3" fontId="21" fillId="72" borderId="3" xfId="0" applyNumberFormat="1" applyFont="1" applyFill="1" applyBorder="1" applyAlignment="1">
      <alignment horizontal="center" vertical="center" wrapText="1"/>
    </xf>
    <xf numFmtId="3" fontId="21" fillId="72" borderId="7" xfId="0" applyNumberFormat="1" applyFont="1" applyFill="1" applyBorder="1" applyAlignment="1">
      <alignment horizontal="center" vertical="center" wrapText="1"/>
    </xf>
    <xf numFmtId="3" fontId="21" fillId="72" borderId="13" xfId="0" applyNumberFormat="1" applyFont="1" applyFill="1" applyBorder="1" applyAlignment="1">
      <alignment horizontal="center" vertical="center" wrapText="1"/>
    </xf>
    <xf numFmtId="3" fontId="21" fillId="72" borderId="7" xfId="0" applyNumberFormat="1" applyFont="1" applyFill="1" applyBorder="1" applyAlignment="1">
      <alignment horizontal="left" vertical="center" wrapText="1"/>
    </xf>
    <xf numFmtId="1" fontId="21" fillId="72" borderId="7" xfId="0" applyNumberFormat="1" applyFont="1" applyFill="1" applyBorder="1" applyAlignment="1">
      <alignment horizontal="left" vertical="center" wrapText="1"/>
    </xf>
    <xf numFmtId="3" fontId="21" fillId="72" borderId="32" xfId="0" applyNumberFormat="1" applyFont="1" applyFill="1" applyBorder="1" applyAlignment="1">
      <alignment horizontal="center" vertical="center" wrapText="1"/>
    </xf>
    <xf numFmtId="0" fontId="22" fillId="8" borderId="32" xfId="0" applyFont="1" applyFill="1" applyBorder="1" applyAlignment="1">
      <alignment horizontal="left" vertical="center" wrapText="1"/>
    </xf>
    <xf numFmtId="1" fontId="17" fillId="0" borderId="3" xfId="0"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xf>
    <xf numFmtId="0" fontId="36" fillId="0" borderId="3" xfId="0" applyFont="1" applyFill="1" applyBorder="1" applyAlignment="1">
      <alignment horizontal="center" vertical="center"/>
    </xf>
    <xf numFmtId="3" fontId="41" fillId="5" borderId="0" xfId="0" applyNumberFormat="1" applyFont="1" applyFill="1" applyBorder="1" applyAlignment="1">
      <alignment horizontal="center" vertical="center" wrapText="1"/>
    </xf>
    <xf numFmtId="3" fontId="38" fillId="5" borderId="0" xfId="0" applyNumberFormat="1" applyFont="1" applyFill="1" applyBorder="1"/>
    <xf numFmtId="3" fontId="38" fillId="5" borderId="19" xfId="0" applyNumberFormat="1" applyFont="1" applyFill="1" applyBorder="1"/>
    <xf numFmtId="3" fontId="38" fillId="5" borderId="4" xfId="0" applyNumberFormat="1" applyFont="1" applyFill="1" applyBorder="1" applyAlignment="1"/>
    <xf numFmtId="3" fontId="65" fillId="25" borderId="18" xfId="0" applyNumberFormat="1" applyFont="1" applyFill="1" applyBorder="1" applyAlignment="1">
      <alignment horizontal="center" vertical="center" wrapText="1"/>
    </xf>
    <xf numFmtId="3" fontId="38" fillId="25" borderId="7" xfId="0" applyNumberFormat="1" applyFont="1" applyFill="1" applyBorder="1"/>
    <xf numFmtId="3" fontId="38" fillId="0" borderId="3" xfId="0" applyNumberFormat="1" applyFont="1" applyFill="1" applyBorder="1" applyAlignment="1">
      <alignment horizontal="center" vertical="center" wrapText="1"/>
    </xf>
    <xf numFmtId="3" fontId="41" fillId="9" borderId="29" xfId="0" applyNumberFormat="1" applyFont="1" applyFill="1" applyBorder="1" applyAlignment="1">
      <alignment horizontal="center" vertical="center" wrapText="1"/>
    </xf>
    <xf numFmtId="3" fontId="41" fillId="25" borderId="29" xfId="0" applyNumberFormat="1" applyFont="1" applyFill="1" applyBorder="1" applyAlignment="1">
      <alignment horizontal="center" vertical="center" wrapText="1"/>
    </xf>
    <xf numFmtId="3" fontId="41" fillId="0" borderId="29" xfId="0" applyNumberFormat="1" applyFont="1" applyFill="1" applyBorder="1" applyAlignment="1">
      <alignment horizontal="center" vertical="center" wrapText="1"/>
    </xf>
    <xf numFmtId="3" fontId="41" fillId="71" borderId="29" xfId="0" applyNumberFormat="1" applyFont="1" applyFill="1" applyBorder="1" applyAlignment="1">
      <alignment horizontal="center" vertical="center" wrapText="1"/>
    </xf>
    <xf numFmtId="3" fontId="65" fillId="23" borderId="29" xfId="0" applyNumberFormat="1" applyFont="1" applyFill="1" applyBorder="1" applyAlignment="1">
      <alignment horizontal="center" vertical="center" wrapText="1"/>
    </xf>
    <xf numFmtId="3" fontId="41" fillId="4" borderId="29" xfId="0" applyNumberFormat="1" applyFont="1" applyFill="1" applyBorder="1" applyAlignment="1">
      <alignment horizontal="center" vertical="center" wrapText="1"/>
    </xf>
    <xf numFmtId="3" fontId="65" fillId="28" borderId="29" xfId="0" applyNumberFormat="1" applyFont="1" applyFill="1" applyBorder="1" applyAlignment="1">
      <alignment horizontal="center" vertical="center" wrapText="1"/>
    </xf>
    <xf numFmtId="3" fontId="38" fillId="28" borderId="7" xfId="0" applyNumberFormat="1" applyFont="1" applyFill="1" applyBorder="1"/>
    <xf numFmtId="3" fontId="41" fillId="28" borderId="29" xfId="0" applyNumberFormat="1" applyFont="1" applyFill="1" applyBorder="1" applyAlignment="1">
      <alignment horizontal="center" vertical="center" wrapText="1"/>
    </xf>
    <xf numFmtId="3" fontId="63" fillId="0" borderId="29" xfId="0" applyNumberFormat="1" applyFont="1" applyFill="1" applyBorder="1" applyAlignment="1">
      <alignment horizontal="center" vertical="center" wrapText="1"/>
    </xf>
    <xf numFmtId="3" fontId="41" fillId="0" borderId="16" xfId="0" applyNumberFormat="1" applyFont="1" applyFill="1" applyBorder="1" applyAlignment="1">
      <alignment horizontal="center" vertical="center" wrapText="1"/>
    </xf>
    <xf numFmtId="3" fontId="41" fillId="5" borderId="14" xfId="0" applyNumberFormat="1" applyFont="1" applyFill="1" applyBorder="1" applyAlignment="1">
      <alignment horizontal="center" vertical="center" wrapText="1"/>
    </xf>
    <xf numFmtId="3" fontId="41" fillId="0" borderId="25" xfId="0" applyNumberFormat="1" applyFont="1" applyFill="1" applyBorder="1" applyAlignment="1">
      <alignment horizontal="center" vertical="center" wrapText="1"/>
    </xf>
    <xf numFmtId="3" fontId="38" fillId="0" borderId="0" xfId="0" applyNumberFormat="1" applyFont="1" applyBorder="1"/>
    <xf numFmtId="1" fontId="41" fillId="5" borderId="0" xfId="0" applyNumberFormat="1" applyFont="1" applyFill="1" applyBorder="1" applyAlignment="1">
      <alignment horizontal="center" vertical="center" wrapText="1"/>
    </xf>
    <xf numFmtId="1" fontId="38" fillId="5" borderId="0" xfId="0" applyNumberFormat="1" applyFont="1" applyFill="1" applyBorder="1"/>
    <xf numFmtId="1" fontId="38" fillId="5" borderId="19" xfId="0" applyNumberFormat="1" applyFont="1" applyFill="1" applyBorder="1"/>
    <xf numFmtId="1" fontId="38" fillId="5" borderId="4" xfId="0" applyNumberFormat="1" applyFont="1" applyFill="1" applyBorder="1" applyAlignment="1">
      <alignment horizontal="center" vertical="center" wrapText="1"/>
    </xf>
    <xf numFmtId="1" fontId="65" fillId="25" borderId="6" xfId="0" applyNumberFormat="1" applyFont="1" applyFill="1" applyBorder="1" applyAlignment="1">
      <alignment horizontal="center" vertical="center" wrapText="1"/>
    </xf>
    <xf numFmtId="1" fontId="38" fillId="25" borderId="7" xfId="0" applyNumberFormat="1" applyFont="1" applyFill="1" applyBorder="1"/>
    <xf numFmtId="1" fontId="38" fillId="0" borderId="7" xfId="0" applyNumberFormat="1" applyFont="1" applyFill="1" applyBorder="1" applyAlignment="1">
      <alignment horizontal="center" vertical="center" wrapText="1"/>
    </xf>
    <xf numFmtId="1" fontId="41" fillId="9" borderId="7" xfId="0" applyNumberFormat="1" applyFont="1" applyFill="1" applyBorder="1" applyAlignment="1">
      <alignment horizontal="center" vertical="center" wrapText="1"/>
    </xf>
    <xf numFmtId="1" fontId="41" fillId="25" borderId="7" xfId="0" applyNumberFormat="1" applyFont="1" applyFill="1" applyBorder="1" applyAlignment="1">
      <alignment horizontal="center" vertical="center" wrapText="1"/>
    </xf>
    <xf numFmtId="1" fontId="70" fillId="0" borderId="7" xfId="0" applyNumberFormat="1" applyFont="1" applyFill="1" applyBorder="1" applyAlignment="1">
      <alignment horizontal="center" vertical="center" wrapText="1"/>
    </xf>
    <xf numFmtId="1" fontId="41" fillId="71" borderId="7" xfId="0" applyNumberFormat="1" applyFont="1" applyFill="1" applyBorder="1" applyAlignment="1">
      <alignment horizontal="center" vertical="center" wrapText="1"/>
    </xf>
    <xf numFmtId="1" fontId="65" fillId="23" borderId="7" xfId="0" applyNumberFormat="1" applyFont="1" applyFill="1" applyBorder="1" applyAlignment="1">
      <alignment horizontal="center" vertical="center" wrapText="1"/>
    </xf>
    <xf numFmtId="1" fontId="41" fillId="4" borderId="7" xfId="0" applyNumberFormat="1" applyFont="1" applyFill="1" applyBorder="1" applyAlignment="1">
      <alignment horizontal="center" vertical="center" wrapText="1"/>
    </xf>
    <xf numFmtId="1" fontId="65" fillId="28" borderId="7" xfId="0" applyNumberFormat="1" applyFont="1" applyFill="1" applyBorder="1" applyAlignment="1">
      <alignment horizontal="center" vertical="center" wrapText="1"/>
    </xf>
    <xf numFmtId="1" fontId="38" fillId="28" borderId="7" xfId="0" applyNumberFormat="1" applyFont="1" applyFill="1" applyBorder="1"/>
    <xf numFmtId="1" fontId="41" fillId="28" borderId="7" xfId="0" applyNumberFormat="1" applyFont="1" applyFill="1" applyBorder="1" applyAlignment="1">
      <alignment horizontal="center" vertical="center" wrapText="1"/>
    </xf>
    <xf numFmtId="1" fontId="63" fillId="0" borderId="7" xfId="0" applyNumberFormat="1" applyFont="1" applyFill="1" applyBorder="1" applyAlignment="1">
      <alignment horizontal="center" vertical="center" wrapText="1"/>
    </xf>
    <xf numFmtId="1" fontId="41" fillId="0" borderId="15" xfId="0" applyNumberFormat="1" applyFont="1" applyFill="1" applyBorder="1" applyAlignment="1">
      <alignment horizontal="center" vertical="center" wrapText="1"/>
    </xf>
    <xf numFmtId="1" fontId="41" fillId="9" borderId="33" xfId="1" applyNumberFormat="1" applyFont="1" applyFill="1" applyBorder="1" applyAlignment="1">
      <alignment horizontal="center" vertical="center" wrapText="1"/>
    </xf>
    <xf numFmtId="1" fontId="63" fillId="0" borderId="17" xfId="0" applyNumberFormat="1" applyFont="1" applyFill="1" applyBorder="1" applyAlignment="1">
      <alignment horizontal="center" vertical="center" wrapText="1"/>
    </xf>
    <xf numFmtId="1" fontId="41" fillId="0" borderId="0" xfId="0" applyNumberFormat="1" applyFont="1" applyFill="1" applyBorder="1" applyAlignment="1">
      <alignment horizontal="center" vertical="center" wrapText="1"/>
    </xf>
    <xf numFmtId="1" fontId="41" fillId="0" borderId="25" xfId="0" applyNumberFormat="1" applyFont="1" applyFill="1" applyBorder="1" applyAlignment="1">
      <alignment horizontal="center" vertical="center" wrapText="1"/>
    </xf>
    <xf numFmtId="1" fontId="38" fillId="0" borderId="0" xfId="0" applyNumberFormat="1" applyFont="1" applyBorder="1"/>
    <xf numFmtId="1" fontId="41" fillId="5" borderId="39" xfId="0" applyNumberFormat="1" applyFont="1" applyFill="1" applyBorder="1" applyAlignment="1">
      <alignment horizontal="center" vertical="center" wrapText="1"/>
    </xf>
    <xf numFmtId="1" fontId="38" fillId="5" borderId="4" xfId="0" applyNumberFormat="1" applyFont="1" applyFill="1" applyBorder="1" applyAlignment="1"/>
    <xf numFmtId="3" fontId="38" fillId="5" borderId="46" xfId="0" applyNumberFormat="1" applyFont="1" applyFill="1" applyBorder="1" applyAlignment="1"/>
    <xf numFmtId="3" fontId="76" fillId="25" borderId="6" xfId="0" applyNumberFormat="1" applyFont="1" applyFill="1" applyBorder="1" applyAlignment="1">
      <alignment horizontal="center"/>
    </xf>
    <xf numFmtId="3" fontId="38" fillId="0" borderId="7" xfId="0" applyNumberFormat="1" applyFont="1" applyFill="1" applyBorder="1" applyAlignment="1">
      <alignment horizontal="center"/>
    </xf>
    <xf numFmtId="3" fontId="38" fillId="0" borderId="29" xfId="0" applyNumberFormat="1" applyFont="1" applyFill="1" applyBorder="1" applyAlignment="1">
      <alignment horizontal="center"/>
    </xf>
    <xf numFmtId="3" fontId="38" fillId="25" borderId="7" xfId="0" applyNumberFormat="1" applyFont="1" applyFill="1" applyBorder="1" applyAlignment="1">
      <alignment horizontal="center"/>
    </xf>
    <xf numFmtId="1" fontId="41" fillId="0" borderId="7" xfId="0" applyNumberFormat="1" applyFont="1" applyFill="1" applyBorder="1" applyAlignment="1">
      <alignment horizontal="center" vertical="center" wrapText="1"/>
    </xf>
    <xf numFmtId="3" fontId="76" fillId="23" borderId="7" xfId="0" applyNumberFormat="1" applyFont="1" applyFill="1" applyBorder="1" applyAlignment="1">
      <alignment horizontal="center"/>
    </xf>
    <xf numFmtId="3" fontId="76" fillId="28" borderId="7" xfId="0" applyNumberFormat="1" applyFont="1" applyFill="1" applyBorder="1" applyAlignment="1">
      <alignment horizontal="center"/>
    </xf>
    <xf numFmtId="3" fontId="38" fillId="0" borderId="7" xfId="0" applyNumberFormat="1" applyFont="1" applyFill="1" applyBorder="1" applyAlignment="1">
      <alignment horizontal="center" vertical="center"/>
    </xf>
    <xf numFmtId="3" fontId="38" fillId="0" borderId="29" xfId="0" applyNumberFormat="1" applyFont="1" applyFill="1" applyBorder="1" applyAlignment="1">
      <alignment horizontal="center" vertical="center"/>
    </xf>
    <xf numFmtId="3" fontId="38" fillId="28" borderId="7" xfId="0" applyNumberFormat="1" applyFont="1" applyFill="1" applyBorder="1" applyAlignment="1">
      <alignment horizontal="center"/>
    </xf>
    <xf numFmtId="3" fontId="38" fillId="0" borderId="0" xfId="0" applyNumberFormat="1" applyFont="1" applyBorder="1" applyAlignment="1">
      <alignment horizontal="center"/>
    </xf>
    <xf numFmtId="1" fontId="41" fillId="5" borderId="14" xfId="0" applyNumberFormat="1" applyFont="1" applyFill="1" applyBorder="1" applyAlignment="1">
      <alignment horizontal="center" vertical="center" wrapText="1"/>
    </xf>
    <xf numFmtId="3" fontId="41" fillId="5" borderId="15" xfId="0" applyNumberFormat="1" applyFont="1" applyFill="1" applyBorder="1" applyAlignment="1">
      <alignment horizontal="center" vertical="center" wrapText="1"/>
    </xf>
    <xf numFmtId="1" fontId="41" fillId="11" borderId="7" xfId="0" applyNumberFormat="1" applyFont="1" applyFill="1" applyBorder="1" applyAlignment="1">
      <alignment horizontal="center" vertical="center" wrapText="1"/>
    </xf>
    <xf numFmtId="1" fontId="38" fillId="5" borderId="0" xfId="0" applyNumberFormat="1" applyFont="1" applyFill="1" applyBorder="1" applyAlignment="1">
      <alignment horizontal="center"/>
    </xf>
    <xf numFmtId="169" fontId="38" fillId="5" borderId="16" xfId="0" applyNumberFormat="1" applyFont="1" applyFill="1" applyBorder="1" applyAlignment="1">
      <alignment horizontal="center"/>
    </xf>
    <xf numFmtId="3" fontId="38" fillId="5" borderId="0" xfId="0" applyNumberFormat="1" applyFont="1" applyFill="1" applyBorder="1" applyAlignment="1">
      <alignment horizontal="center"/>
    </xf>
    <xf numFmtId="1" fontId="38" fillId="5" borderId="0" xfId="0" applyNumberFormat="1" applyFont="1" applyFill="1" applyBorder="1" applyAlignment="1"/>
    <xf numFmtId="3" fontId="38" fillId="5" borderId="0" xfId="0" applyNumberFormat="1" applyFont="1" applyFill="1" applyBorder="1" applyAlignment="1"/>
    <xf numFmtId="1" fontId="63" fillId="5" borderId="0" xfId="0" applyNumberFormat="1" applyFont="1" applyFill="1" applyBorder="1" applyAlignment="1">
      <alignment horizontal="center"/>
    </xf>
    <xf numFmtId="1" fontId="38" fillId="5" borderId="16" xfId="0" applyNumberFormat="1" applyFont="1" applyFill="1" applyBorder="1" applyAlignment="1">
      <alignment horizontal="center"/>
    </xf>
    <xf numFmtId="1" fontId="38" fillId="5" borderId="18" xfId="0" applyNumberFormat="1" applyFont="1" applyFill="1" applyBorder="1" applyAlignment="1">
      <alignment horizontal="center"/>
    </xf>
    <xf numFmtId="169" fontId="38" fillId="5" borderId="18" xfId="0" applyNumberFormat="1" applyFont="1" applyFill="1" applyBorder="1" applyAlignment="1">
      <alignment horizontal="center"/>
    </xf>
    <xf numFmtId="3" fontId="38" fillId="5" borderId="19" xfId="0" applyNumberFormat="1" applyFont="1" applyFill="1" applyBorder="1" applyAlignment="1">
      <alignment horizontal="center"/>
    </xf>
    <xf numFmtId="1" fontId="63" fillId="5" borderId="19" xfId="0" applyNumberFormat="1" applyFont="1" applyFill="1" applyBorder="1" applyAlignment="1">
      <alignment horizontal="center"/>
    </xf>
    <xf numFmtId="1" fontId="38" fillId="5" borderId="2" xfId="0" applyNumberFormat="1" applyFont="1" applyFill="1" applyBorder="1" applyAlignment="1">
      <alignment horizontal="center" wrapText="1"/>
    </xf>
    <xf numFmtId="169" fontId="38" fillId="5" borderId="2" xfId="0" applyNumberFormat="1" applyFont="1" applyFill="1" applyBorder="1" applyAlignment="1">
      <alignment horizontal="center" wrapText="1"/>
    </xf>
    <xf numFmtId="3" fontId="38" fillId="5" borderId="2" xfId="0" applyNumberFormat="1" applyFont="1" applyFill="1" applyBorder="1" applyAlignment="1">
      <alignment horizontal="center" wrapText="1"/>
    </xf>
    <xf numFmtId="1" fontId="38" fillId="5" borderId="2" xfId="0" applyNumberFormat="1" applyFont="1" applyFill="1" applyBorder="1" applyAlignment="1"/>
    <xf numFmtId="3" fontId="38" fillId="5" borderId="2" xfId="0" applyNumberFormat="1" applyFont="1" applyFill="1" applyBorder="1" applyAlignment="1">
      <alignment horizontal="center"/>
    </xf>
    <xf numFmtId="1" fontId="63" fillId="5" borderId="2" xfId="0" applyNumberFormat="1" applyFont="1" applyFill="1" applyBorder="1" applyAlignment="1">
      <alignment horizontal="center"/>
    </xf>
    <xf numFmtId="1" fontId="41" fillId="5" borderId="50" xfId="0" applyNumberFormat="1" applyFont="1" applyFill="1" applyBorder="1" applyAlignment="1">
      <alignment horizontal="center" vertical="center" wrapText="1"/>
    </xf>
    <xf numFmtId="3" fontId="70" fillId="5" borderId="50" xfId="0" applyNumberFormat="1" applyFont="1" applyFill="1" applyBorder="1" applyAlignment="1">
      <alignment horizontal="center" vertical="center" wrapText="1"/>
    </xf>
    <xf numFmtId="1" fontId="70" fillId="5" borderId="51" xfId="0" applyNumberFormat="1" applyFont="1" applyFill="1" applyBorder="1" applyAlignment="1">
      <alignment horizontal="center" vertical="center" wrapText="1"/>
    </xf>
    <xf numFmtId="1" fontId="75" fillId="13" borderId="4" xfId="2" applyNumberFormat="1" applyFont="1" applyFill="1" applyBorder="1" applyAlignment="1">
      <alignment horizontal="center" vertical="center"/>
    </xf>
    <xf numFmtId="169" fontId="41" fillId="29" borderId="3" xfId="0" applyNumberFormat="1" applyFont="1" applyFill="1" applyBorder="1" applyAlignment="1">
      <alignment horizontal="center" vertical="center" wrapText="1"/>
    </xf>
    <xf numFmtId="3" fontId="41" fillId="29" borderId="3" xfId="0" applyNumberFormat="1" applyFont="1" applyFill="1" applyBorder="1" applyAlignment="1">
      <alignment horizontal="center" vertical="center" wrapText="1"/>
    </xf>
    <xf numFmtId="1" fontId="41" fillId="29" borderId="7" xfId="0" applyNumberFormat="1" applyFont="1" applyFill="1" applyBorder="1" applyAlignment="1">
      <alignment horizontal="center" vertical="center" wrapText="1"/>
    </xf>
    <xf numFmtId="3" fontId="41" fillId="29" borderId="7" xfId="0" applyNumberFormat="1" applyFont="1" applyFill="1" applyBorder="1" applyAlignment="1">
      <alignment horizontal="center" vertical="center" wrapText="1"/>
    </xf>
    <xf numFmtId="3" fontId="38" fillId="29" borderId="7" xfId="0" applyNumberFormat="1" applyFont="1" applyFill="1" applyBorder="1" applyAlignment="1">
      <alignment horizontal="center"/>
    </xf>
    <xf numFmtId="1" fontId="63" fillId="29" borderId="32" xfId="0" applyNumberFormat="1" applyFont="1" applyFill="1" applyBorder="1" applyAlignment="1">
      <alignment horizontal="center"/>
    </xf>
    <xf numFmtId="1" fontId="74" fillId="13" borderId="4" xfId="2" applyNumberFormat="1" applyFont="1" applyFill="1" applyBorder="1" applyAlignment="1">
      <alignment horizontal="center" vertical="center" wrapText="1"/>
    </xf>
    <xf numFmtId="169" fontId="63" fillId="29" borderId="3" xfId="0" applyNumberFormat="1" applyFont="1" applyFill="1" applyBorder="1" applyAlignment="1">
      <alignment horizontal="center" vertical="center" wrapText="1"/>
    </xf>
    <xf numFmtId="3" fontId="63" fillId="29" borderId="3" xfId="0" applyNumberFormat="1" applyFont="1" applyFill="1" applyBorder="1" applyAlignment="1">
      <alignment horizontal="center" vertical="center" wrapText="1"/>
    </xf>
    <xf numFmtId="1" fontId="70" fillId="29" borderId="7" xfId="0" applyNumberFormat="1" applyFont="1" applyFill="1" applyBorder="1" applyAlignment="1">
      <alignment horizontal="center" vertical="center" wrapText="1"/>
    </xf>
    <xf numFmtId="3" fontId="70" fillId="29" borderId="7" xfId="0" applyNumberFormat="1" applyFont="1" applyFill="1" applyBorder="1" applyAlignment="1">
      <alignment horizontal="center" vertical="center" wrapText="1"/>
    </xf>
    <xf numFmtId="3" fontId="65" fillId="29" borderId="7" xfId="0" applyNumberFormat="1" applyFont="1" applyFill="1" applyBorder="1" applyAlignment="1">
      <alignment horizontal="center"/>
    </xf>
    <xf numFmtId="169" fontId="63" fillId="0" borderId="3" xfId="0" applyNumberFormat="1" applyFont="1" applyFill="1" applyBorder="1" applyAlignment="1">
      <alignment horizontal="center" vertical="center" wrapText="1"/>
    </xf>
    <xf numFmtId="3" fontId="63" fillId="0" borderId="3" xfId="0" applyNumberFormat="1" applyFont="1" applyFill="1" applyBorder="1" applyAlignment="1">
      <alignment horizontal="center" vertical="center" wrapText="1"/>
    </xf>
    <xf numFmtId="1" fontId="63" fillId="0" borderId="3" xfId="0" applyNumberFormat="1" applyFont="1" applyFill="1" applyBorder="1" applyAlignment="1">
      <alignment horizontal="center" vertical="center" wrapText="1"/>
    </xf>
    <xf numFmtId="3" fontId="70" fillId="0" borderId="7" xfId="0" applyNumberFormat="1" applyFont="1" applyFill="1" applyBorder="1" applyAlignment="1">
      <alignment horizontal="center" vertical="center" wrapText="1"/>
    </xf>
    <xf numFmtId="3" fontId="65" fillId="0" borderId="7" xfId="0" applyNumberFormat="1" applyFont="1" applyFill="1" applyBorder="1" applyAlignment="1">
      <alignment horizontal="center"/>
    </xf>
    <xf numFmtId="1" fontId="63" fillId="0" borderId="32" xfId="0" applyNumberFormat="1" applyFont="1" applyFill="1" applyBorder="1" applyAlignment="1">
      <alignment horizontal="center"/>
    </xf>
    <xf numFmtId="1" fontId="75" fillId="0" borderId="4" xfId="2" applyNumberFormat="1" applyFont="1" applyFill="1" applyBorder="1" applyAlignment="1">
      <alignment horizontal="center" vertical="center"/>
    </xf>
    <xf numFmtId="1" fontId="70" fillId="0" borderId="3" xfId="0" applyNumberFormat="1" applyFont="1" applyFill="1" applyBorder="1" applyAlignment="1">
      <alignment horizontal="center" vertical="center" wrapText="1"/>
    </xf>
    <xf numFmtId="1" fontId="63" fillId="0" borderId="3" xfId="0" applyNumberFormat="1" applyFont="1" applyFill="1" applyBorder="1" applyAlignment="1">
      <alignment horizontal="center" vertical="center"/>
    </xf>
    <xf numFmtId="3" fontId="63" fillId="0" borderId="7" xfId="0" applyNumberFormat="1" applyFont="1" applyFill="1" applyBorder="1" applyAlignment="1">
      <alignment horizontal="center" vertical="center" wrapText="1"/>
    </xf>
    <xf numFmtId="1" fontId="41" fillId="4" borderId="2" xfId="0" applyNumberFormat="1" applyFont="1" applyFill="1" applyBorder="1" applyAlignment="1">
      <alignment horizontal="center" vertical="center"/>
    </xf>
    <xf numFmtId="169" fontId="41" fillId="4" borderId="3" xfId="0" applyNumberFormat="1" applyFont="1" applyFill="1" applyBorder="1" applyAlignment="1">
      <alignment horizontal="center" vertical="center" wrapText="1"/>
    </xf>
    <xf numFmtId="3" fontId="41" fillId="4" borderId="3" xfId="0" applyNumberFormat="1" applyFont="1" applyFill="1" applyBorder="1" applyAlignment="1">
      <alignment horizontal="center" vertical="center" wrapText="1"/>
    </xf>
    <xf numFmtId="3" fontId="41" fillId="4" borderId="7" xfId="0" applyNumberFormat="1" applyFont="1" applyFill="1" applyBorder="1" applyAlignment="1">
      <alignment horizontal="center" vertical="center" wrapText="1"/>
    </xf>
    <xf numFmtId="1" fontId="41" fillId="4" borderId="32" xfId="0" applyNumberFormat="1" applyFont="1" applyFill="1" applyBorder="1" applyAlignment="1">
      <alignment horizontal="center" vertical="center" wrapText="1"/>
    </xf>
    <xf numFmtId="3" fontId="74" fillId="13" borderId="7" xfId="2" applyNumberFormat="1" applyFont="1" applyFill="1" applyBorder="1" applyAlignment="1">
      <alignment horizontal="left" vertical="top" wrapText="1"/>
    </xf>
    <xf numFmtId="1" fontId="41" fillId="0" borderId="4" xfId="0" applyNumberFormat="1" applyFont="1" applyFill="1" applyBorder="1" applyAlignment="1">
      <alignment horizontal="center" vertical="center"/>
    </xf>
    <xf numFmtId="169" fontId="41" fillId="0" borderId="3" xfId="0" applyNumberFormat="1" applyFont="1" applyFill="1" applyBorder="1" applyAlignment="1">
      <alignment horizontal="center" vertical="center" wrapText="1"/>
    </xf>
    <xf numFmtId="49" fontId="38" fillId="0" borderId="32" xfId="0" applyNumberFormat="1" applyFont="1" applyFill="1" applyBorder="1" applyAlignment="1">
      <alignment horizontal="center" vertical="center" wrapText="1"/>
    </xf>
    <xf numFmtId="1" fontId="41" fillId="4" borderId="4" xfId="0" applyNumberFormat="1" applyFont="1" applyFill="1" applyBorder="1" applyAlignment="1">
      <alignment horizontal="center" vertical="center"/>
    </xf>
    <xf numFmtId="169" fontId="63" fillId="0" borderId="3" xfId="0" applyNumberFormat="1" applyFont="1" applyFill="1" applyBorder="1" applyAlignment="1">
      <alignment horizontal="left" vertical="center"/>
    </xf>
    <xf numFmtId="1" fontId="63" fillId="0" borderId="7" xfId="0" applyNumberFormat="1" applyFont="1" applyFill="1" applyBorder="1" applyAlignment="1">
      <alignment horizontal="center" vertical="center"/>
    </xf>
    <xf numFmtId="1" fontId="63" fillId="0" borderId="32" xfId="0" applyNumberFormat="1" applyFont="1" applyFill="1" applyBorder="1" applyAlignment="1">
      <alignment horizontal="left"/>
    </xf>
    <xf numFmtId="1" fontId="63" fillId="29" borderId="3" xfId="0" applyNumberFormat="1" applyFont="1" applyFill="1" applyBorder="1" applyAlignment="1">
      <alignment horizontal="center" vertical="center" wrapText="1"/>
    </xf>
    <xf numFmtId="169" fontId="41" fillId="0" borderId="5" xfId="0" applyNumberFormat="1" applyFont="1" applyFill="1" applyBorder="1" applyAlignment="1">
      <alignment horizontal="center" vertical="center" wrapText="1"/>
    </xf>
    <xf numFmtId="3" fontId="41" fillId="0" borderId="5" xfId="0" applyNumberFormat="1" applyFont="1" applyFill="1" applyBorder="1" applyAlignment="1">
      <alignment horizontal="center" vertical="center" wrapText="1"/>
    </xf>
    <xf numFmtId="1" fontId="41" fillId="0" borderId="14" xfId="0" applyNumberFormat="1" applyFont="1" applyFill="1" applyBorder="1" applyAlignment="1">
      <alignment horizontal="center" vertical="center" wrapText="1"/>
    </xf>
    <xf numFmtId="3" fontId="41" fillId="0" borderId="14" xfId="0" applyNumberFormat="1" applyFont="1" applyFill="1" applyBorder="1" applyAlignment="1">
      <alignment horizontal="center" vertical="center" wrapText="1"/>
    </xf>
    <xf numFmtId="169" fontId="41" fillId="4" borderId="5" xfId="0" applyNumberFormat="1" applyFont="1" applyFill="1" applyBorder="1" applyAlignment="1">
      <alignment horizontal="center" vertical="center" wrapText="1"/>
    </xf>
    <xf numFmtId="3" fontId="41" fillId="4" borderId="5" xfId="0" applyNumberFormat="1" applyFont="1" applyFill="1" applyBorder="1" applyAlignment="1">
      <alignment horizontal="center" vertical="center" wrapText="1"/>
    </xf>
    <xf numFmtId="1" fontId="41" fillId="4" borderId="14" xfId="0" applyNumberFormat="1" applyFont="1" applyFill="1" applyBorder="1" applyAlignment="1">
      <alignment horizontal="center" vertical="center" wrapText="1"/>
    </xf>
    <xf numFmtId="3" fontId="41" fillId="4" borderId="14" xfId="0" applyNumberFormat="1" applyFont="1" applyFill="1" applyBorder="1" applyAlignment="1">
      <alignment horizontal="center" vertical="center" wrapText="1"/>
    </xf>
    <xf numFmtId="1" fontId="41" fillId="4" borderId="26" xfId="0" applyNumberFormat="1" applyFont="1" applyFill="1" applyBorder="1" applyAlignment="1">
      <alignment horizontal="center" vertical="center" wrapText="1"/>
    </xf>
    <xf numFmtId="3" fontId="75" fillId="13" borderId="14" xfId="2" applyNumberFormat="1" applyFont="1" applyFill="1" applyBorder="1" applyAlignment="1">
      <alignment horizontal="left" vertical="center"/>
    </xf>
    <xf numFmtId="1" fontId="75" fillId="13" borderId="14" xfId="2" applyNumberFormat="1" applyFont="1" applyFill="1" applyBorder="1" applyAlignment="1">
      <alignment horizontal="left" vertical="center"/>
    </xf>
    <xf numFmtId="169" fontId="38" fillId="0" borderId="3" xfId="0" applyNumberFormat="1" applyFont="1" applyFill="1" applyBorder="1" applyAlignment="1">
      <alignment horizontal="center" vertical="center" wrapText="1"/>
    </xf>
    <xf numFmtId="3" fontId="41" fillId="0" borderId="3"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1" fontId="41" fillId="0" borderId="32" xfId="0" applyNumberFormat="1" applyFont="1" applyFill="1" applyBorder="1" applyAlignment="1">
      <alignment horizontal="center" vertical="center" wrapText="1"/>
    </xf>
    <xf numFmtId="0" fontId="63" fillId="0" borderId="32" xfId="0" applyNumberFormat="1" applyFont="1" applyFill="1" applyBorder="1" applyAlignment="1">
      <alignment horizontal="center"/>
    </xf>
    <xf numFmtId="49" fontId="63" fillId="0" borderId="32" xfId="0" applyNumberFormat="1" applyFont="1" applyFill="1" applyBorder="1" applyAlignment="1">
      <alignment horizontal="center"/>
    </xf>
    <xf numFmtId="169" fontId="63" fillId="29" borderId="5" xfId="0" applyNumberFormat="1" applyFont="1" applyFill="1" applyBorder="1" applyAlignment="1">
      <alignment horizontal="center" vertical="center" wrapText="1"/>
    </xf>
    <xf numFmtId="3" fontId="63" fillId="29" borderId="5" xfId="0" applyNumberFormat="1" applyFont="1" applyFill="1" applyBorder="1" applyAlignment="1">
      <alignment horizontal="center" vertical="center" wrapText="1"/>
    </xf>
    <xf numFmtId="1" fontId="41" fillId="4" borderId="19" xfId="0" applyNumberFormat="1" applyFont="1" applyFill="1" applyBorder="1" applyAlignment="1">
      <alignment horizontal="center" vertical="center"/>
    </xf>
    <xf numFmtId="169" fontId="41" fillId="4" borderId="20" xfId="0" applyNumberFormat="1" applyFont="1" applyFill="1" applyBorder="1" applyAlignment="1">
      <alignment horizontal="center" vertical="center" wrapText="1"/>
    </xf>
    <xf numFmtId="3" fontId="41" fillId="4" borderId="20" xfId="0" applyNumberFormat="1" applyFont="1" applyFill="1" applyBorder="1" applyAlignment="1">
      <alignment horizontal="center" vertical="center" wrapText="1"/>
    </xf>
    <xf numFmtId="1" fontId="41" fillId="70" borderId="4" xfId="0" applyNumberFormat="1" applyFont="1" applyFill="1" applyBorder="1" applyAlignment="1">
      <alignment horizontal="center" vertical="center"/>
    </xf>
    <xf numFmtId="169" fontId="41" fillId="70" borderId="3" xfId="0" applyNumberFormat="1" applyFont="1" applyFill="1" applyBorder="1" applyAlignment="1">
      <alignment horizontal="center" vertical="center" wrapText="1"/>
    </xf>
    <xf numFmtId="3" fontId="41" fillId="70" borderId="3" xfId="0" applyNumberFormat="1" applyFont="1" applyFill="1" applyBorder="1" applyAlignment="1">
      <alignment horizontal="center" vertical="center" wrapText="1"/>
    </xf>
    <xf numFmtId="1" fontId="41" fillId="70" borderId="7" xfId="0" applyNumberFormat="1" applyFont="1" applyFill="1" applyBorder="1" applyAlignment="1">
      <alignment horizontal="center" vertical="center" wrapText="1"/>
    </xf>
    <xf numFmtId="3" fontId="41" fillId="70" borderId="7" xfId="0" applyNumberFormat="1" applyFont="1" applyFill="1" applyBorder="1" applyAlignment="1">
      <alignment horizontal="center" vertical="center" wrapText="1"/>
    </xf>
    <xf numFmtId="1" fontId="41" fillId="70" borderId="32" xfId="0" applyNumberFormat="1" applyFont="1" applyFill="1" applyBorder="1" applyAlignment="1">
      <alignment horizontal="center" vertical="center" wrapText="1"/>
    </xf>
    <xf numFmtId="1" fontId="38" fillId="0" borderId="32" xfId="0" applyNumberFormat="1" applyFont="1" applyFill="1" applyBorder="1" applyAlignment="1">
      <alignment horizontal="center" vertical="center" wrapText="1"/>
    </xf>
    <xf numFmtId="1" fontId="38" fillId="0" borderId="3" xfId="0" applyNumberFormat="1" applyFont="1" applyFill="1" applyBorder="1" applyAlignment="1">
      <alignment horizontal="center" vertical="center" wrapText="1"/>
    </xf>
    <xf numFmtId="1" fontId="38" fillId="0" borderId="32" xfId="0" applyNumberFormat="1" applyFont="1" applyFill="1" applyBorder="1" applyAlignment="1">
      <alignment horizontal="center"/>
    </xf>
    <xf numFmtId="1" fontId="74" fillId="21" borderId="4" xfId="2" applyNumberFormat="1" applyFont="1" applyFill="1" applyBorder="1" applyAlignment="1">
      <alignment horizontal="center" vertical="center" wrapText="1"/>
    </xf>
    <xf numFmtId="169" fontId="63" fillId="21" borderId="3" xfId="0" applyNumberFormat="1" applyFont="1" applyFill="1" applyBorder="1" applyAlignment="1">
      <alignment horizontal="center" vertical="center" wrapText="1"/>
    </xf>
    <xf numFmtId="3" fontId="70" fillId="21" borderId="3" xfId="0" applyNumberFormat="1" applyFont="1" applyFill="1" applyBorder="1" applyAlignment="1">
      <alignment horizontal="center" vertical="center" wrapText="1"/>
    </xf>
    <xf numFmtId="1" fontId="70" fillId="21" borderId="7" xfId="0" applyNumberFormat="1" applyFont="1" applyFill="1" applyBorder="1" applyAlignment="1">
      <alignment horizontal="center" vertical="center" wrapText="1"/>
    </xf>
    <xf numFmtId="3" fontId="70" fillId="21" borderId="7" xfId="0" applyNumberFormat="1" applyFont="1" applyFill="1" applyBorder="1" applyAlignment="1">
      <alignment horizontal="center" vertical="center" wrapText="1"/>
    </xf>
    <xf numFmtId="3" fontId="65" fillId="21" borderId="7" xfId="0" applyNumberFormat="1" applyFont="1" applyFill="1" applyBorder="1" applyAlignment="1">
      <alignment horizontal="center"/>
    </xf>
    <xf numFmtId="1" fontId="63" fillId="21" borderId="32" xfId="0" applyNumberFormat="1" applyFont="1" applyFill="1" applyBorder="1" applyAlignment="1">
      <alignment horizontal="center"/>
    </xf>
    <xf numFmtId="3" fontId="70" fillId="0" borderId="3" xfId="0" applyNumberFormat="1" applyFont="1" applyFill="1" applyBorder="1" applyAlignment="1">
      <alignment horizontal="center" vertical="center" wrapText="1"/>
    </xf>
    <xf numFmtId="1" fontId="38" fillId="0" borderId="32" xfId="0" applyNumberFormat="1" applyFont="1" applyFill="1" applyBorder="1" applyAlignment="1">
      <alignment horizontal="center" vertical="center"/>
    </xf>
    <xf numFmtId="169" fontId="63" fillId="0" borderId="5" xfId="0" applyNumberFormat="1" applyFont="1" applyFill="1" applyBorder="1" applyAlignment="1">
      <alignment horizontal="center" vertical="center" wrapText="1"/>
    </xf>
    <xf numFmtId="3" fontId="70" fillId="0" borderId="5" xfId="0" applyNumberFormat="1" applyFont="1" applyFill="1" applyBorder="1" applyAlignment="1">
      <alignment horizontal="center" vertical="center" wrapText="1"/>
    </xf>
    <xf numFmtId="169" fontId="63" fillId="0" borderId="20" xfId="0" applyNumberFormat="1" applyFont="1" applyFill="1" applyBorder="1" applyAlignment="1">
      <alignment horizontal="center" vertical="center" wrapText="1"/>
    </xf>
    <xf numFmtId="3" fontId="70" fillId="0" borderId="20" xfId="0" applyNumberFormat="1" applyFont="1" applyFill="1" applyBorder="1" applyAlignment="1">
      <alignment horizontal="center" vertical="center" wrapText="1"/>
    </xf>
    <xf numFmtId="169" fontId="63" fillId="0" borderId="3" xfId="0" applyNumberFormat="1" applyFont="1" applyFill="1" applyBorder="1" applyAlignment="1">
      <alignment horizontal="center" vertical="center"/>
    </xf>
    <xf numFmtId="1" fontId="41" fillId="4" borderId="48" xfId="0" applyNumberFormat="1" applyFont="1" applyFill="1" applyBorder="1" applyAlignment="1">
      <alignment horizontal="center" vertical="center" wrapText="1"/>
    </xf>
    <xf numFmtId="169" fontId="38" fillId="0" borderId="5" xfId="0" applyNumberFormat="1" applyFont="1" applyFill="1" applyBorder="1" applyAlignment="1">
      <alignment horizontal="center" vertical="center" wrapText="1"/>
    </xf>
    <xf numFmtId="3" fontId="38" fillId="0" borderId="5" xfId="0" applyNumberFormat="1" applyFont="1" applyFill="1" applyBorder="1" applyAlignment="1">
      <alignment horizontal="center" vertical="center" wrapText="1"/>
    </xf>
    <xf numFmtId="1" fontId="38" fillId="0" borderId="14" xfId="0" applyNumberFormat="1" applyFont="1" applyFill="1" applyBorder="1" applyAlignment="1">
      <alignment horizontal="center" vertical="center" wrapText="1"/>
    </xf>
    <xf numFmtId="3" fontId="38" fillId="0" borderId="14" xfId="0" applyNumberFormat="1" applyFont="1" applyFill="1" applyBorder="1" applyAlignment="1">
      <alignment horizontal="center" vertical="center" wrapText="1"/>
    </xf>
    <xf numFmtId="1" fontId="38" fillId="0" borderId="48" xfId="0" applyNumberFormat="1" applyFont="1" applyFill="1" applyBorder="1" applyAlignment="1">
      <alignment horizontal="center" vertical="center" wrapText="1"/>
    </xf>
    <xf numFmtId="1" fontId="74" fillId="24" borderId="4" xfId="2" applyNumberFormat="1" applyFont="1" applyFill="1" applyBorder="1" applyAlignment="1">
      <alignment horizontal="center" vertical="center" wrapText="1"/>
    </xf>
    <xf numFmtId="169" fontId="41" fillId="24" borderId="5" xfId="0" applyNumberFormat="1" applyFont="1" applyFill="1" applyBorder="1" applyAlignment="1">
      <alignment horizontal="center" vertical="center" wrapText="1"/>
    </xf>
    <xf numFmtId="3" fontId="41" fillId="24" borderId="5" xfId="0" applyNumberFormat="1" applyFont="1" applyFill="1" applyBorder="1" applyAlignment="1">
      <alignment horizontal="center" vertical="center" wrapText="1"/>
    </xf>
    <xf numFmtId="1" fontId="41" fillId="24" borderId="14" xfId="0" applyNumberFormat="1" applyFont="1" applyFill="1" applyBorder="1" applyAlignment="1">
      <alignment horizontal="center" vertical="center" wrapText="1"/>
    </xf>
    <xf numFmtId="3" fontId="41" fillId="24" borderId="14" xfId="0" applyNumberFormat="1" applyFont="1" applyFill="1" applyBorder="1" applyAlignment="1">
      <alignment horizontal="center" vertical="center" wrapText="1"/>
    </xf>
    <xf numFmtId="1" fontId="41" fillId="24" borderId="7" xfId="0" applyNumberFormat="1" applyFont="1" applyFill="1" applyBorder="1" applyAlignment="1">
      <alignment horizontal="center" vertical="center" wrapText="1"/>
    </xf>
    <xf numFmtId="3" fontId="38" fillId="24" borderId="7" xfId="0" applyNumberFormat="1" applyFont="1" applyFill="1" applyBorder="1" applyAlignment="1">
      <alignment horizontal="center"/>
    </xf>
    <xf numFmtId="1" fontId="63" fillId="24" borderId="32" xfId="0" applyNumberFormat="1" applyFont="1" applyFill="1" applyBorder="1" applyAlignment="1">
      <alignment horizontal="center"/>
    </xf>
    <xf numFmtId="1" fontId="41" fillId="24" borderId="5" xfId="0" applyNumberFormat="1" applyFont="1" applyFill="1" applyBorder="1" applyAlignment="1">
      <alignment horizontal="center" vertical="center" wrapText="1"/>
    </xf>
    <xf numFmtId="1" fontId="41" fillId="24" borderId="3" xfId="0" applyNumberFormat="1" applyFont="1" applyFill="1" applyBorder="1" applyAlignment="1">
      <alignment horizontal="center" vertical="center" wrapText="1"/>
    </xf>
    <xf numFmtId="3" fontId="38" fillId="0" borderId="14" xfId="0" applyNumberFormat="1" applyFont="1" applyFill="1" applyBorder="1" applyAlignment="1">
      <alignment horizontal="center"/>
    </xf>
    <xf numFmtId="1" fontId="75" fillId="0" borderId="0" xfId="2" applyNumberFormat="1" applyFont="1" applyFill="1" applyBorder="1" applyAlignment="1">
      <alignment horizontal="center" vertical="center"/>
    </xf>
    <xf numFmtId="169" fontId="38" fillId="0" borderId="17" xfId="0" applyNumberFormat="1" applyFont="1" applyFill="1" applyBorder="1" applyAlignment="1">
      <alignment horizontal="center" vertical="center" wrapText="1"/>
    </xf>
    <xf numFmtId="3" fontId="41" fillId="0" borderId="17" xfId="0" applyNumberFormat="1" applyFont="1" applyFill="1" applyBorder="1" applyAlignment="1">
      <alignment horizontal="center" vertical="center" wrapText="1"/>
    </xf>
    <xf numFmtId="1" fontId="38" fillId="0" borderId="5" xfId="0" applyNumberFormat="1" applyFont="1" applyFill="1" applyBorder="1" applyAlignment="1">
      <alignment horizontal="center" vertical="center" wrapText="1"/>
    </xf>
    <xf numFmtId="3" fontId="63" fillId="0" borderId="5" xfId="0" applyNumberFormat="1" applyFont="1" applyFill="1" applyBorder="1" applyAlignment="1">
      <alignment horizontal="center" vertical="center" wrapText="1"/>
    </xf>
    <xf numFmtId="1" fontId="63" fillId="0" borderId="5" xfId="0" applyNumberFormat="1" applyFont="1" applyFill="1" applyBorder="1" applyAlignment="1">
      <alignment horizontal="center" vertical="center"/>
    </xf>
    <xf numFmtId="3" fontId="63" fillId="0" borderId="14" xfId="0" applyNumberFormat="1" applyFont="1" applyFill="1" applyBorder="1" applyAlignment="1">
      <alignment horizontal="center" vertical="center" wrapText="1"/>
    </xf>
    <xf numFmtId="1" fontId="70" fillId="6" borderId="2" xfId="0" applyNumberFormat="1" applyFont="1" applyFill="1" applyBorder="1" applyAlignment="1">
      <alignment horizontal="center" vertical="center" wrapText="1"/>
    </xf>
    <xf numFmtId="0" fontId="70" fillId="6" borderId="3" xfId="0" applyFont="1" applyFill="1" applyBorder="1" applyAlignment="1">
      <alignment horizontal="left" vertical="center" wrapText="1"/>
    </xf>
    <xf numFmtId="0" fontId="70" fillId="6" borderId="7" xfId="0" applyFont="1" applyFill="1" applyBorder="1" applyAlignment="1">
      <alignment horizontal="left" vertical="center" wrapText="1"/>
    </xf>
    <xf numFmtId="1" fontId="70" fillId="6" borderId="7" xfId="0" applyNumberFormat="1" applyFont="1" applyFill="1" applyBorder="1" applyAlignment="1">
      <alignment horizontal="left" vertical="center" wrapText="1"/>
    </xf>
    <xf numFmtId="1" fontId="70" fillId="6" borderId="32" xfId="0" applyNumberFormat="1" applyFont="1" applyFill="1" applyBorder="1" applyAlignment="1">
      <alignment horizontal="left" vertical="center" wrapText="1"/>
    </xf>
    <xf numFmtId="0" fontId="63" fillId="6" borderId="3" xfId="0" applyFont="1" applyFill="1" applyBorder="1" applyAlignment="1">
      <alignment horizontal="center" vertical="center" wrapText="1"/>
    </xf>
    <xf numFmtId="0" fontId="63" fillId="6" borderId="7" xfId="0" applyFont="1" applyFill="1" applyBorder="1" applyAlignment="1">
      <alignment horizontal="center" vertical="center" wrapText="1"/>
    </xf>
    <xf numFmtId="1" fontId="63" fillId="6" borderId="7" xfId="0" applyNumberFormat="1" applyFont="1" applyFill="1" applyBorder="1" applyAlignment="1">
      <alignment horizontal="center" vertical="center" wrapText="1"/>
    </xf>
    <xf numFmtId="1" fontId="63" fillId="6" borderId="32" xfId="0" applyNumberFormat="1" applyFont="1" applyFill="1" applyBorder="1" applyAlignment="1">
      <alignment horizontal="center" vertical="center" wrapText="1"/>
    </xf>
    <xf numFmtId="3" fontId="63" fillId="0" borderId="7" xfId="0" applyNumberFormat="1" applyFont="1" applyFill="1" applyBorder="1" applyAlignment="1">
      <alignment horizontal="center"/>
    </xf>
    <xf numFmtId="1" fontId="41" fillId="4" borderId="4" xfId="0" applyNumberFormat="1"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7" xfId="0" applyFont="1" applyFill="1" applyBorder="1" applyAlignment="1">
      <alignment horizontal="center" vertical="center" wrapText="1"/>
    </xf>
    <xf numFmtId="1" fontId="63" fillId="0" borderId="32" xfId="0" applyNumberFormat="1" applyFont="1" applyFill="1" applyBorder="1" applyAlignment="1">
      <alignment horizontal="center" vertical="center" wrapText="1"/>
    </xf>
    <xf numFmtId="0" fontId="63" fillId="0" borderId="5" xfId="0" applyFont="1" applyFill="1" applyBorder="1" applyAlignment="1">
      <alignment horizontal="center" vertical="center" wrapText="1"/>
    </xf>
    <xf numFmtId="1" fontId="63" fillId="0" borderId="19" xfId="0" applyNumberFormat="1" applyFont="1" applyFill="1" applyBorder="1" applyAlignment="1">
      <alignment horizontal="center" vertical="center"/>
    </xf>
    <xf numFmtId="1" fontId="41" fillId="20" borderId="4" xfId="0" applyNumberFormat="1" applyFont="1" applyFill="1" applyBorder="1" applyAlignment="1">
      <alignment horizontal="center" vertical="center" wrapText="1"/>
    </xf>
    <xf numFmtId="169" fontId="41" fillId="20" borderId="5" xfId="0" applyNumberFormat="1" applyFont="1" applyFill="1" applyBorder="1" applyAlignment="1">
      <alignment horizontal="center" vertical="center" wrapText="1"/>
    </xf>
    <xf numFmtId="3" fontId="41" fillId="20" borderId="5" xfId="0" applyNumberFormat="1" applyFont="1" applyFill="1" applyBorder="1" applyAlignment="1">
      <alignment horizontal="center" vertical="center" wrapText="1"/>
    </xf>
    <xf numFmtId="1" fontId="41" fillId="20" borderId="14" xfId="0" applyNumberFormat="1" applyFont="1" applyFill="1" applyBorder="1" applyAlignment="1">
      <alignment horizontal="center" vertical="center" wrapText="1"/>
    </xf>
    <xf numFmtId="3" fontId="41" fillId="20" borderId="14" xfId="0" applyNumberFormat="1" applyFont="1" applyFill="1" applyBorder="1" applyAlignment="1">
      <alignment horizontal="center" vertical="center" wrapText="1"/>
    </xf>
    <xf numFmtId="1" fontId="41" fillId="20" borderId="48" xfId="0" applyNumberFormat="1" applyFont="1" applyFill="1" applyBorder="1" applyAlignment="1">
      <alignment horizontal="center" vertical="center" wrapText="1"/>
    </xf>
    <xf numFmtId="1" fontId="38" fillId="0" borderId="48" xfId="0" applyNumberFormat="1" applyFont="1" applyFill="1" applyBorder="1" applyAlignment="1">
      <alignment horizontal="center"/>
    </xf>
    <xf numFmtId="1" fontId="41" fillId="16" borderId="102" xfId="1" applyNumberFormat="1" applyFont="1" applyFill="1" applyBorder="1" applyAlignment="1">
      <alignment horizontal="center" wrapText="1"/>
    </xf>
    <xf numFmtId="169" fontId="41" fillId="16" borderId="102" xfId="1" applyNumberFormat="1" applyFont="1" applyFill="1" applyBorder="1" applyAlignment="1">
      <alignment horizontal="center" wrapText="1"/>
    </xf>
    <xf numFmtId="3" fontId="41" fillId="16" borderId="102" xfId="1" applyNumberFormat="1" applyFont="1" applyFill="1" applyBorder="1" applyAlignment="1">
      <alignment horizontal="center" wrapText="1"/>
    </xf>
    <xf numFmtId="3" fontId="38" fillId="16" borderId="102" xfId="0" applyNumberFormat="1" applyFont="1" applyFill="1" applyBorder="1" applyAlignment="1">
      <alignment horizontal="center"/>
    </xf>
    <xf numFmtId="1" fontId="63" fillId="16" borderId="102" xfId="0" applyNumberFormat="1" applyFont="1" applyFill="1" applyBorder="1" applyAlignment="1">
      <alignment horizontal="center"/>
    </xf>
    <xf numFmtId="1" fontId="41" fillId="0" borderId="102" xfId="1" applyNumberFormat="1" applyFont="1" applyFill="1" applyBorder="1" applyAlignment="1">
      <alignment horizontal="center" wrapText="1"/>
    </xf>
    <xf numFmtId="169" fontId="41" fillId="0" borderId="102" xfId="1" applyNumberFormat="1" applyFont="1" applyFill="1" applyBorder="1" applyAlignment="1">
      <alignment horizontal="center" wrapText="1"/>
    </xf>
    <xf numFmtId="3" fontId="41" fillId="0" borderId="102" xfId="1" applyNumberFormat="1" applyFont="1" applyFill="1" applyBorder="1" applyAlignment="1">
      <alignment horizontal="center" wrapText="1"/>
    </xf>
    <xf numFmtId="3" fontId="38" fillId="0" borderId="102" xfId="0" applyNumberFormat="1" applyFont="1" applyFill="1" applyBorder="1" applyAlignment="1">
      <alignment horizontal="center"/>
    </xf>
    <xf numFmtId="1" fontId="63" fillId="0" borderId="102" xfId="0" applyNumberFormat="1" applyFont="1" applyBorder="1" applyAlignment="1">
      <alignment horizontal="center"/>
    </xf>
    <xf numFmtId="169" fontId="41" fillId="0" borderId="102" xfId="0" applyNumberFormat="1" applyFont="1" applyFill="1" applyBorder="1" applyAlignment="1">
      <alignment horizontal="center" vertical="center" wrapText="1"/>
    </xf>
    <xf numFmtId="3" fontId="41" fillId="0" borderId="102" xfId="0" applyNumberFormat="1" applyFont="1" applyFill="1" applyBorder="1" applyAlignment="1">
      <alignment horizontal="center" vertical="center" wrapText="1"/>
    </xf>
    <xf numFmtId="1" fontId="41" fillId="0" borderId="102" xfId="0" applyNumberFormat="1" applyFont="1" applyFill="1" applyBorder="1" applyAlignment="1">
      <alignment horizontal="center" vertical="center" wrapText="1"/>
    </xf>
    <xf numFmtId="3" fontId="41" fillId="5" borderId="102" xfId="0" applyNumberFormat="1" applyFont="1" applyFill="1" applyBorder="1" applyAlignment="1">
      <alignment horizontal="center" vertical="center" wrapText="1"/>
    </xf>
    <xf numFmtId="1" fontId="41" fillId="5" borderId="102" xfId="0" applyNumberFormat="1" applyFont="1" applyFill="1" applyBorder="1" applyAlignment="1">
      <alignment horizontal="center" vertical="center" wrapText="1"/>
    </xf>
    <xf numFmtId="1" fontId="70" fillId="0" borderId="102" xfId="0" applyNumberFormat="1" applyFont="1" applyBorder="1" applyAlignment="1">
      <alignment horizontal="center" vertical="center"/>
    </xf>
    <xf numFmtId="169" fontId="41" fillId="0" borderId="102" xfId="1" applyNumberFormat="1" applyFont="1" applyFill="1" applyBorder="1" applyAlignment="1">
      <alignment horizontal="center" vertical="center" wrapText="1"/>
    </xf>
    <xf numFmtId="3" fontId="41" fillId="0" borderId="102" xfId="1" applyNumberFormat="1" applyFont="1" applyFill="1" applyBorder="1" applyAlignment="1">
      <alignment horizontal="center" vertical="center" wrapText="1"/>
    </xf>
    <xf numFmtId="1" fontId="41" fillId="0" borderId="102" xfId="1" applyNumberFormat="1" applyFont="1" applyFill="1" applyBorder="1" applyAlignment="1">
      <alignment horizontal="center" vertical="center" wrapText="1"/>
    </xf>
    <xf numFmtId="3" fontId="41" fillId="11" borderId="102" xfId="0" applyNumberFormat="1" applyFont="1" applyFill="1" applyBorder="1" applyAlignment="1">
      <alignment horizontal="center" vertical="center" wrapText="1"/>
    </xf>
    <xf numFmtId="167" fontId="41" fillId="11" borderId="102" xfId="0" applyNumberFormat="1" applyFont="1" applyFill="1" applyBorder="1" applyAlignment="1">
      <alignment vertical="center" wrapText="1"/>
    </xf>
    <xf numFmtId="1" fontId="41" fillId="0" borderId="102" xfId="0" applyNumberFormat="1" applyFont="1" applyFill="1" applyBorder="1" applyAlignment="1">
      <alignment horizontal="center" wrapText="1"/>
    </xf>
    <xf numFmtId="3" fontId="41" fillId="16" borderId="102" xfId="1" applyNumberFormat="1" applyFont="1" applyFill="1" applyBorder="1" applyAlignment="1">
      <alignment horizontal="center" vertical="center" wrapText="1"/>
    </xf>
    <xf numFmtId="1" fontId="41" fillId="11" borderId="102" xfId="0" applyNumberFormat="1" applyFont="1" applyFill="1" applyBorder="1" applyAlignment="1">
      <alignment horizontal="center" vertical="center" wrapText="1"/>
    </xf>
    <xf numFmtId="167" fontId="41" fillId="11" borderId="102" xfId="0" applyNumberFormat="1" applyFont="1" applyFill="1" applyBorder="1" applyAlignment="1">
      <alignment horizontal="center" vertical="center" wrapText="1"/>
    </xf>
    <xf numFmtId="1" fontId="38" fillId="16" borderId="102" xfId="1" applyNumberFormat="1" applyFont="1" applyFill="1" applyBorder="1" applyAlignment="1">
      <alignment horizontal="center" wrapText="1"/>
    </xf>
    <xf numFmtId="1" fontId="63" fillId="0" borderId="102" xfId="0" applyNumberFormat="1" applyFont="1" applyFill="1" applyBorder="1" applyAlignment="1">
      <alignment horizontal="center"/>
    </xf>
    <xf numFmtId="1" fontId="41" fillId="16" borderId="102" xfId="1" applyNumberFormat="1" applyFont="1" applyFill="1" applyBorder="1" applyAlignment="1">
      <alignment horizontal="center" vertical="center" wrapText="1"/>
    </xf>
    <xf numFmtId="169" fontId="41" fillId="16" borderId="102" xfId="1" applyNumberFormat="1" applyFont="1" applyFill="1" applyBorder="1" applyAlignment="1">
      <alignment horizontal="center" vertical="center" wrapText="1"/>
    </xf>
    <xf numFmtId="1" fontId="63" fillId="0" borderId="102" xfId="0" applyNumberFormat="1" applyFont="1" applyFill="1" applyBorder="1" applyAlignment="1">
      <alignment horizontal="center" vertical="center" wrapText="1"/>
    </xf>
    <xf numFmtId="3" fontId="41" fillId="0" borderId="102" xfId="0" applyNumberFormat="1" applyFont="1" applyFill="1" applyBorder="1" applyAlignment="1">
      <alignment horizontal="center"/>
    </xf>
    <xf numFmtId="1" fontId="38" fillId="16" borderId="102" xfId="0" applyNumberFormat="1" applyFont="1" applyFill="1" applyBorder="1" applyAlignment="1">
      <alignment horizontal="center"/>
    </xf>
    <xf numFmtId="169" fontId="38" fillId="16" borderId="102" xfId="0" applyNumberFormat="1" applyFont="1" applyFill="1" applyBorder="1" applyAlignment="1">
      <alignment horizontal="center"/>
    </xf>
    <xf numFmtId="1" fontId="38" fillId="16" borderId="102" xfId="0" applyNumberFormat="1" applyFont="1" applyFill="1" applyBorder="1"/>
    <xf numFmtId="3" fontId="38" fillId="16" borderId="102" xfId="0" applyNumberFormat="1" applyFont="1" applyFill="1" applyBorder="1"/>
    <xf numFmtId="169" fontId="38" fillId="16" borderId="0" xfId="0" applyNumberFormat="1" applyFont="1" applyFill="1" applyAlignment="1">
      <alignment horizontal="center"/>
    </xf>
    <xf numFmtId="1" fontId="38" fillId="16" borderId="0" xfId="0" applyNumberFormat="1" applyFont="1" applyFill="1"/>
    <xf numFmtId="1" fontId="63" fillId="0" borderId="0" xfId="0" applyNumberFormat="1" applyFont="1" applyAlignment="1">
      <alignment horizontal="center"/>
    </xf>
    <xf numFmtId="1" fontId="65" fillId="0" borderId="0" xfId="0" applyNumberFormat="1" applyFont="1"/>
    <xf numFmtId="3" fontId="17" fillId="0" borderId="0" xfId="0" applyNumberFormat="1" applyFont="1" applyFill="1" applyBorder="1"/>
    <xf numFmtId="3" fontId="0" fillId="0" borderId="0" xfId="0" applyNumberFormat="1" applyFill="1" applyBorder="1" applyAlignment="1">
      <alignment vertical="center"/>
    </xf>
    <xf numFmtId="0" fontId="41" fillId="0" borderId="0" xfId="0" applyFont="1" applyAlignment="1">
      <alignment horizontal="right" wrapText="1"/>
    </xf>
    <xf numFmtId="165" fontId="38" fillId="0" borderId="0" xfId="0" applyNumberFormat="1" applyFont="1" applyAlignment="1">
      <alignment horizontal="center" wrapText="1"/>
    </xf>
    <xf numFmtId="0" fontId="38" fillId="0" borderId="0" xfId="0" applyFont="1" applyAlignment="1">
      <alignment wrapText="1"/>
    </xf>
    <xf numFmtId="165" fontId="41" fillId="0" borderId="0" xfId="0" applyNumberFormat="1" applyFont="1" applyAlignment="1">
      <alignment horizontal="center" wrapText="1"/>
    </xf>
    <xf numFmtId="173" fontId="0" fillId="0" borderId="0" xfId="0" applyNumberFormat="1" applyAlignment="1">
      <alignment vertical="center"/>
    </xf>
    <xf numFmtId="3" fontId="21" fillId="9" borderId="13" xfId="0" applyNumberFormat="1" applyFont="1" applyFill="1" applyBorder="1" applyAlignment="1">
      <alignment horizontal="center" vertical="center"/>
    </xf>
    <xf numFmtId="3" fontId="21" fillId="71" borderId="13" xfId="0" applyNumberFormat="1" applyFont="1" applyFill="1" applyBorder="1" applyAlignment="1">
      <alignment horizontal="center" vertical="center"/>
    </xf>
    <xf numFmtId="3" fontId="63" fillId="5" borderId="0" xfId="0" applyNumberFormat="1" applyFont="1" applyFill="1" applyBorder="1" applyAlignment="1">
      <alignment horizontal="center" vertical="center"/>
    </xf>
    <xf numFmtId="3" fontId="63" fillId="5" borderId="69" xfId="0" applyNumberFormat="1" applyFont="1" applyFill="1" applyBorder="1" applyAlignment="1">
      <alignment horizontal="center" vertical="center"/>
    </xf>
    <xf numFmtId="3" fontId="63" fillId="5" borderId="19" xfId="0" applyNumberFormat="1" applyFont="1" applyFill="1" applyBorder="1" applyAlignment="1">
      <alignment horizontal="center" vertical="center"/>
    </xf>
    <xf numFmtId="3" fontId="63" fillId="5" borderId="52" xfId="0" applyNumberFormat="1" applyFont="1" applyFill="1" applyBorder="1" applyAlignment="1">
      <alignment horizontal="center" vertical="center"/>
    </xf>
    <xf numFmtId="3" fontId="63" fillId="5" borderId="2" xfId="0" applyNumberFormat="1" applyFont="1" applyFill="1" applyBorder="1" applyAlignment="1">
      <alignment horizontal="center"/>
    </xf>
    <xf numFmtId="3" fontId="63" fillId="5" borderId="53" xfId="0" applyNumberFormat="1" applyFont="1" applyFill="1" applyBorder="1" applyAlignment="1">
      <alignment horizontal="center"/>
    </xf>
    <xf numFmtId="3" fontId="70" fillId="5" borderId="40" xfId="0" applyNumberFormat="1" applyFont="1" applyFill="1" applyBorder="1" applyAlignment="1">
      <alignment horizontal="center" vertical="center" wrapText="1"/>
    </xf>
    <xf numFmtId="3" fontId="70" fillId="5" borderId="51" xfId="0" applyNumberFormat="1" applyFont="1" applyFill="1" applyBorder="1" applyAlignment="1">
      <alignment horizontal="center" vertical="center" wrapText="1"/>
    </xf>
    <xf numFmtId="3" fontId="63" fillId="29" borderId="3" xfId="0" applyNumberFormat="1" applyFont="1" applyFill="1" applyBorder="1" applyAlignment="1">
      <alignment horizontal="center" vertical="center"/>
    </xf>
    <xf numFmtId="3" fontId="63" fillId="29" borderId="32" xfId="0" applyNumberFormat="1" applyFont="1" applyFill="1" applyBorder="1" applyAlignment="1">
      <alignment horizontal="center" vertical="center"/>
    </xf>
    <xf numFmtId="3" fontId="38" fillId="0" borderId="3" xfId="0" applyNumberFormat="1" applyFont="1" applyFill="1" applyBorder="1" applyAlignment="1">
      <alignment horizontal="center" vertical="center"/>
    </xf>
    <xf numFmtId="3" fontId="38" fillId="0" borderId="32" xfId="0" applyNumberFormat="1" applyFont="1" applyFill="1" applyBorder="1" applyAlignment="1">
      <alignment horizontal="center" vertical="center"/>
    </xf>
    <xf numFmtId="3" fontId="41" fillId="4" borderId="32" xfId="0" applyNumberFormat="1" applyFont="1" applyFill="1" applyBorder="1" applyAlignment="1">
      <alignment horizontal="center" vertical="center" wrapText="1"/>
    </xf>
    <xf numFmtId="3" fontId="75" fillId="13" borderId="5" xfId="2" applyNumberFormat="1" applyFont="1" applyFill="1" applyBorder="1" applyAlignment="1">
      <alignment horizontal="left" vertical="center"/>
    </xf>
    <xf numFmtId="3" fontId="75" fillId="13" borderId="48" xfId="2" applyNumberFormat="1" applyFont="1" applyFill="1" applyBorder="1" applyAlignment="1">
      <alignment horizontal="left" vertical="center"/>
    </xf>
    <xf numFmtId="3" fontId="41" fillId="70" borderId="32" xfId="0" applyNumberFormat="1" applyFont="1" applyFill="1" applyBorder="1" applyAlignment="1">
      <alignment horizontal="center" vertical="center" wrapText="1"/>
    </xf>
    <xf numFmtId="3" fontId="63" fillId="21" borderId="3" xfId="0" applyNumberFormat="1" applyFont="1" applyFill="1" applyBorder="1" applyAlignment="1">
      <alignment horizontal="center" vertical="center"/>
    </xf>
    <xf numFmtId="3" fontId="63" fillId="21" borderId="32" xfId="0" applyNumberFormat="1" applyFont="1" applyFill="1" applyBorder="1" applyAlignment="1">
      <alignment horizontal="center" vertical="center"/>
    </xf>
    <xf numFmtId="3" fontId="63" fillId="24" borderId="3" xfId="0" applyNumberFormat="1" applyFont="1" applyFill="1" applyBorder="1" applyAlignment="1">
      <alignment horizontal="center" vertical="center"/>
    </xf>
    <xf numFmtId="3" fontId="63" fillId="24" borderId="32" xfId="0" applyNumberFormat="1" applyFont="1" applyFill="1" applyBorder="1" applyAlignment="1">
      <alignment horizontal="center" vertical="center"/>
    </xf>
    <xf numFmtId="3" fontId="41" fillId="4" borderId="48" xfId="0" applyNumberFormat="1" applyFont="1" applyFill="1" applyBorder="1" applyAlignment="1">
      <alignment horizontal="center" vertical="center" wrapText="1"/>
    </xf>
    <xf numFmtId="0" fontId="70" fillId="6" borderId="32" xfId="0" applyFont="1" applyFill="1" applyBorder="1" applyAlignment="1">
      <alignment horizontal="left" vertical="center" wrapText="1"/>
    </xf>
    <xf numFmtId="0" fontId="63" fillId="6" borderId="32" xfId="0" applyFont="1" applyFill="1" applyBorder="1" applyAlignment="1">
      <alignment horizontal="center" vertical="center" wrapText="1"/>
    </xf>
    <xf numFmtId="1" fontId="41" fillId="20" borderId="5" xfId="0" applyNumberFormat="1" applyFont="1" applyFill="1" applyBorder="1" applyAlignment="1">
      <alignment horizontal="center" vertical="center" wrapText="1"/>
    </xf>
    <xf numFmtId="3" fontId="63" fillId="0" borderId="5" xfId="0" applyNumberFormat="1" applyFont="1" applyFill="1" applyBorder="1" applyAlignment="1">
      <alignment horizontal="center" vertical="center"/>
    </xf>
    <xf numFmtId="3" fontId="63" fillId="0" borderId="48" xfId="0" applyNumberFormat="1" applyFont="1" applyFill="1" applyBorder="1" applyAlignment="1">
      <alignment horizontal="center" vertical="center"/>
    </xf>
    <xf numFmtId="3" fontId="63" fillId="16" borderId="102" xfId="0" applyNumberFormat="1" applyFont="1" applyFill="1" applyBorder="1" applyAlignment="1">
      <alignment horizontal="center" vertical="center"/>
    </xf>
    <xf numFmtId="3" fontId="63" fillId="16" borderId="104" xfId="0" applyNumberFormat="1" applyFont="1" applyFill="1" applyBorder="1" applyAlignment="1">
      <alignment horizontal="center" vertical="center"/>
    </xf>
    <xf numFmtId="3" fontId="63" fillId="0" borderId="102" xfId="0" applyNumberFormat="1" applyFont="1" applyBorder="1" applyAlignment="1">
      <alignment horizontal="center" vertical="center"/>
    </xf>
    <xf numFmtId="3" fontId="63" fillId="0" borderId="104" xfId="0" applyNumberFormat="1" applyFont="1" applyBorder="1" applyAlignment="1">
      <alignment horizontal="center" vertical="center"/>
    </xf>
    <xf numFmtId="3" fontId="70" fillId="22" borderId="102" xfId="0" applyNumberFormat="1" applyFont="1" applyFill="1" applyBorder="1" applyAlignment="1">
      <alignment horizontal="center" vertical="center"/>
    </xf>
    <xf numFmtId="3" fontId="70" fillId="22" borderId="104" xfId="0" applyNumberFormat="1" applyFont="1" applyFill="1" applyBorder="1" applyAlignment="1">
      <alignment horizontal="center" vertical="center"/>
    </xf>
    <xf numFmtId="166" fontId="41" fillId="11" borderId="102" xfId="0" applyNumberFormat="1" applyFont="1" applyFill="1" applyBorder="1" applyAlignment="1">
      <alignment horizontal="center" vertical="center" wrapText="1"/>
    </xf>
    <xf numFmtId="3" fontId="63" fillId="0" borderId="102" xfId="0" applyNumberFormat="1" applyFont="1" applyFill="1" applyBorder="1" applyAlignment="1">
      <alignment horizontal="center" vertical="center"/>
    </xf>
    <xf numFmtId="3" fontId="63" fillId="0" borderId="102" xfId="0" applyNumberFormat="1" applyFont="1" applyFill="1" applyBorder="1" applyAlignment="1">
      <alignment horizontal="center" vertical="center" wrapText="1"/>
    </xf>
    <xf numFmtId="3" fontId="63" fillId="0" borderId="0" xfId="0" applyNumberFormat="1" applyFont="1" applyAlignment="1">
      <alignment horizontal="center" vertical="center"/>
    </xf>
    <xf numFmtId="3" fontId="63" fillId="29" borderId="7" xfId="0" applyNumberFormat="1" applyFont="1" applyFill="1" applyBorder="1" applyAlignment="1">
      <alignment horizontal="center" vertical="center"/>
    </xf>
    <xf numFmtId="3" fontId="63" fillId="0" borderId="3" xfId="0" applyNumberFormat="1" applyFont="1" applyFill="1" applyBorder="1" applyAlignment="1">
      <alignment horizontal="center" vertical="center"/>
    </xf>
    <xf numFmtId="3" fontId="63" fillId="0" borderId="7" xfId="0" applyNumberFormat="1" applyFont="1" applyFill="1" applyBorder="1" applyAlignment="1">
      <alignment horizontal="center" vertical="center"/>
    </xf>
    <xf numFmtId="3" fontId="63" fillId="0" borderId="32" xfId="0" applyNumberFormat="1" applyFont="1" applyFill="1" applyBorder="1" applyAlignment="1">
      <alignment horizontal="center" vertical="center"/>
    </xf>
    <xf numFmtId="3" fontId="41" fillId="0" borderId="32" xfId="0" applyNumberFormat="1" applyFont="1" applyFill="1" applyBorder="1" applyAlignment="1">
      <alignment horizontal="center" vertical="center" wrapText="1"/>
    </xf>
    <xf numFmtId="3" fontId="41" fillId="0" borderId="48" xfId="0" applyNumberFormat="1" applyFont="1" applyFill="1" applyBorder="1" applyAlignment="1">
      <alignment horizontal="center" vertical="center" wrapText="1"/>
    </xf>
    <xf numFmtId="3" fontId="63" fillId="21" borderId="7" xfId="0" applyNumberFormat="1" applyFont="1" applyFill="1" applyBorder="1" applyAlignment="1">
      <alignment horizontal="center" vertical="center"/>
    </xf>
    <xf numFmtId="3" fontId="63" fillId="24" borderId="7" xfId="0" applyNumberFormat="1" applyFont="1" applyFill="1" applyBorder="1" applyAlignment="1">
      <alignment horizontal="center" vertical="center"/>
    </xf>
    <xf numFmtId="3" fontId="63" fillId="0" borderId="14" xfId="0" applyNumberFormat="1" applyFont="1" applyFill="1" applyBorder="1" applyAlignment="1">
      <alignment horizontal="center" vertical="center"/>
    </xf>
    <xf numFmtId="169" fontId="13" fillId="0" borderId="32" xfId="0" applyNumberFormat="1" applyFont="1" applyFill="1" applyBorder="1" applyAlignment="1">
      <alignment horizontal="center"/>
    </xf>
    <xf numFmtId="1" fontId="0" fillId="0" borderId="7" xfId="0" applyNumberFormat="1" applyFill="1" applyBorder="1" applyAlignment="1">
      <alignment horizontal="right"/>
    </xf>
    <xf numFmtId="169" fontId="38" fillId="0" borderId="5" xfId="0" applyNumberFormat="1" applyFont="1" applyFill="1" applyBorder="1" applyAlignment="1">
      <alignment horizontal="center" vertical="center"/>
    </xf>
    <xf numFmtId="0" fontId="21" fillId="72" borderId="13" xfId="0" applyFont="1" applyFill="1" applyBorder="1" applyAlignment="1">
      <alignment horizontal="center" vertical="center" wrapText="1"/>
    </xf>
    <xf numFmtId="3" fontId="39" fillId="72" borderId="7" xfId="2" applyNumberFormat="1" applyFont="1" applyFill="1" applyBorder="1" applyAlignment="1">
      <alignment horizontal="left" vertical="top" wrapText="1"/>
    </xf>
    <xf numFmtId="3" fontId="39" fillId="72" borderId="14" xfId="2" applyNumberFormat="1" applyFont="1" applyFill="1" applyBorder="1" applyAlignment="1">
      <alignment horizontal="left" vertical="top" wrapText="1"/>
    </xf>
    <xf numFmtId="3" fontId="40" fillId="72" borderId="7" xfId="2" applyNumberFormat="1" applyFont="1" applyFill="1" applyBorder="1" applyAlignment="1">
      <alignment horizontal="left" vertical="center"/>
    </xf>
    <xf numFmtId="3" fontId="40" fillId="72" borderId="14" xfId="2" applyNumberFormat="1" applyFont="1" applyFill="1" applyBorder="1" applyAlignment="1">
      <alignment horizontal="left" vertical="center"/>
    </xf>
    <xf numFmtId="3" fontId="74" fillId="72" borderId="32" xfId="2" applyNumberFormat="1" applyFont="1" applyFill="1" applyBorder="1" applyAlignment="1">
      <alignment horizontal="left" vertical="top" wrapText="1"/>
    </xf>
    <xf numFmtId="3" fontId="74" fillId="72" borderId="3" xfId="2" applyNumberFormat="1" applyFont="1" applyFill="1" applyBorder="1" applyAlignment="1">
      <alignment horizontal="left" vertical="top" wrapText="1"/>
    </xf>
    <xf numFmtId="3" fontId="28" fillId="0" borderId="7" xfId="0" applyNumberFormat="1" applyFont="1" applyFill="1" applyBorder="1" applyAlignment="1">
      <alignment horizontal="left" vertical="center" wrapText="1"/>
    </xf>
    <xf numFmtId="3" fontId="28" fillId="0" borderId="7" xfId="0" applyNumberFormat="1" applyFont="1" applyFill="1" applyBorder="1" applyAlignment="1">
      <alignment vertical="center"/>
    </xf>
    <xf numFmtId="1" fontId="28" fillId="0" borderId="7" xfId="0" applyNumberFormat="1" applyFont="1" applyFill="1" applyBorder="1" applyAlignment="1">
      <alignment horizontal="left" vertical="center" wrapText="1"/>
    </xf>
    <xf numFmtId="3" fontId="25" fillId="23" borderId="0" xfId="0" applyNumberFormat="1" applyFont="1" applyFill="1" applyAlignment="1">
      <alignment horizontal="center"/>
    </xf>
    <xf numFmtId="3" fontId="24" fillId="23" borderId="0" xfId="0" applyNumberFormat="1" applyFont="1" applyFill="1" applyAlignment="1">
      <alignment horizontal="center"/>
    </xf>
    <xf numFmtId="1" fontId="63" fillId="0" borderId="32" xfId="0" applyNumberFormat="1" applyFont="1" applyFill="1" applyBorder="1" applyAlignment="1">
      <alignment horizontal="center" vertical="center"/>
    </xf>
    <xf numFmtId="3" fontId="34" fillId="0" borderId="7" xfId="0" applyNumberFormat="1" applyFont="1" applyFill="1" applyBorder="1" applyAlignment="1">
      <alignment horizontal="left" vertical="center"/>
    </xf>
    <xf numFmtId="0" fontId="38" fillId="0" borderId="7" xfId="0" applyFont="1" applyFill="1" applyBorder="1" applyAlignment="1">
      <alignment horizontal="left" vertical="center"/>
    </xf>
    <xf numFmtId="0" fontId="28" fillId="72" borderId="13" xfId="0" applyFont="1" applyFill="1" applyBorder="1" applyAlignment="1">
      <alignment horizontal="left" vertical="center"/>
    </xf>
    <xf numFmtId="0" fontId="21" fillId="72" borderId="7" xfId="0" applyFont="1" applyFill="1" applyBorder="1" applyAlignment="1">
      <alignment horizontal="left" vertical="center"/>
    </xf>
    <xf numFmtId="0" fontId="21" fillId="72" borderId="14" xfId="0" applyFont="1" applyFill="1" applyBorder="1" applyAlignment="1">
      <alignment horizontal="left" vertical="center"/>
    </xf>
    <xf numFmtId="1" fontId="41" fillId="72" borderId="2" xfId="0" applyNumberFormat="1" applyFont="1" applyFill="1" applyBorder="1" applyAlignment="1">
      <alignment horizontal="center" vertical="center"/>
    </xf>
    <xf numFmtId="169" fontId="41" fillId="72" borderId="3" xfId="0" applyNumberFormat="1" applyFont="1" applyFill="1" applyBorder="1" applyAlignment="1">
      <alignment horizontal="center" vertical="center" wrapText="1"/>
    </xf>
    <xf numFmtId="3" fontId="41" fillId="72" borderId="3" xfId="0" applyNumberFormat="1" applyFont="1" applyFill="1" applyBorder="1" applyAlignment="1">
      <alignment horizontal="center" vertical="center" wrapText="1"/>
    </xf>
    <xf numFmtId="1" fontId="41" fillId="72" borderId="7" xfId="0" applyNumberFormat="1" applyFont="1" applyFill="1" applyBorder="1" applyAlignment="1">
      <alignment horizontal="center" vertical="center" wrapText="1"/>
    </xf>
    <xf numFmtId="3" fontId="41" fillId="72" borderId="7" xfId="0" applyNumberFormat="1" applyFont="1" applyFill="1" applyBorder="1" applyAlignment="1">
      <alignment horizontal="center" vertical="center" wrapText="1"/>
    </xf>
    <xf numFmtId="1" fontId="41" fillId="72" borderId="29" xfId="0" applyNumberFormat="1" applyFont="1" applyFill="1" applyBorder="1" applyAlignment="1">
      <alignment horizontal="center" vertical="center" wrapText="1"/>
    </xf>
    <xf numFmtId="3" fontId="41" fillId="72" borderId="32" xfId="0" applyNumberFormat="1" applyFont="1" applyFill="1" applyBorder="1" applyAlignment="1">
      <alignment horizontal="center" vertical="center" wrapText="1"/>
    </xf>
    <xf numFmtId="166" fontId="28" fillId="0" borderId="0" xfId="0" applyNumberFormat="1" applyFont="1"/>
    <xf numFmtId="3" fontId="28" fillId="0" borderId="0" xfId="0" applyNumberFormat="1" applyFont="1" applyFill="1" applyBorder="1" applyAlignment="1">
      <alignment horizontal="center" vertical="center" wrapText="1"/>
    </xf>
    <xf numFmtId="166" fontId="41" fillId="9" borderId="8" xfId="1" applyNumberFormat="1" applyFont="1" applyFill="1" applyBorder="1" applyAlignment="1">
      <alignment horizontal="center" vertical="center" wrapText="1"/>
    </xf>
    <xf numFmtId="3" fontId="38" fillId="0" borderId="0" xfId="0" applyNumberFormat="1" applyFont="1" applyFill="1" applyAlignment="1">
      <alignment horizontal="center"/>
    </xf>
    <xf numFmtId="3" fontId="38" fillId="0" borderId="14" xfId="0" applyNumberFormat="1" applyFont="1" applyFill="1" applyBorder="1" applyAlignment="1">
      <alignment horizontal="center" vertical="center" wrapText="1"/>
    </xf>
    <xf numFmtId="3" fontId="40" fillId="72" borderId="7" xfId="2" applyNumberFormat="1" applyFont="1" applyFill="1" applyBorder="1" applyAlignment="1">
      <alignment horizontal="left" vertical="top"/>
    </xf>
    <xf numFmtId="1" fontId="38" fillId="0" borderId="5" xfId="0" applyNumberFormat="1" applyFont="1" applyFill="1" applyBorder="1" applyAlignment="1">
      <alignment horizontal="center"/>
    </xf>
    <xf numFmtId="3" fontId="38" fillId="0" borderId="14" xfId="0" applyNumberFormat="1" applyFont="1" applyFill="1" applyBorder="1" applyAlignment="1">
      <alignment horizontal="center" vertical="center" wrapText="1"/>
    </xf>
    <xf numFmtId="3" fontId="38" fillId="22" borderId="0" xfId="0" applyNumberFormat="1" applyFont="1" applyFill="1" applyAlignment="1">
      <alignment horizontal="center"/>
    </xf>
    <xf numFmtId="1" fontId="38" fillId="0" borderId="14" xfId="0" applyNumberFormat="1" applyFont="1" applyFill="1" applyBorder="1" applyAlignment="1">
      <alignment horizontal="center" vertical="center"/>
    </xf>
    <xf numFmtId="1" fontId="28" fillId="0" borderId="7" xfId="0" applyNumberFormat="1" applyFont="1" applyFill="1" applyBorder="1" applyAlignment="1">
      <alignment horizontal="left" vertical="center"/>
    </xf>
    <xf numFmtId="1" fontId="17" fillId="0" borderId="23" xfId="0" applyNumberFormat="1" applyFont="1" applyFill="1" applyBorder="1" applyAlignment="1">
      <alignment horizontal="center" vertical="center" wrapText="1"/>
    </xf>
    <xf numFmtId="3" fontId="34" fillId="0" borderId="13" xfId="0" applyNumberFormat="1" applyFont="1" applyFill="1" applyBorder="1" applyAlignment="1">
      <alignment horizontal="center" vertical="center"/>
    </xf>
    <xf numFmtId="1" fontId="63" fillId="0" borderId="7" xfId="0" applyNumberFormat="1" applyFont="1" applyFill="1" applyBorder="1" applyAlignment="1">
      <alignment horizontal="left" vertical="center"/>
    </xf>
    <xf numFmtId="3" fontId="63" fillId="0" borderId="7"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xf>
    <xf numFmtId="3" fontId="3" fillId="0" borderId="7" xfId="0" applyNumberFormat="1" applyFont="1" applyFill="1" applyBorder="1" applyAlignment="1">
      <alignment horizontal="center" vertical="center"/>
    </xf>
    <xf numFmtId="0" fontId="3" fillId="0" borderId="7" xfId="0" applyFont="1" applyFill="1" applyBorder="1" applyAlignment="1">
      <alignment vertical="center"/>
    </xf>
    <xf numFmtId="3" fontId="28" fillId="0" borderId="2" xfId="0" applyNumberFormat="1" applyFont="1" applyFill="1" applyBorder="1" applyAlignment="1">
      <alignment horizontal="center" vertical="center"/>
    </xf>
    <xf numFmtId="0" fontId="17" fillId="0" borderId="3" xfId="0" applyFont="1" applyFill="1" applyBorder="1" applyAlignment="1">
      <alignment horizontal="center" vertical="center"/>
    </xf>
    <xf numFmtId="0" fontId="3" fillId="0" borderId="7" xfId="0" applyFont="1" applyFill="1" applyBorder="1" applyAlignment="1"/>
    <xf numFmtId="3" fontId="17" fillId="0" borderId="29" xfId="0" applyNumberFormat="1" applyFont="1" applyFill="1" applyBorder="1" applyAlignment="1">
      <alignment horizontal="center" vertical="center"/>
    </xf>
    <xf numFmtId="169" fontId="3" fillId="0" borderId="2" xfId="0" applyNumberFormat="1" applyFont="1" applyFill="1" applyBorder="1" applyAlignment="1">
      <alignment horizontal="left" vertical="center"/>
    </xf>
    <xf numFmtId="169" fontId="3" fillId="0" borderId="2" xfId="0" applyNumberFormat="1" applyFont="1" applyFill="1" applyBorder="1" applyAlignment="1">
      <alignment horizontal="center" vertical="center"/>
    </xf>
    <xf numFmtId="0" fontId="3" fillId="0" borderId="2" xfId="0" applyFont="1" applyFill="1" applyBorder="1" applyAlignment="1">
      <alignment horizontal="center"/>
    </xf>
    <xf numFmtId="3" fontId="0" fillId="23" borderId="7" xfId="0" applyNumberFormat="1" applyFill="1" applyBorder="1"/>
    <xf numFmtId="1" fontId="38" fillId="0" borderId="14" xfId="0" applyNumberFormat="1" applyFont="1" applyFill="1" applyBorder="1" applyAlignment="1">
      <alignment horizontal="center" vertical="center" wrapText="1"/>
    </xf>
    <xf numFmtId="3" fontId="38" fillId="0" borderId="14" xfId="0" applyNumberFormat="1" applyFont="1" applyFill="1" applyBorder="1" applyAlignment="1">
      <alignment horizontal="center" vertical="center" wrapText="1"/>
    </xf>
    <xf numFmtId="3" fontId="25" fillId="0" borderId="103" xfId="0" applyNumberFormat="1" applyFont="1" applyFill="1" applyBorder="1" applyAlignment="1">
      <alignment horizontal="center"/>
    </xf>
    <xf numFmtId="0" fontId="28" fillId="0" borderId="0" xfId="0" applyFont="1" applyFill="1" applyBorder="1"/>
    <xf numFmtId="0" fontId="25" fillId="0" borderId="0" xfId="0" applyFont="1" applyFill="1" applyBorder="1"/>
    <xf numFmtId="3" fontId="17" fillId="0" borderId="13" xfId="0" applyNumberFormat="1" applyFont="1" applyFill="1" applyBorder="1" applyAlignment="1">
      <alignment horizontal="center" vertical="center"/>
    </xf>
    <xf numFmtId="3" fontId="23" fillId="0" borderId="0" xfId="0" applyNumberFormat="1" applyFont="1" applyFill="1" applyAlignment="1"/>
    <xf numFmtId="1" fontId="38" fillId="0" borderId="14" xfId="0" applyNumberFormat="1" applyFont="1" applyFill="1" applyBorder="1" applyAlignment="1">
      <alignment horizontal="center" vertical="center" wrapText="1"/>
    </xf>
    <xf numFmtId="3" fontId="38" fillId="0" borderId="14" xfId="0" applyNumberFormat="1" applyFont="1" applyFill="1" applyBorder="1" applyAlignment="1">
      <alignment horizontal="center" vertical="center" wrapText="1"/>
    </xf>
    <xf numFmtId="3" fontId="38" fillId="0" borderId="2" xfId="0" applyNumberFormat="1"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0" fontId="3" fillId="0" borderId="7" xfId="0" applyFont="1" applyFill="1" applyBorder="1" applyAlignment="1" applyProtection="1">
      <alignment horizontal="left" vertical="center"/>
      <protection locked="0"/>
    </xf>
    <xf numFmtId="1" fontId="38" fillId="0" borderId="14" xfId="0" applyNumberFormat="1" applyFont="1" applyFill="1" applyBorder="1" applyAlignment="1">
      <alignment horizontal="center" vertical="center" wrapText="1"/>
    </xf>
    <xf numFmtId="3" fontId="38" fillId="0" borderId="14" xfId="0" applyNumberFormat="1" applyFont="1" applyFill="1" applyBorder="1" applyAlignment="1">
      <alignment horizontal="center" vertical="center" wrapText="1"/>
    </xf>
    <xf numFmtId="3" fontId="0" fillId="0" borderId="2" xfId="0" applyNumberFormat="1" applyFill="1" applyBorder="1" applyAlignment="1">
      <alignment horizontal="center"/>
    </xf>
    <xf numFmtId="3" fontId="0" fillId="5" borderId="0" xfId="0" applyNumberFormat="1" applyFill="1" applyBorder="1" applyAlignment="1"/>
    <xf numFmtId="3" fontId="0" fillId="5" borderId="19" xfId="0" applyNumberFormat="1" applyFill="1" applyBorder="1" applyAlignment="1"/>
    <xf numFmtId="3" fontId="33" fillId="7" borderId="53" xfId="0" applyNumberFormat="1" applyFont="1" applyFill="1" applyBorder="1" applyAlignment="1">
      <alignment vertical="center"/>
    </xf>
    <xf numFmtId="3" fontId="33" fillId="0" borderId="53" xfId="0" applyNumberFormat="1" applyFont="1" applyFill="1" applyBorder="1" applyAlignment="1">
      <alignment vertical="center"/>
    </xf>
    <xf numFmtId="3" fontId="21" fillId="9" borderId="7" xfId="0" applyNumberFormat="1" applyFont="1" applyFill="1" applyBorder="1" applyAlignment="1">
      <alignment vertical="center" wrapText="1"/>
    </xf>
    <xf numFmtId="3" fontId="21" fillId="72" borderId="32" xfId="0" applyNumberFormat="1" applyFont="1" applyFill="1" applyBorder="1" applyAlignment="1">
      <alignment vertical="center" wrapText="1"/>
    </xf>
    <xf numFmtId="3" fontId="21" fillId="0" borderId="29" xfId="0" applyNumberFormat="1" applyFont="1" applyFill="1" applyBorder="1" applyAlignment="1">
      <alignment vertical="center" wrapText="1"/>
    </xf>
    <xf numFmtId="3" fontId="18" fillId="9" borderId="7" xfId="0" applyNumberFormat="1" applyFont="1" applyFill="1" applyBorder="1" applyAlignment="1">
      <alignment vertical="center" wrapText="1"/>
    </xf>
    <xf numFmtId="3" fontId="13" fillId="23" borderId="32" xfId="0" applyNumberFormat="1" applyFont="1" applyFill="1" applyBorder="1" applyAlignment="1"/>
    <xf numFmtId="3" fontId="18" fillId="4" borderId="7" xfId="0" applyNumberFormat="1" applyFont="1" applyFill="1" applyBorder="1" applyAlignment="1">
      <alignment vertical="center" wrapText="1"/>
    </xf>
    <xf numFmtId="3" fontId="13" fillId="15" borderId="32" xfId="0" applyNumberFormat="1" applyFont="1" applyFill="1" applyBorder="1" applyAlignment="1">
      <alignment vertical="center"/>
    </xf>
    <xf numFmtId="3" fontId="13" fillId="0" borderId="48" xfId="0" applyNumberFormat="1" applyFont="1" applyFill="1" applyBorder="1" applyAlignment="1"/>
    <xf numFmtId="166" fontId="41" fillId="9" borderId="8" xfId="1" applyNumberFormat="1" applyFont="1" applyFill="1" applyBorder="1" applyAlignment="1">
      <alignment wrapText="1"/>
    </xf>
    <xf numFmtId="3" fontId="13" fillId="0" borderId="0" xfId="0" applyNumberFormat="1" applyFont="1" applyBorder="1" applyAlignment="1"/>
    <xf numFmtId="3" fontId="22" fillId="22" borderId="7" xfId="0" applyNumberFormat="1" applyFont="1" applyFill="1" applyBorder="1" applyAlignment="1">
      <alignment vertical="center"/>
    </xf>
    <xf numFmtId="3" fontId="41" fillId="11" borderId="7" xfId="0" applyNumberFormat="1" applyFont="1" applyFill="1" applyBorder="1" applyAlignment="1">
      <alignment vertical="center" wrapText="1"/>
    </xf>
    <xf numFmtId="3" fontId="13" fillId="0" borderId="0" xfId="0" applyNumberFormat="1" applyFont="1" applyBorder="1" applyAlignment="1">
      <alignment vertical="center"/>
    </xf>
    <xf numFmtId="3" fontId="13" fillId="0" borderId="25" xfId="0" applyNumberFormat="1" applyFont="1" applyBorder="1" applyAlignment="1"/>
    <xf numFmtId="3" fontId="13" fillId="0" borderId="0" xfId="0" applyNumberFormat="1" applyFont="1" applyAlignment="1"/>
    <xf numFmtId="3" fontId="63" fillId="5" borderId="51" xfId="0" applyNumberFormat="1" applyFont="1" applyFill="1" applyBorder="1" applyAlignment="1">
      <alignment horizontal="center" vertical="center" wrapText="1"/>
    </xf>
    <xf numFmtId="3" fontId="38" fillId="0" borderId="32" xfId="0" applyNumberFormat="1" applyFont="1" applyFill="1" applyBorder="1" applyAlignment="1">
      <alignment horizontal="center" vertical="center" wrapText="1"/>
    </xf>
    <xf numFmtId="0" fontId="17" fillId="73" borderId="13" xfId="0" applyFont="1" applyFill="1" applyBorder="1" applyAlignment="1">
      <alignment horizontal="center"/>
    </xf>
    <xf numFmtId="3" fontId="17" fillId="73" borderId="7" xfId="0" applyNumberFormat="1" applyFont="1" applyFill="1" applyBorder="1"/>
    <xf numFmtId="0" fontId="3" fillId="73" borderId="13" xfId="0" applyFont="1" applyFill="1" applyBorder="1" applyAlignment="1">
      <alignment horizontal="center" vertical="center"/>
    </xf>
    <xf numFmtId="3" fontId="13" fillId="73" borderId="7" xfId="0" applyNumberFormat="1" applyFont="1" applyFill="1" applyBorder="1" applyAlignment="1">
      <alignment vertical="center"/>
    </xf>
    <xf numFmtId="169" fontId="3" fillId="0" borderId="3" xfId="0" applyNumberFormat="1" applyFont="1" applyFill="1" applyBorder="1" applyAlignment="1">
      <alignment horizontal="center" vertical="center"/>
    </xf>
    <xf numFmtId="3" fontId="17" fillId="0" borderId="2" xfId="0" applyNumberFormat="1" applyFont="1" applyFill="1" applyBorder="1" applyAlignment="1">
      <alignment horizontal="center" vertical="center"/>
    </xf>
    <xf numFmtId="3" fontId="0" fillId="0" borderId="29" xfId="0" applyNumberFormat="1" applyFill="1" applyBorder="1" applyAlignment="1">
      <alignment vertical="center"/>
    </xf>
    <xf numFmtId="0" fontId="24" fillId="0" borderId="0" xfId="0" applyFont="1" applyFill="1" applyAlignment="1">
      <alignment horizontal="center" vertical="center"/>
    </xf>
    <xf numFmtId="3" fontId="0" fillId="0" borderId="0" xfId="0" applyNumberFormat="1" applyFill="1" applyAlignment="1">
      <alignment vertical="center"/>
    </xf>
    <xf numFmtId="0" fontId="17" fillId="0" borderId="0" xfId="0" applyFont="1" applyFill="1" applyAlignment="1"/>
    <xf numFmtId="170" fontId="78" fillId="18" borderId="7" xfId="1" applyNumberFormat="1" applyFont="1" applyFill="1" applyBorder="1" applyAlignment="1">
      <alignment horizontal="center"/>
    </xf>
    <xf numFmtId="3" fontId="78" fillId="4" borderId="14" xfId="1" applyNumberFormat="1" applyFont="1" applyFill="1" applyBorder="1" applyAlignment="1">
      <alignment horizontal="center"/>
    </xf>
    <xf numFmtId="3" fontId="41" fillId="0" borderId="0" xfId="1" applyNumberFormat="1" applyFont="1" applyBorder="1" applyAlignment="1">
      <alignment horizontal="center"/>
    </xf>
    <xf numFmtId="165" fontId="70" fillId="20" borderId="7" xfId="0" applyNumberFormat="1" applyFont="1" applyFill="1" applyBorder="1" applyAlignment="1">
      <alignment horizontal="center" vertical="center" wrapText="1"/>
    </xf>
    <xf numFmtId="165" fontId="70" fillId="62" borderId="7" xfId="0" applyNumberFormat="1" applyFont="1" applyFill="1" applyBorder="1" applyAlignment="1">
      <alignment horizontal="center" vertical="center"/>
    </xf>
    <xf numFmtId="3" fontId="75" fillId="16" borderId="7" xfId="1" applyNumberFormat="1" applyFont="1" applyFill="1" applyBorder="1" applyAlignment="1">
      <alignment horizontal="center" vertical="center"/>
    </xf>
    <xf numFmtId="3" fontId="41" fillId="4" borderId="7" xfId="0" applyNumberFormat="1" applyFont="1" applyFill="1" applyBorder="1" applyAlignment="1">
      <alignment horizontal="center" vertical="center"/>
    </xf>
    <xf numFmtId="165" fontId="70" fillId="21" borderId="7" xfId="0" applyNumberFormat="1" applyFont="1" applyFill="1" applyBorder="1" applyAlignment="1">
      <alignment horizontal="center" vertical="center"/>
    </xf>
    <xf numFmtId="3" fontId="41" fillId="0" borderId="7" xfId="0" applyNumberFormat="1" applyFont="1" applyFill="1" applyBorder="1" applyAlignment="1">
      <alignment horizontal="center" vertical="center"/>
    </xf>
    <xf numFmtId="165" fontId="63" fillId="0" borderId="7" xfId="0" applyNumberFormat="1" applyFont="1" applyFill="1" applyBorder="1" applyAlignment="1">
      <alignment horizontal="center" vertical="center" wrapText="1"/>
    </xf>
    <xf numFmtId="165" fontId="70" fillId="21" borderId="7" xfId="0" applyNumberFormat="1" applyFont="1" applyFill="1" applyBorder="1" applyAlignment="1">
      <alignment horizontal="center" vertical="center" wrapText="1"/>
    </xf>
    <xf numFmtId="165" fontId="63" fillId="0" borderId="7" xfId="0" applyNumberFormat="1" applyFont="1" applyFill="1" applyBorder="1" applyAlignment="1">
      <alignment horizontal="center" vertical="center"/>
    </xf>
    <xf numFmtId="3" fontId="41" fillId="20" borderId="7" xfId="0" applyNumberFormat="1" applyFont="1" applyFill="1" applyBorder="1" applyAlignment="1">
      <alignment horizontal="center" vertical="center"/>
    </xf>
    <xf numFmtId="3" fontId="41" fillId="62" borderId="14" xfId="0" applyNumberFormat="1" applyFont="1" applyFill="1" applyBorder="1" applyAlignment="1">
      <alignment horizontal="center" vertical="center" wrapText="1"/>
    </xf>
    <xf numFmtId="3" fontId="41" fillId="0" borderId="14" xfId="0" applyNumberFormat="1" applyFont="1" applyFill="1" applyBorder="1" applyAlignment="1">
      <alignment horizontal="center" vertical="center"/>
    </xf>
    <xf numFmtId="0" fontId="41" fillId="10" borderId="102" xfId="0" applyFont="1" applyFill="1" applyBorder="1" applyAlignment="1">
      <alignment horizontal="center" wrapText="1"/>
    </xf>
    <xf numFmtId="0" fontId="38" fillId="0" borderId="102" xfId="0" applyFont="1" applyFill="1" applyBorder="1"/>
    <xf numFmtId="3" fontId="38" fillId="0" borderId="102" xfId="0" applyNumberFormat="1" applyFont="1" applyFill="1" applyBorder="1" applyAlignment="1">
      <alignment vertical="center" wrapText="1"/>
    </xf>
    <xf numFmtId="3" fontId="41" fillId="16" borderId="0" xfId="0" applyNumberFormat="1" applyFont="1" applyFill="1" applyAlignment="1">
      <alignment horizontal="center" wrapText="1"/>
    </xf>
    <xf numFmtId="3" fontId="41" fillId="0" borderId="0" xfId="0" applyNumberFormat="1" applyFont="1" applyAlignment="1">
      <alignment horizontal="right"/>
    </xf>
    <xf numFmtId="165" fontId="41" fillId="2" borderId="7" xfId="0" applyNumberFormat="1" applyFont="1" applyFill="1" applyBorder="1" applyAlignment="1">
      <alignment horizontal="center" vertical="center"/>
    </xf>
    <xf numFmtId="3" fontId="38" fillId="0" borderId="7" xfId="0" applyNumberFormat="1" applyFont="1" applyFill="1" applyBorder="1" applyAlignment="1">
      <alignment horizontal="right" vertical="center" wrapText="1"/>
    </xf>
    <xf numFmtId="3" fontId="38" fillId="0" borderId="48" xfId="0" applyNumberFormat="1" applyFont="1" applyFill="1" applyBorder="1" applyAlignment="1">
      <alignment horizontal="center" vertical="center" wrapText="1"/>
    </xf>
    <xf numFmtId="3" fontId="0" fillId="73" borderId="7" xfId="0" applyNumberFormat="1" applyFill="1" applyBorder="1"/>
    <xf numFmtId="0" fontId="0" fillId="73" borderId="13" xfId="0" applyFill="1" applyBorder="1" applyAlignment="1">
      <alignment horizontal="center"/>
    </xf>
    <xf numFmtId="3" fontId="0" fillId="73" borderId="7" xfId="0" applyNumberFormat="1" applyFill="1" applyBorder="1" applyAlignment="1"/>
    <xf numFmtId="3" fontId="17" fillId="73" borderId="13" xfId="0" applyNumberFormat="1" applyFont="1" applyFill="1" applyBorder="1" applyAlignment="1">
      <alignment horizontal="center"/>
    </xf>
    <xf numFmtId="165" fontId="28" fillId="0" borderId="0" xfId="0" applyNumberFormat="1" applyFont="1" applyFill="1"/>
    <xf numFmtId="165" fontId="21" fillId="0" borderId="0" xfId="0" applyNumberFormat="1" applyFont="1" applyFill="1"/>
    <xf numFmtId="0" fontId="17" fillId="0" borderId="17" xfId="0" applyFont="1" applyFill="1" applyBorder="1" applyAlignment="1">
      <alignment horizontal="center" vertical="center" wrapText="1"/>
    </xf>
    <xf numFmtId="0" fontId="38" fillId="5" borderId="46" xfId="0" applyFont="1" applyFill="1" applyBorder="1" applyAlignment="1"/>
    <xf numFmtId="169" fontId="76" fillId="25" borderId="44" xfId="0" applyNumberFormat="1" applyFont="1" applyFill="1" applyBorder="1" applyAlignment="1">
      <alignment horizontal="center"/>
    </xf>
    <xf numFmtId="0" fontId="38" fillId="25" borderId="32" xfId="0" applyFont="1" applyFill="1" applyBorder="1"/>
    <xf numFmtId="169" fontId="38" fillId="0" borderId="32" xfId="0" applyNumberFormat="1" applyFont="1" applyFill="1" applyBorder="1" applyAlignment="1">
      <alignment horizontal="center"/>
    </xf>
    <xf numFmtId="3" fontId="41" fillId="9" borderId="32" xfId="0" applyNumberFormat="1" applyFont="1" applyFill="1" applyBorder="1" applyAlignment="1">
      <alignment horizontal="center" vertical="center" wrapText="1"/>
    </xf>
    <xf numFmtId="169" fontId="38" fillId="25" borderId="32" xfId="0" applyNumberFormat="1" applyFont="1" applyFill="1" applyBorder="1" applyAlignment="1">
      <alignment horizontal="center"/>
    </xf>
    <xf numFmtId="3" fontId="41" fillId="71" borderId="32" xfId="0" applyNumberFormat="1" applyFont="1" applyFill="1" applyBorder="1" applyAlignment="1">
      <alignment horizontal="center" vertical="center" wrapText="1"/>
    </xf>
    <xf numFmtId="3" fontId="41" fillId="25" borderId="32" xfId="0" applyNumberFormat="1" applyFont="1" applyFill="1" applyBorder="1" applyAlignment="1">
      <alignment horizontal="center" vertical="center" wrapText="1"/>
    </xf>
    <xf numFmtId="169" fontId="76" fillId="23" borderId="32" xfId="0" applyNumberFormat="1" applyFont="1" applyFill="1" applyBorder="1" applyAlignment="1">
      <alignment horizontal="center"/>
    </xf>
    <xf numFmtId="169" fontId="38" fillId="0" borderId="32" xfId="0" applyNumberFormat="1" applyFont="1" applyFill="1" applyBorder="1" applyAlignment="1">
      <alignment horizontal="left"/>
    </xf>
    <xf numFmtId="169" fontId="76" fillId="28" borderId="32" xfId="0" applyNumberFormat="1" applyFont="1" applyFill="1" applyBorder="1" applyAlignment="1">
      <alignment horizontal="center"/>
    </xf>
    <xf numFmtId="169" fontId="38" fillId="28" borderId="32" xfId="0" applyNumberFormat="1" applyFont="1" applyFill="1" applyBorder="1" applyAlignment="1">
      <alignment horizontal="center" vertical="center"/>
    </xf>
    <xf numFmtId="169" fontId="38" fillId="0" borderId="32" xfId="0" applyNumberFormat="1" applyFont="1" applyFill="1" applyBorder="1" applyAlignment="1">
      <alignment horizontal="center" vertical="center"/>
    </xf>
    <xf numFmtId="169" fontId="38" fillId="28" borderId="32" xfId="0" applyNumberFormat="1" applyFont="1" applyFill="1" applyBorder="1" applyAlignment="1">
      <alignment horizontal="center"/>
    </xf>
    <xf numFmtId="169" fontId="38" fillId="0" borderId="0" xfId="0" applyNumberFormat="1" applyFont="1" applyBorder="1" applyAlignment="1">
      <alignment horizontal="center"/>
    </xf>
    <xf numFmtId="169" fontId="41" fillId="22" borderId="0" xfId="0" applyNumberFormat="1" applyFont="1" applyFill="1" applyBorder="1" applyAlignment="1">
      <alignment horizontal="center" vertical="center"/>
    </xf>
    <xf numFmtId="169" fontId="38" fillId="0" borderId="0" xfId="0" applyNumberFormat="1" applyFont="1" applyFill="1" applyBorder="1" applyAlignment="1">
      <alignment horizontal="center"/>
    </xf>
    <xf numFmtId="169" fontId="38" fillId="0" borderId="25" xfId="0" applyNumberFormat="1" applyFont="1" applyFill="1" applyBorder="1" applyAlignment="1">
      <alignment horizontal="center"/>
    </xf>
    <xf numFmtId="169" fontId="38" fillId="0" borderId="0" xfId="0" applyNumberFormat="1" applyFont="1" applyFill="1" applyAlignment="1">
      <alignment horizontal="center"/>
    </xf>
    <xf numFmtId="10" fontId="0" fillId="0" borderId="0" xfId="71" applyNumberFormat="1" applyFont="1" applyAlignment="1">
      <alignment vertical="center"/>
    </xf>
    <xf numFmtId="175" fontId="0" fillId="0" borderId="0" xfId="71" applyNumberFormat="1" applyFont="1"/>
    <xf numFmtId="3" fontId="38" fillId="25" borderId="6" xfId="0" applyNumberFormat="1" applyFont="1" applyFill="1" applyBorder="1" applyAlignment="1">
      <alignment horizontal="center"/>
    </xf>
    <xf numFmtId="3" fontId="38" fillId="0" borderId="2" xfId="0" applyNumberFormat="1" applyFont="1" applyFill="1" applyBorder="1" applyAlignment="1">
      <alignment horizontal="center"/>
    </xf>
    <xf numFmtId="3" fontId="38" fillId="23" borderId="7" xfId="0" applyNumberFormat="1" applyFont="1" applyFill="1" applyBorder="1" applyAlignment="1">
      <alignment horizontal="center"/>
    </xf>
    <xf numFmtId="3" fontId="41" fillId="74" borderId="82" xfId="0" applyNumberFormat="1" applyFont="1" applyFill="1" applyBorder="1" applyAlignment="1">
      <alignment horizontal="center" vertical="center"/>
    </xf>
    <xf numFmtId="3" fontId="38" fillId="0" borderId="102" xfId="0" applyNumberFormat="1" applyFont="1" applyFill="1" applyBorder="1"/>
    <xf numFmtId="49" fontId="38" fillId="0" borderId="7" xfId="0" applyNumberFormat="1" applyFont="1" applyFill="1" applyBorder="1" applyAlignment="1">
      <alignment horizontal="right" vertical="center" wrapText="1"/>
    </xf>
    <xf numFmtId="3" fontId="38" fillId="0" borderId="0" xfId="0" applyNumberFormat="1" applyFont="1" applyFill="1" applyBorder="1" applyAlignment="1">
      <alignment horizontal="right" vertical="center"/>
    </xf>
    <xf numFmtId="166" fontId="41" fillId="2" borderId="7" xfId="1" applyNumberFormat="1" applyFont="1" applyFill="1" applyBorder="1" applyAlignment="1">
      <alignment horizontal="center" wrapText="1"/>
    </xf>
    <xf numFmtId="49" fontId="36" fillId="0" borderId="0" xfId="0" applyNumberFormat="1" applyFont="1" applyAlignment="1">
      <alignment horizontal="right" wrapText="1"/>
    </xf>
    <xf numFmtId="0" fontId="36" fillId="0" borderId="0" xfId="0" applyFont="1" applyAlignment="1">
      <alignment horizontal="right" wrapText="1"/>
    </xf>
    <xf numFmtId="0" fontId="3" fillId="8" borderId="7" xfId="0" applyFont="1" applyFill="1" applyBorder="1" applyAlignment="1">
      <alignment horizontal="left" vertical="center"/>
    </xf>
    <xf numFmtId="166" fontId="35" fillId="74" borderId="0" xfId="1" applyNumberFormat="1" applyFont="1" applyFill="1" applyAlignment="1">
      <alignment horizontal="center" vertical="center"/>
    </xf>
    <xf numFmtId="0" fontId="18" fillId="66" borderId="1" xfId="0" applyFont="1" applyFill="1" applyBorder="1" applyAlignment="1">
      <alignment horizontal="center" vertical="center" wrapText="1"/>
    </xf>
    <xf numFmtId="3" fontId="0" fillId="66" borderId="1" xfId="0" applyNumberFormat="1" applyFill="1" applyBorder="1" applyAlignment="1">
      <alignment horizontal="center" vertical="center"/>
    </xf>
    <xf numFmtId="10" fontId="28" fillId="66" borderId="30" xfId="0" applyNumberFormat="1" applyFont="1" applyFill="1" applyBorder="1" applyAlignment="1">
      <alignment horizontal="right" vertical="center"/>
    </xf>
    <xf numFmtId="9" fontId="28" fillId="66" borderId="1" xfId="0" applyNumberFormat="1" applyFont="1" applyFill="1" applyBorder="1" applyAlignment="1">
      <alignment horizontal="center" vertical="center"/>
    </xf>
    <xf numFmtId="2" fontId="28" fillId="66" borderId="1" xfId="0" applyNumberFormat="1" applyFont="1" applyFill="1" applyBorder="1" applyAlignment="1">
      <alignment horizontal="center" vertical="center"/>
    </xf>
    <xf numFmtId="10" fontId="28" fillId="66" borderId="1" xfId="0" applyNumberFormat="1" applyFont="1" applyFill="1" applyBorder="1" applyAlignment="1">
      <alignment horizontal="right" vertical="center"/>
    </xf>
    <xf numFmtId="10" fontId="28" fillId="66" borderId="1" xfId="0" applyNumberFormat="1" applyFont="1" applyFill="1" applyBorder="1" applyAlignment="1">
      <alignment vertical="center"/>
    </xf>
    <xf numFmtId="3" fontId="18" fillId="74" borderId="0" xfId="0" applyNumberFormat="1" applyFont="1" applyFill="1"/>
    <xf numFmtId="3" fontId="80" fillId="0" borderId="0" xfId="0" applyNumberFormat="1" applyFont="1"/>
    <xf numFmtId="0" fontId="80" fillId="0" borderId="0" xfId="0" applyFont="1"/>
    <xf numFmtId="3" fontId="62" fillId="0" borderId="0" xfId="0" applyNumberFormat="1" applyFont="1"/>
    <xf numFmtId="0" fontId="28" fillId="0" borderId="0" xfId="0" applyFont="1" applyAlignment="1">
      <alignment horizontal="center"/>
    </xf>
    <xf numFmtId="165" fontId="38" fillId="0" borderId="0" xfId="0" applyNumberFormat="1" applyFont="1"/>
    <xf numFmtId="0" fontId="0" fillId="18" borderId="0" xfId="0" applyFill="1" applyBorder="1" applyAlignment="1">
      <alignment vertical="center" wrapText="1"/>
    </xf>
    <xf numFmtId="0" fontId="18" fillId="18" borderId="0" xfId="0" applyFont="1" applyFill="1" applyBorder="1" applyAlignment="1">
      <alignment vertical="center" wrapText="1"/>
    </xf>
    <xf numFmtId="0" fontId="41" fillId="0" borderId="0" xfId="0" applyFont="1" applyAlignment="1">
      <alignment horizontal="center" vertical="center"/>
    </xf>
    <xf numFmtId="0" fontId="38" fillId="0" borderId="0" xfId="0" applyFont="1" applyAlignment="1">
      <alignment horizontal="center" vertical="center"/>
    </xf>
    <xf numFmtId="0" fontId="38" fillId="18" borderId="0" xfId="0" applyFont="1" applyFill="1" applyBorder="1"/>
    <xf numFmtId="0" fontId="0" fillId="18" borderId="0" xfId="0" applyFill="1" applyBorder="1"/>
    <xf numFmtId="0" fontId="18" fillId="18" borderId="0" xfId="0" applyFont="1" applyFill="1" applyBorder="1" applyAlignment="1">
      <alignment horizontal="left" vertical="center"/>
    </xf>
    <xf numFmtId="167" fontId="18" fillId="0" borderId="0" xfId="1" applyNumberFormat="1" applyFont="1" applyBorder="1" applyAlignment="1">
      <alignment horizontal="center" wrapText="1"/>
    </xf>
    <xf numFmtId="0" fontId="41" fillId="0" borderId="0"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Border="1" applyAlignment="1">
      <alignment horizontal="center" vertical="top"/>
    </xf>
    <xf numFmtId="0" fontId="18" fillId="18" borderId="0" xfId="0" applyFont="1" applyFill="1" applyBorder="1"/>
    <xf numFmtId="0" fontId="21" fillId="0" borderId="102" xfId="0" applyFont="1" applyFill="1" applyBorder="1" applyAlignment="1">
      <alignment horizontal="center" vertical="center" wrapText="1"/>
    </xf>
    <xf numFmtId="0" fontId="21" fillId="18" borderId="0" xfId="0" applyFont="1" applyFill="1" applyBorder="1" applyAlignment="1">
      <alignment horizontal="left" vertical="center"/>
    </xf>
    <xf numFmtId="0" fontId="28" fillId="18" borderId="0" xfId="0" applyFont="1" applyFill="1" applyBorder="1"/>
    <xf numFmtId="0" fontId="17" fillId="18" borderId="18" xfId="0" applyFont="1" applyFill="1" applyBorder="1" applyAlignment="1">
      <alignment horizontal="left" vertical="center" wrapText="1"/>
    </xf>
    <xf numFmtId="167" fontId="18" fillId="9" borderId="84" xfId="1" applyNumberFormat="1" applyFont="1" applyFill="1" applyBorder="1" applyAlignment="1">
      <alignment horizontal="center" wrapText="1"/>
    </xf>
    <xf numFmtId="0" fontId="17" fillId="4" borderId="18" xfId="0" applyFont="1" applyFill="1" applyBorder="1" applyAlignment="1">
      <alignment horizontal="left" wrapText="1"/>
    </xf>
    <xf numFmtId="0" fontId="17" fillId="6" borderId="19" xfId="0" applyFont="1" applyFill="1" applyBorder="1" applyAlignment="1">
      <alignment horizontal="left" vertical="center" wrapText="1"/>
    </xf>
    <xf numFmtId="167" fontId="41" fillId="9" borderId="25" xfId="1" applyNumberFormat="1" applyFont="1" applyFill="1" applyBorder="1" applyAlignment="1">
      <alignment horizontal="center" vertical="center" wrapText="1"/>
    </xf>
    <xf numFmtId="0" fontId="41" fillId="6" borderId="2" xfId="0" applyFont="1" applyFill="1" applyBorder="1" applyAlignment="1">
      <alignment horizontal="left" vertical="top" wrapText="1"/>
    </xf>
    <xf numFmtId="0" fontId="18" fillId="4" borderId="30" xfId="0" applyFont="1" applyFill="1" applyBorder="1" applyAlignment="1">
      <alignment horizontal="center" vertical="center" wrapText="1"/>
    </xf>
    <xf numFmtId="0" fontId="18" fillId="4" borderId="105" xfId="0" applyFont="1" applyFill="1" applyBorder="1" applyAlignment="1">
      <alignment horizontal="center" vertical="center" wrapText="1"/>
    </xf>
    <xf numFmtId="3" fontId="0" fillId="0" borderId="3" xfId="0" applyNumberFormat="1" applyFill="1" applyBorder="1" applyAlignment="1">
      <alignment horizontal="center"/>
    </xf>
    <xf numFmtId="0" fontId="13" fillId="0" borderId="0" xfId="0" applyFont="1" applyFill="1" applyBorder="1" applyAlignment="1">
      <alignment horizontal="center" vertical="center"/>
    </xf>
    <xf numFmtId="3" fontId="28" fillId="0" borderId="3" xfId="0" applyNumberFormat="1" applyFont="1" applyFill="1" applyBorder="1" applyAlignment="1">
      <alignment horizontal="center" vertical="center" wrapText="1"/>
    </xf>
    <xf numFmtId="3" fontId="0" fillId="26" borderId="3" xfId="0" applyNumberFormat="1" applyFill="1" applyBorder="1" applyAlignment="1">
      <alignment horizontal="center"/>
    </xf>
    <xf numFmtId="0" fontId="17" fillId="6" borderId="32" xfId="0" applyFont="1" applyFill="1" applyBorder="1" applyAlignment="1">
      <alignment horizontal="left" vertical="center"/>
    </xf>
    <xf numFmtId="0" fontId="26" fillId="6" borderId="32" xfId="0" applyFont="1" applyFill="1" applyBorder="1" applyAlignment="1">
      <alignment horizontal="left" vertical="center"/>
    </xf>
    <xf numFmtId="0" fontId="26" fillId="6" borderId="48" xfId="0" applyFont="1" applyFill="1" applyBorder="1" applyAlignment="1">
      <alignment horizontal="left" vertical="center"/>
    </xf>
    <xf numFmtId="0" fontId="26" fillId="6" borderId="44" xfId="0" applyFont="1" applyFill="1" applyBorder="1" applyAlignment="1">
      <alignment horizontal="left" vertical="center"/>
    </xf>
    <xf numFmtId="0" fontId="26" fillId="6" borderId="88" xfId="0" applyFont="1" applyFill="1" applyBorder="1" applyAlignment="1">
      <alignment horizontal="left" vertical="center"/>
    </xf>
    <xf numFmtId="0" fontId="17" fillId="9" borderId="32" xfId="0" applyFont="1" applyFill="1" applyBorder="1" applyAlignment="1">
      <alignment horizontal="justify" vertical="center" wrapText="1"/>
    </xf>
    <xf numFmtId="0" fontId="41" fillId="6" borderId="32" xfId="0" applyFont="1" applyFill="1" applyBorder="1" applyAlignment="1">
      <alignment horizontal="left" vertical="top" wrapText="1"/>
    </xf>
    <xf numFmtId="0" fontId="17" fillId="9" borderId="32" xfId="0" applyFont="1" applyFill="1" applyBorder="1" applyAlignment="1">
      <alignment horizontal="left" vertical="center"/>
    </xf>
    <xf numFmtId="0" fontId="41" fillId="23" borderId="32" xfId="0" applyFont="1" applyFill="1" applyBorder="1" applyAlignment="1">
      <alignment horizontal="left" vertical="top" wrapText="1"/>
    </xf>
    <xf numFmtId="0" fontId="17" fillId="8" borderId="32" xfId="0" applyFont="1" applyFill="1" applyBorder="1" applyAlignment="1">
      <alignment horizontal="left" vertical="center"/>
    </xf>
    <xf numFmtId="0" fontId="26" fillId="8" borderId="32" xfId="0" applyFont="1" applyFill="1" applyBorder="1" applyAlignment="1">
      <alignment horizontal="left" vertical="center"/>
    </xf>
    <xf numFmtId="0" fontId="18" fillId="4" borderId="32" xfId="0" applyFont="1" applyFill="1" applyBorder="1" applyAlignment="1">
      <alignment horizontal="left" vertical="center"/>
    </xf>
    <xf numFmtId="0" fontId="17" fillId="12" borderId="32" xfId="0" applyFont="1" applyFill="1" applyBorder="1" applyAlignment="1">
      <alignment horizontal="left" vertical="center" wrapText="1"/>
    </xf>
    <xf numFmtId="0" fontId="26" fillId="12" borderId="32" xfId="0" applyFont="1" applyFill="1" applyBorder="1" applyAlignment="1">
      <alignment horizontal="left" vertical="center"/>
    </xf>
    <xf numFmtId="0" fontId="18" fillId="9" borderId="32" xfId="0" applyFont="1" applyFill="1" applyBorder="1" applyAlignment="1">
      <alignment horizontal="left" vertical="center"/>
    </xf>
    <xf numFmtId="0" fontId="18" fillId="4" borderId="32" xfId="0" applyFont="1" applyFill="1" applyBorder="1" applyAlignment="1">
      <alignment horizontal="center" vertical="center" wrapText="1"/>
    </xf>
    <xf numFmtId="0" fontId="0" fillId="28" borderId="3" xfId="0" applyFill="1" applyBorder="1" applyAlignment="1">
      <alignment horizontal="center"/>
    </xf>
    <xf numFmtId="169" fontId="63" fillId="12" borderId="13" xfId="0" applyNumberFormat="1" applyFont="1" applyFill="1" applyBorder="1" applyAlignment="1">
      <alignment horizontal="left" vertical="center" wrapText="1"/>
    </xf>
    <xf numFmtId="0" fontId="70" fillId="12" borderId="32" xfId="0" applyFont="1" applyFill="1" applyBorder="1" applyAlignment="1">
      <alignment horizontal="left" vertical="top" wrapText="1"/>
    </xf>
    <xf numFmtId="0" fontId="18" fillId="12" borderId="32" xfId="0" applyFont="1" applyFill="1" applyBorder="1" applyAlignment="1">
      <alignment horizontal="left" vertical="top" wrapText="1"/>
    </xf>
    <xf numFmtId="169" fontId="18" fillId="5" borderId="30" xfId="0" applyNumberFormat="1" applyFont="1" applyFill="1" applyBorder="1" applyAlignment="1">
      <alignment horizontal="center" vertical="center" wrapText="1"/>
    </xf>
    <xf numFmtId="169" fontId="38" fillId="6" borderId="20" xfId="0" applyNumberFormat="1" applyFont="1" applyFill="1" applyBorder="1" applyAlignment="1">
      <alignment horizontal="left" vertical="center" wrapText="1"/>
    </xf>
    <xf numFmtId="169" fontId="18" fillId="4" borderId="3" xfId="0" applyNumberFormat="1" applyFont="1" applyFill="1" applyBorder="1" applyAlignment="1">
      <alignment horizontal="justify" vertical="center" wrapText="1"/>
    </xf>
    <xf numFmtId="169" fontId="64" fillId="7" borderId="3" xfId="0" applyNumberFormat="1" applyFont="1" applyFill="1" applyBorder="1" applyAlignment="1">
      <alignment horizontal="left" vertical="center" wrapText="1"/>
    </xf>
    <xf numFmtId="169" fontId="63" fillId="8" borderId="3" xfId="0" applyNumberFormat="1" applyFont="1" applyFill="1" applyBorder="1" applyAlignment="1">
      <alignment horizontal="left" vertical="center" wrapText="1"/>
    </xf>
    <xf numFmtId="169" fontId="0" fillId="0" borderId="3" xfId="0" applyNumberFormat="1" applyFill="1" applyBorder="1" applyAlignment="1">
      <alignment horizontal="center" vertical="center"/>
    </xf>
    <xf numFmtId="0" fontId="18" fillId="4" borderId="47" xfId="0" applyFont="1" applyFill="1" applyBorder="1" applyAlignment="1">
      <alignment horizontal="center" vertical="center" wrapText="1"/>
    </xf>
    <xf numFmtId="0" fontId="38" fillId="6" borderId="44" xfId="0" applyFont="1" applyFill="1" applyBorder="1" applyAlignment="1">
      <alignment horizontal="left" vertical="top" wrapText="1"/>
    </xf>
    <xf numFmtId="0" fontId="18" fillId="4" borderId="32" xfId="0" applyFont="1" applyFill="1" applyBorder="1" applyAlignment="1">
      <alignment horizontal="justify" vertical="center" wrapText="1"/>
    </xf>
    <xf numFmtId="3" fontId="64" fillId="7" borderId="32" xfId="0" applyNumberFormat="1" applyFont="1" applyFill="1" applyBorder="1" applyAlignment="1">
      <alignment horizontal="left" vertical="top" wrapText="1"/>
    </xf>
    <xf numFmtId="0" fontId="63" fillId="8" borderId="32" xfId="0" applyFont="1" applyFill="1" applyBorder="1" applyAlignment="1">
      <alignment horizontal="left" vertical="top" wrapText="1"/>
    </xf>
    <xf numFmtId="0" fontId="26" fillId="8" borderId="53" xfId="0" applyFont="1" applyFill="1" applyBorder="1" applyAlignment="1">
      <alignment horizontal="left" vertical="center"/>
    </xf>
    <xf numFmtId="0" fontId="0" fillId="25" borderId="3" xfId="0" applyFill="1" applyBorder="1" applyAlignment="1">
      <alignment horizontal="center" vertical="center"/>
    </xf>
    <xf numFmtId="169" fontId="38" fillId="6" borderId="3" xfId="0" applyNumberFormat="1" applyFont="1" applyFill="1" applyBorder="1" applyAlignment="1">
      <alignment horizontal="left" vertical="center" wrapText="1"/>
    </xf>
    <xf numFmtId="0" fontId="0" fillId="4" borderId="2" xfId="0" applyFill="1" applyBorder="1"/>
    <xf numFmtId="0" fontId="22" fillId="0" borderId="4" xfId="0" applyFont="1" applyFill="1" applyBorder="1" applyAlignment="1">
      <alignment horizontal="justify" vertical="center" wrapText="1"/>
    </xf>
    <xf numFmtId="0" fontId="18" fillId="9" borderId="46" xfId="0" applyFont="1" applyFill="1" applyBorder="1" applyAlignment="1">
      <alignment horizontal="justify" vertical="center" wrapText="1"/>
    </xf>
    <xf numFmtId="0" fontId="13" fillId="6" borderId="7" xfId="0" applyFont="1" applyFill="1" applyBorder="1" applyAlignment="1">
      <alignment horizontal="center" vertical="center"/>
    </xf>
    <xf numFmtId="0" fontId="0" fillId="0" borderId="3" xfId="0" applyFill="1" applyBorder="1" applyAlignment="1">
      <alignment horizontal="center" vertical="center"/>
    </xf>
    <xf numFmtId="0" fontId="13" fillId="0" borderId="3" xfId="0" applyFont="1" applyFill="1" applyBorder="1" applyAlignment="1">
      <alignment horizontal="center"/>
    </xf>
    <xf numFmtId="0" fontId="3" fillId="0" borderId="3" xfId="0" applyFont="1" applyFill="1" applyBorder="1" applyAlignment="1">
      <alignment horizontal="center"/>
    </xf>
    <xf numFmtId="0" fontId="13"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18" fillId="4" borderId="4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22" fillId="6" borderId="32" xfId="0" applyFont="1" applyFill="1" applyBorder="1" applyAlignment="1">
      <alignment horizontal="center" vertical="top" wrapText="1"/>
    </xf>
    <xf numFmtId="0" fontId="13" fillId="6" borderId="32" xfId="0" applyFont="1" applyFill="1" applyBorder="1" applyAlignment="1">
      <alignment horizontal="left" vertical="center"/>
    </xf>
    <xf numFmtId="0" fontId="18" fillId="8" borderId="32" xfId="0" applyFont="1" applyFill="1" applyBorder="1" applyAlignment="1">
      <alignment horizontal="left" vertical="top" wrapText="1"/>
    </xf>
    <xf numFmtId="0" fontId="18" fillId="10" borderId="32" xfId="0" applyFont="1" applyFill="1" applyBorder="1" applyAlignment="1">
      <alignment horizontal="left" vertical="top" wrapText="1"/>
    </xf>
    <xf numFmtId="0" fontId="17" fillId="10" borderId="32" xfId="0" applyFont="1" applyFill="1" applyBorder="1" applyAlignment="1">
      <alignment horizontal="left" vertical="center"/>
    </xf>
    <xf numFmtId="0" fontId="22" fillId="13" borderId="32" xfId="0" applyFont="1" applyFill="1" applyBorder="1" applyAlignment="1">
      <alignment horizontal="left" vertical="top" wrapText="1"/>
    </xf>
    <xf numFmtId="0" fontId="26" fillId="14" borderId="32" xfId="0" applyFont="1" applyFill="1" applyBorder="1" applyAlignment="1">
      <alignment horizontal="left" vertical="center" wrapText="1"/>
    </xf>
    <xf numFmtId="0" fontId="22" fillId="14" borderId="32" xfId="0" applyFont="1" applyFill="1" applyBorder="1" applyAlignment="1">
      <alignment horizontal="left" vertical="top" wrapText="1"/>
    </xf>
    <xf numFmtId="0" fontId="26" fillId="14" borderId="32" xfId="0" applyFont="1" applyFill="1" applyBorder="1" applyAlignment="1">
      <alignment horizontal="left" vertical="center"/>
    </xf>
    <xf numFmtId="0" fontId="22" fillId="14" borderId="32" xfId="0" applyFont="1" applyFill="1" applyBorder="1" applyAlignment="1">
      <alignment horizontal="left" vertical="center" wrapText="1"/>
    </xf>
    <xf numFmtId="0" fontId="22" fillId="24" borderId="32" xfId="0" applyFont="1" applyFill="1" applyBorder="1" applyAlignment="1">
      <alignment horizontal="left" vertical="top" wrapText="1"/>
    </xf>
    <xf numFmtId="0" fontId="26" fillId="24" borderId="32" xfId="0" applyFont="1" applyFill="1" applyBorder="1" applyAlignment="1">
      <alignment horizontal="left" vertical="center"/>
    </xf>
    <xf numFmtId="0" fontId="22" fillId="4" borderId="32" xfId="0" applyFont="1" applyFill="1" applyBorder="1" applyAlignment="1">
      <alignment horizontal="justify" vertical="center" wrapText="1"/>
    </xf>
    <xf numFmtId="0" fontId="17" fillId="18" borderId="19" xfId="0" applyFont="1" applyFill="1" applyBorder="1" applyAlignment="1">
      <alignment horizontal="left" wrapText="1"/>
    </xf>
    <xf numFmtId="0" fontId="0" fillId="18" borderId="19" xfId="0" applyFill="1" applyBorder="1"/>
    <xf numFmtId="167" fontId="41" fillId="9" borderId="84" xfId="1" applyNumberFormat="1" applyFont="1" applyFill="1" applyBorder="1" applyAlignment="1">
      <alignment horizontal="center" wrapText="1"/>
    </xf>
    <xf numFmtId="0" fontId="22" fillId="15" borderId="32" xfId="0" applyFont="1" applyFill="1" applyBorder="1" applyAlignment="1">
      <alignment horizontal="left" vertical="top" wrapText="1"/>
    </xf>
    <xf numFmtId="3" fontId="29" fillId="7" borderId="7" xfId="0" applyNumberFormat="1" applyFont="1" applyFill="1" applyBorder="1" applyAlignment="1">
      <alignment horizontal="left" vertical="center" wrapText="1"/>
    </xf>
    <xf numFmtId="1" fontId="18" fillId="5" borderId="30" xfId="0" applyNumberFormat="1" applyFont="1" applyFill="1" applyBorder="1" applyAlignment="1">
      <alignment horizontal="center" vertical="center" wrapText="1"/>
    </xf>
    <xf numFmtId="3" fontId="29" fillId="7" borderId="32" xfId="0" applyNumberFormat="1" applyFont="1" applyFill="1" applyBorder="1" applyAlignment="1">
      <alignment horizontal="left" vertical="top" wrapText="1"/>
    </xf>
    <xf numFmtId="3" fontId="75" fillId="72" borderId="32" xfId="2" applyNumberFormat="1" applyFont="1" applyFill="1" applyBorder="1" applyAlignment="1">
      <alignment horizontal="left" vertical="top"/>
    </xf>
    <xf numFmtId="0" fontId="18" fillId="9" borderId="32" xfId="0" applyFont="1" applyFill="1" applyBorder="1" applyAlignment="1">
      <alignment horizontal="justify" vertical="center" wrapText="1"/>
    </xf>
    <xf numFmtId="0" fontId="21" fillId="4" borderId="4" xfId="0" applyFont="1" applyFill="1" applyBorder="1" applyAlignment="1">
      <alignment horizontal="center" vertical="center" wrapText="1"/>
    </xf>
    <xf numFmtId="0" fontId="21" fillId="0" borderId="4" xfId="0" applyFont="1" applyFill="1" applyBorder="1" applyAlignment="1">
      <alignment horizontal="left" vertical="center"/>
    </xf>
    <xf numFmtId="0" fontId="21" fillId="2" borderId="0" xfId="0" applyFont="1" applyFill="1" applyBorder="1" applyAlignment="1">
      <alignment horizontal="center" vertical="center"/>
    </xf>
    <xf numFmtId="3" fontId="38" fillId="0" borderId="0" xfId="0" applyNumberFormat="1" applyFont="1" applyFill="1" applyBorder="1"/>
    <xf numFmtId="166" fontId="41" fillId="2" borderId="0" xfId="1" applyNumberFormat="1" applyFont="1" applyFill="1" applyBorder="1" applyAlignment="1">
      <alignment horizontal="center" wrapText="1"/>
    </xf>
    <xf numFmtId="0" fontId="27" fillId="6" borderId="106" xfId="0" applyFont="1" applyFill="1" applyBorder="1" applyAlignment="1">
      <alignment horizontal="left" vertical="center" wrapText="1"/>
    </xf>
    <xf numFmtId="0" fontId="27" fillId="6" borderId="106" xfId="0" applyFont="1" applyFill="1" applyBorder="1" applyAlignment="1">
      <alignment horizontal="left" vertical="top" wrapText="1"/>
    </xf>
    <xf numFmtId="0" fontId="34" fillId="6" borderId="106" xfId="0" applyFont="1" applyFill="1" applyBorder="1" applyAlignment="1">
      <alignment horizontal="left" vertical="center"/>
    </xf>
    <xf numFmtId="0" fontId="27" fillId="6" borderId="7" xfId="0" applyFont="1" applyFill="1" applyBorder="1" applyAlignment="1">
      <alignment horizontal="left" vertical="top" wrapText="1"/>
    </xf>
    <xf numFmtId="0" fontId="34" fillId="6" borderId="7" xfId="0" applyFont="1" applyFill="1" applyBorder="1" applyAlignment="1">
      <alignment horizontal="left" vertical="center"/>
    </xf>
    <xf numFmtId="0" fontId="21" fillId="4" borderId="107" xfId="0" applyFont="1" applyFill="1" applyBorder="1" applyAlignment="1">
      <alignment horizontal="center" vertical="center" wrapText="1"/>
    </xf>
    <xf numFmtId="1" fontId="41" fillId="5" borderId="30" xfId="0" applyNumberFormat="1" applyFont="1" applyFill="1" applyBorder="1" applyAlignment="1">
      <alignment horizontal="center" vertical="center" wrapText="1"/>
    </xf>
    <xf numFmtId="1" fontId="38" fillId="0" borderId="3" xfId="0" applyNumberFormat="1" applyFont="1" applyFill="1" applyBorder="1" applyAlignment="1">
      <alignment horizontal="center"/>
    </xf>
    <xf numFmtId="1" fontId="38" fillId="0" borderId="3" xfId="0" applyNumberFormat="1" applyFont="1" applyFill="1" applyBorder="1" applyAlignment="1">
      <alignment horizontal="center" vertical="center"/>
    </xf>
    <xf numFmtId="0" fontId="21" fillId="4" borderId="48" xfId="0" applyFont="1" applyFill="1" applyBorder="1" applyAlignment="1">
      <alignment horizontal="center" vertical="center" wrapText="1"/>
    </xf>
    <xf numFmtId="3" fontId="39" fillId="13" borderId="48" xfId="2" applyNumberFormat="1" applyFont="1" applyFill="1" applyBorder="1" applyAlignment="1">
      <alignment horizontal="left" vertical="center" wrapText="1"/>
    </xf>
    <xf numFmtId="0" fontId="21" fillId="4" borderId="32" xfId="0" applyFont="1" applyFill="1" applyBorder="1" applyAlignment="1">
      <alignment horizontal="left" vertical="center"/>
    </xf>
    <xf numFmtId="0" fontId="21" fillId="72" borderId="48" xfId="0" applyFont="1" applyFill="1" applyBorder="1" applyAlignment="1">
      <alignment horizontal="left" vertical="center"/>
    </xf>
    <xf numFmtId="3" fontId="39" fillId="72" borderId="48" xfId="2" applyNumberFormat="1" applyFont="1" applyFill="1" applyBorder="1" applyAlignment="1">
      <alignment horizontal="left" vertical="top" wrapText="1"/>
    </xf>
    <xf numFmtId="3" fontId="40" fillId="72" borderId="48" xfId="2" applyNumberFormat="1" applyFont="1" applyFill="1" applyBorder="1" applyAlignment="1">
      <alignment horizontal="left" vertical="center"/>
    </xf>
    <xf numFmtId="0" fontId="21" fillId="4" borderId="48" xfId="0" applyFont="1" applyFill="1" applyBorder="1" applyAlignment="1">
      <alignment horizontal="left" vertical="center"/>
    </xf>
    <xf numFmtId="3" fontId="39" fillId="13" borderId="48" xfId="2" applyNumberFormat="1" applyFont="1" applyFill="1" applyBorder="1" applyAlignment="1">
      <alignment horizontal="left" vertical="top" wrapText="1"/>
    </xf>
    <xf numFmtId="3" fontId="40" fillId="13" borderId="48" xfId="2" applyNumberFormat="1" applyFont="1" applyFill="1" applyBorder="1" applyAlignment="1">
      <alignment horizontal="left" vertical="top"/>
    </xf>
    <xf numFmtId="0" fontId="21" fillId="4" borderId="44" xfId="0" applyFont="1" applyFill="1" applyBorder="1" applyAlignment="1">
      <alignment horizontal="left" vertical="center"/>
    </xf>
    <xf numFmtId="0" fontId="18" fillId="4" borderId="48" xfId="0" applyFont="1" applyFill="1" applyBorder="1" applyAlignment="1">
      <alignment horizontal="left" vertical="center"/>
    </xf>
    <xf numFmtId="3" fontId="39" fillId="21" borderId="48" xfId="2" applyNumberFormat="1" applyFont="1" applyFill="1" applyBorder="1" applyAlignment="1">
      <alignment horizontal="left" vertical="center" wrapText="1"/>
    </xf>
    <xf numFmtId="3" fontId="39" fillId="21" borderId="48" xfId="2" applyNumberFormat="1" applyFont="1" applyFill="1" applyBorder="1" applyAlignment="1">
      <alignment horizontal="left" vertical="top" wrapText="1"/>
    </xf>
    <xf numFmtId="3" fontId="40" fillId="21" borderId="48" xfId="2" applyNumberFormat="1" applyFont="1" applyFill="1" applyBorder="1" applyAlignment="1">
      <alignment horizontal="left" vertical="center"/>
    </xf>
    <xf numFmtId="3" fontId="40" fillId="21" borderId="88" xfId="2" applyNumberFormat="1" applyFont="1" applyFill="1" applyBorder="1" applyAlignment="1">
      <alignment horizontal="left" vertical="center"/>
    </xf>
    <xf numFmtId="3" fontId="39" fillId="24" borderId="48" xfId="2" applyNumberFormat="1" applyFont="1" applyFill="1" applyBorder="1" applyAlignment="1">
      <alignment horizontal="left" vertical="center" wrapText="1"/>
    </xf>
    <xf numFmtId="3" fontId="39" fillId="24" borderId="48" xfId="2" applyNumberFormat="1" applyFont="1" applyFill="1" applyBorder="1" applyAlignment="1">
      <alignment horizontal="left" vertical="top" wrapText="1"/>
    </xf>
    <xf numFmtId="3" fontId="40" fillId="24" borderId="48" xfId="2" applyNumberFormat="1" applyFont="1" applyFill="1" applyBorder="1" applyAlignment="1">
      <alignment horizontal="left" vertical="top" wrapText="1"/>
    </xf>
    <xf numFmtId="3" fontId="40" fillId="24" borderId="48" xfId="2" applyNumberFormat="1" applyFont="1" applyFill="1" applyBorder="1" applyAlignment="1">
      <alignment horizontal="left" vertical="top"/>
    </xf>
    <xf numFmtId="3" fontId="40" fillId="24" borderId="48" xfId="2" applyNumberFormat="1" applyFont="1" applyFill="1" applyBorder="1" applyAlignment="1">
      <alignment horizontal="left" vertical="center"/>
    </xf>
    <xf numFmtId="0" fontId="27" fillId="6" borderId="32" xfId="0" applyFont="1" applyFill="1" applyBorder="1" applyAlignment="1">
      <alignment horizontal="left" vertical="top" wrapText="1"/>
    </xf>
    <xf numFmtId="0" fontId="34" fillId="6" borderId="32" xfId="0" applyFont="1" applyFill="1" applyBorder="1" applyAlignment="1">
      <alignment horizontal="left" vertical="center"/>
    </xf>
    <xf numFmtId="0" fontId="34" fillId="6" borderId="48" xfId="0" applyFont="1" applyFill="1" applyBorder="1" applyAlignment="1">
      <alignment horizontal="left" vertical="center"/>
    </xf>
    <xf numFmtId="0" fontId="21" fillId="20" borderId="48" xfId="0" applyFont="1" applyFill="1" applyBorder="1" applyAlignment="1">
      <alignment horizontal="center" vertical="center" wrapText="1"/>
    </xf>
    <xf numFmtId="0" fontId="28" fillId="20" borderId="48" xfId="0" applyFont="1" applyFill="1" applyBorder="1" applyAlignment="1">
      <alignment horizontal="left" vertical="center"/>
    </xf>
    <xf numFmtId="0" fontId="21" fillId="4" borderId="32" xfId="0" applyFont="1" applyFill="1" applyBorder="1" applyAlignment="1">
      <alignment horizontal="center" vertical="center" wrapText="1"/>
    </xf>
    <xf numFmtId="0" fontId="41" fillId="0" borderId="16" xfId="0" applyFont="1" applyBorder="1" applyAlignment="1">
      <alignment horizontal="center" vertical="center"/>
    </xf>
    <xf numFmtId="0" fontId="41" fillId="0" borderId="0" xfId="0" applyFont="1" applyAlignment="1">
      <alignment horizontal="center" vertical="center"/>
    </xf>
    <xf numFmtId="0" fontId="38" fillId="0" borderId="0" xfId="0" applyFont="1" applyAlignment="1">
      <alignment horizontal="center" vertical="center"/>
    </xf>
    <xf numFmtId="0" fontId="0" fillId="18" borderId="0" xfId="0" applyFill="1" applyBorder="1" applyAlignment="1">
      <alignment vertical="center" wrapText="1"/>
    </xf>
    <xf numFmtId="0" fontId="17" fillId="18" borderId="12" xfId="0" applyFont="1" applyFill="1" applyBorder="1" applyAlignment="1">
      <alignment vertical="center" wrapText="1"/>
    </xf>
    <xf numFmtId="0" fontId="18" fillId="18" borderId="12" xfId="0" applyFont="1" applyFill="1" applyBorder="1" applyAlignment="1">
      <alignment vertical="center" wrapText="1"/>
    </xf>
    <xf numFmtId="0" fontId="18" fillId="18" borderId="0" xfId="0" applyFont="1" applyFill="1" applyBorder="1" applyAlignment="1">
      <alignment vertical="center" wrapText="1"/>
    </xf>
    <xf numFmtId="0" fontId="37" fillId="0" borderId="91" xfId="0" applyFont="1" applyBorder="1" applyAlignment="1">
      <alignment horizontal="center" vertical="center" wrapText="1"/>
    </xf>
    <xf numFmtId="0" fontId="37" fillId="0" borderId="92" xfId="0" applyFont="1" applyBorder="1" applyAlignment="1">
      <alignment horizontal="center" vertical="center" wrapText="1"/>
    </xf>
    <xf numFmtId="0" fontId="37" fillId="0" borderId="93" xfId="0" applyFont="1" applyBorder="1" applyAlignment="1">
      <alignment horizontal="center" vertical="center" wrapText="1"/>
    </xf>
    <xf numFmtId="0" fontId="0" fillId="0" borderId="94"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3" fontId="0" fillId="0" borderId="0" xfId="0" applyNumberFormat="1" applyFill="1" applyAlignment="1">
      <alignment horizontal="center" vertical="center"/>
    </xf>
    <xf numFmtId="1" fontId="38" fillId="0" borderId="14" xfId="0" applyNumberFormat="1" applyFont="1" applyFill="1" applyBorder="1" applyAlignment="1">
      <alignment horizontal="center" vertical="center" wrapText="1"/>
    </xf>
    <xf numFmtId="1" fontId="38" fillId="0" borderId="15" xfId="0" applyNumberFormat="1" applyFont="1" applyFill="1" applyBorder="1" applyAlignment="1">
      <alignment horizontal="center" vertical="center" wrapText="1"/>
    </xf>
    <xf numFmtId="1" fontId="38" fillId="0" borderId="6" xfId="0" applyNumberFormat="1" applyFont="1" applyFill="1" applyBorder="1" applyAlignment="1">
      <alignment horizontal="center" vertical="center" wrapText="1"/>
    </xf>
    <xf numFmtId="3" fontId="38" fillId="0" borderId="14" xfId="0" applyNumberFormat="1" applyFont="1" applyFill="1" applyBorder="1" applyAlignment="1">
      <alignment horizontal="center" vertical="center" wrapText="1"/>
    </xf>
    <xf numFmtId="3" fontId="38" fillId="0" borderId="15" xfId="0" applyNumberFormat="1" applyFont="1" applyFill="1" applyBorder="1" applyAlignment="1">
      <alignment horizontal="center" vertical="center" wrapText="1"/>
    </xf>
    <xf numFmtId="3" fontId="38" fillId="0" borderId="6" xfId="0" applyNumberFormat="1" applyFont="1" applyFill="1" applyBorder="1" applyAlignment="1">
      <alignment horizontal="center" vertical="center" wrapText="1"/>
    </xf>
    <xf numFmtId="3" fontId="0" fillId="0" borderId="14" xfId="0" applyNumberFormat="1" applyFill="1" applyBorder="1" applyAlignment="1">
      <alignment horizontal="right" vertical="center"/>
    </xf>
    <xf numFmtId="3" fontId="0" fillId="0" borderId="15" xfId="0" applyNumberFormat="1" applyFill="1" applyBorder="1" applyAlignment="1">
      <alignment horizontal="right" vertical="center"/>
    </xf>
    <xf numFmtId="3" fontId="0" fillId="0" borderId="6" xfId="0" applyNumberFormat="1" applyFill="1" applyBorder="1" applyAlignment="1">
      <alignment horizontal="right" vertical="center"/>
    </xf>
    <xf numFmtId="3" fontId="0" fillId="0" borderId="48" xfId="0" applyNumberFormat="1" applyFill="1" applyBorder="1" applyAlignment="1">
      <alignment horizontal="right" vertical="center"/>
    </xf>
    <xf numFmtId="3" fontId="0" fillId="0" borderId="88" xfId="0" applyNumberFormat="1" applyFill="1" applyBorder="1" applyAlignment="1">
      <alignment horizontal="right" vertical="center"/>
    </xf>
    <xf numFmtId="3" fontId="0" fillId="0" borderId="44" xfId="0" applyNumberFormat="1" applyFill="1" applyBorder="1" applyAlignment="1">
      <alignment horizontal="right" vertical="center"/>
    </xf>
    <xf numFmtId="3" fontId="0" fillId="0" borderId="14"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6" xfId="0" applyNumberFormat="1" applyFill="1" applyBorder="1" applyAlignment="1">
      <alignment horizontal="center" vertical="center"/>
    </xf>
    <xf numFmtId="3" fontId="0" fillId="0" borderId="48" xfId="0" applyNumberFormat="1" applyFill="1" applyBorder="1" applyAlignment="1">
      <alignment horizontal="center" vertical="center"/>
    </xf>
    <xf numFmtId="3" fontId="0" fillId="0" borderId="88" xfId="0" applyNumberFormat="1" applyFill="1" applyBorder="1" applyAlignment="1">
      <alignment horizontal="center" vertical="center"/>
    </xf>
    <xf numFmtId="3" fontId="0" fillId="0" borderId="44" xfId="0" applyNumberFormat="1" applyFill="1" applyBorder="1" applyAlignment="1">
      <alignment horizontal="center" vertical="center"/>
    </xf>
    <xf numFmtId="167" fontId="18" fillId="0" borderId="0" xfId="1" applyNumberFormat="1" applyFont="1" applyBorder="1" applyAlignment="1">
      <alignment horizontal="center" wrapText="1"/>
    </xf>
    <xf numFmtId="0" fontId="41" fillId="0" borderId="0" xfId="0" applyFont="1" applyBorder="1" applyAlignment="1">
      <alignment horizontal="center" vertical="center"/>
    </xf>
    <xf numFmtId="0" fontId="38" fillId="0" borderId="0" xfId="0" applyFont="1" applyBorder="1" applyAlignment="1">
      <alignment horizontal="center" vertical="center"/>
    </xf>
    <xf numFmtId="0" fontId="17" fillId="0" borderId="99" xfId="0" applyFont="1" applyBorder="1" applyAlignment="1">
      <alignment horizontal="center" wrapText="1"/>
    </xf>
    <xf numFmtId="0" fontId="17" fillId="0" borderId="100" xfId="0" applyFont="1" applyBorder="1" applyAlignment="1">
      <alignment horizontal="center" wrapText="1"/>
    </xf>
    <xf numFmtId="0" fontId="17" fillId="0" borderId="101" xfId="0" applyFont="1" applyBorder="1" applyAlignment="1">
      <alignment horizontal="center" wrapText="1"/>
    </xf>
    <xf numFmtId="0" fontId="38" fillId="18" borderId="12" xfId="0" applyFont="1" applyFill="1" applyBorder="1"/>
    <xf numFmtId="0" fontId="38" fillId="18" borderId="0" xfId="0" applyFont="1" applyFill="1" applyBorder="1"/>
    <xf numFmtId="3" fontId="0" fillId="5" borderId="39" xfId="0" applyNumberFormat="1" applyFill="1" applyBorder="1" applyAlignment="1">
      <alignment horizontal="center"/>
    </xf>
    <xf numFmtId="0" fontId="0" fillId="5" borderId="39" xfId="0" applyFill="1" applyBorder="1" applyAlignment="1">
      <alignment horizontal="center"/>
    </xf>
    <xf numFmtId="0" fontId="0" fillId="5" borderId="68" xfId="0" applyFill="1" applyBorder="1" applyAlignment="1">
      <alignment horizontal="center"/>
    </xf>
    <xf numFmtId="3" fontId="0" fillId="5" borderId="0" xfId="0" applyNumberFormat="1" applyFill="1" applyBorder="1" applyAlignment="1">
      <alignment horizontal="center"/>
    </xf>
    <xf numFmtId="0" fontId="0" fillId="5" borderId="0" xfId="0" applyFill="1" applyBorder="1" applyAlignment="1">
      <alignment horizontal="center"/>
    </xf>
    <xf numFmtId="0" fontId="0" fillId="5" borderId="69" xfId="0" applyFill="1" applyBorder="1" applyAlignment="1">
      <alignment horizontal="center"/>
    </xf>
    <xf numFmtId="3" fontId="0" fillId="5" borderId="19" xfId="0" applyNumberFormat="1" applyFill="1" applyBorder="1" applyAlignment="1">
      <alignment horizontal="center"/>
    </xf>
    <xf numFmtId="0" fontId="0" fillId="5" borderId="19" xfId="0" applyFill="1" applyBorder="1" applyAlignment="1">
      <alignment horizontal="center"/>
    </xf>
    <xf numFmtId="0" fontId="0" fillId="5" borderId="52" xfId="0" applyFill="1" applyBorder="1" applyAlignment="1">
      <alignment horizontal="center"/>
    </xf>
    <xf numFmtId="0" fontId="17" fillId="18" borderId="12" xfId="0" applyFont="1" applyFill="1" applyBorder="1"/>
    <xf numFmtId="0" fontId="0" fillId="18" borderId="0" xfId="0" applyFill="1" applyBorder="1"/>
    <xf numFmtId="0" fontId="18" fillId="18" borderId="12" xfId="0" applyFont="1" applyFill="1" applyBorder="1" applyAlignment="1">
      <alignment horizontal="left" vertical="center"/>
    </xf>
    <xf numFmtId="0" fontId="18" fillId="18" borderId="0" xfId="0" applyFont="1" applyFill="1" applyBorder="1" applyAlignment="1">
      <alignment horizontal="left" vertical="center"/>
    </xf>
    <xf numFmtId="0" fontId="37" fillId="2" borderId="67" xfId="0" applyFont="1" applyFill="1" applyBorder="1" applyAlignment="1">
      <alignment horizontal="center" vertical="center" wrapText="1"/>
    </xf>
    <xf numFmtId="0" fontId="37" fillId="2" borderId="90" xfId="0" applyFont="1" applyFill="1" applyBorder="1" applyAlignment="1">
      <alignment horizontal="center" vertical="center" wrapText="1"/>
    </xf>
    <xf numFmtId="0" fontId="37" fillId="2" borderId="38" xfId="0" applyFont="1" applyFill="1" applyBorder="1" applyAlignment="1">
      <alignment horizontal="center" vertical="center" wrapText="1"/>
    </xf>
    <xf numFmtId="0" fontId="37" fillId="2" borderId="57"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0" borderId="20" xfId="0" applyNumberFormat="1" applyFont="1" applyFill="1" applyBorder="1" applyAlignment="1">
      <alignment horizontal="center" vertical="center"/>
    </xf>
    <xf numFmtId="3" fontId="17" fillId="0" borderId="22" xfId="0" applyNumberFormat="1" applyFont="1" applyFill="1" applyBorder="1" applyAlignment="1">
      <alignment horizontal="center" vertical="center"/>
    </xf>
    <xf numFmtId="3" fontId="17" fillId="0" borderId="70" xfId="0" applyNumberFormat="1" applyFont="1" applyFill="1" applyBorder="1" applyAlignment="1">
      <alignment horizontal="center" vertical="center"/>
    </xf>
    <xf numFmtId="0" fontId="17" fillId="0" borderId="14" xfId="0" applyFont="1" applyFill="1" applyBorder="1" applyAlignment="1">
      <alignment horizontal="left" vertical="center"/>
    </xf>
    <xf numFmtId="0" fontId="17" fillId="0" borderId="6" xfId="0" applyFont="1" applyFill="1" applyBorder="1" applyAlignment="1">
      <alignment horizontal="left" vertical="center"/>
    </xf>
    <xf numFmtId="3" fontId="37" fillId="0" borderId="91" xfId="0" applyNumberFormat="1" applyFont="1" applyFill="1" applyBorder="1" applyAlignment="1">
      <alignment horizontal="center" vertical="center" wrapText="1"/>
    </xf>
    <xf numFmtId="3" fontId="37" fillId="0" borderId="92" xfId="0" applyNumberFormat="1" applyFont="1" applyFill="1" applyBorder="1" applyAlignment="1">
      <alignment horizontal="center" vertical="center" wrapText="1"/>
    </xf>
    <xf numFmtId="3" fontId="37" fillId="0" borderId="93" xfId="0" applyNumberFormat="1" applyFont="1" applyFill="1" applyBorder="1" applyAlignment="1">
      <alignment horizontal="center" vertical="center" wrapText="1"/>
    </xf>
    <xf numFmtId="0" fontId="38" fillId="0" borderId="0" xfId="0" applyFont="1" applyBorder="1" applyAlignment="1">
      <alignment horizontal="center" vertical="top"/>
    </xf>
    <xf numFmtId="0" fontId="0" fillId="18" borderId="12" xfId="0" applyFill="1" applyBorder="1"/>
    <xf numFmtId="0" fontId="18" fillId="18" borderId="12" xfId="0" applyFont="1" applyFill="1" applyBorder="1"/>
    <xf numFmtId="0" fontId="18" fillId="18" borderId="0" xfId="0" applyFont="1" applyFill="1" applyBorder="1"/>
    <xf numFmtId="0" fontId="21" fillId="0" borderId="102" xfId="0" applyFont="1" applyFill="1" applyBorder="1" applyAlignment="1">
      <alignment horizontal="center" vertical="center" wrapText="1"/>
    </xf>
    <xf numFmtId="0" fontId="41" fillId="0" borderId="102" xfId="0" applyFont="1" applyBorder="1" applyAlignment="1">
      <alignment horizontal="center" vertical="center"/>
    </xf>
    <xf numFmtId="3" fontId="37" fillId="2" borderId="91" xfId="0" applyNumberFormat="1" applyFont="1" applyFill="1" applyBorder="1" applyAlignment="1">
      <alignment horizontal="center" vertical="center" wrapText="1"/>
    </xf>
    <xf numFmtId="3" fontId="37" fillId="2" borderId="92" xfId="0" applyNumberFormat="1" applyFont="1" applyFill="1" applyBorder="1" applyAlignment="1">
      <alignment horizontal="center" vertical="center" wrapText="1"/>
    </xf>
    <xf numFmtId="3" fontId="77" fillId="2" borderId="92" xfId="0" applyNumberFormat="1" applyFont="1" applyFill="1" applyBorder="1" applyAlignment="1">
      <alignment horizontal="center" vertical="center" wrapText="1"/>
    </xf>
    <xf numFmtId="3" fontId="37" fillId="2" borderId="93" xfId="0" applyNumberFormat="1" applyFont="1" applyFill="1" applyBorder="1" applyAlignment="1">
      <alignment horizontal="center" vertical="center" wrapText="1"/>
    </xf>
    <xf numFmtId="167" fontId="41" fillId="2" borderId="29" xfId="1" applyNumberFormat="1" applyFont="1" applyFill="1" applyBorder="1" applyAlignment="1">
      <alignment horizontal="center" wrapText="1"/>
    </xf>
    <xf numFmtId="167" fontId="41" fillId="2" borderId="3" xfId="1" applyNumberFormat="1" applyFont="1" applyFill="1" applyBorder="1" applyAlignment="1">
      <alignment horizontal="center" wrapText="1"/>
    </xf>
    <xf numFmtId="0" fontId="38" fillId="0" borderId="102" xfId="0" applyFont="1" applyBorder="1" applyAlignment="1">
      <alignment horizontal="center" vertical="center" wrapText="1"/>
    </xf>
    <xf numFmtId="0" fontId="21" fillId="18" borderId="12" xfId="0" applyFont="1" applyFill="1" applyBorder="1" applyAlignment="1">
      <alignment horizontal="left" vertical="center"/>
    </xf>
    <xf numFmtId="0" fontId="21" fillId="18" borderId="0" xfId="0" applyFont="1" applyFill="1" applyBorder="1" applyAlignment="1">
      <alignment horizontal="left" vertical="center"/>
    </xf>
    <xf numFmtId="0" fontId="28" fillId="0" borderId="99" xfId="0" applyFont="1" applyBorder="1" applyAlignment="1">
      <alignment horizontal="center" wrapText="1"/>
    </xf>
    <xf numFmtId="0" fontId="28" fillId="0" borderId="100" xfId="0" applyFont="1" applyBorder="1" applyAlignment="1">
      <alignment horizontal="center" wrapText="1"/>
    </xf>
    <xf numFmtId="0" fontId="28" fillId="0" borderId="101" xfId="0" applyFont="1" applyBorder="1" applyAlignment="1">
      <alignment horizontal="center" wrapText="1"/>
    </xf>
    <xf numFmtId="0" fontId="28" fillId="18" borderId="12" xfId="0" applyFont="1" applyFill="1" applyBorder="1"/>
    <xf numFmtId="0" fontId="28" fillId="18" borderId="0" xfId="0" applyFont="1" applyFill="1" applyBorder="1"/>
    <xf numFmtId="0" fontId="21" fillId="66" borderId="89" xfId="0" applyFont="1" applyFill="1" applyBorder="1" applyAlignment="1">
      <alignment horizontal="center" vertical="center"/>
    </xf>
    <xf numFmtId="0" fontId="21" fillId="66" borderId="0" xfId="0" applyFont="1" applyFill="1" applyBorder="1" applyAlignment="1">
      <alignment horizontal="center" vertical="center"/>
    </xf>
    <xf numFmtId="0" fontId="21" fillId="67" borderId="1" xfId="0" applyFont="1" applyFill="1" applyBorder="1" applyAlignment="1">
      <alignment horizontal="center" vertical="center"/>
    </xf>
    <xf numFmtId="10" fontId="28" fillId="0" borderId="37" xfId="0" applyNumberFormat="1" applyFont="1" applyFill="1" applyBorder="1" applyAlignment="1">
      <alignment horizontal="right" vertical="center"/>
    </xf>
    <xf numFmtId="10" fontId="28" fillId="0" borderId="38" xfId="0" applyNumberFormat="1" applyFont="1" applyFill="1" applyBorder="1" applyAlignment="1">
      <alignment horizontal="right" vertical="center"/>
    </xf>
    <xf numFmtId="10" fontId="28" fillId="0" borderId="30" xfId="0" applyNumberFormat="1" applyFont="1" applyFill="1" applyBorder="1" applyAlignment="1">
      <alignment horizontal="right" vertical="center"/>
    </xf>
    <xf numFmtId="10" fontId="21" fillId="64" borderId="1" xfId="0" applyNumberFormat="1" applyFont="1" applyFill="1" applyBorder="1" applyAlignment="1">
      <alignment horizontal="right" vertical="center"/>
    </xf>
    <xf numFmtId="10" fontId="28" fillId="0" borderId="1" xfId="0" applyNumberFormat="1" applyFont="1" applyFill="1" applyBorder="1" applyAlignment="1">
      <alignment horizontal="right" vertical="center"/>
    </xf>
    <xf numFmtId="10" fontId="21" fillId="62" borderId="1" xfId="0" applyNumberFormat="1" applyFont="1" applyFill="1" applyBorder="1" applyAlignment="1">
      <alignment horizontal="right" vertical="center"/>
    </xf>
    <xf numFmtId="0" fontId="18" fillId="67" borderId="37" xfId="0" applyFont="1" applyFill="1" applyBorder="1" applyAlignment="1">
      <alignment horizontal="center" vertical="center"/>
    </xf>
    <xf numFmtId="0" fontId="18" fillId="67" borderId="30" xfId="0" applyFont="1" applyFill="1" applyBorder="1" applyAlignment="1">
      <alignment horizontal="center" vertical="center"/>
    </xf>
    <xf numFmtId="0" fontId="18" fillId="66" borderId="89" xfId="0" applyFont="1" applyFill="1" applyBorder="1" applyAlignment="1">
      <alignment horizontal="center" vertical="center"/>
    </xf>
    <xf numFmtId="0" fontId="18" fillId="66" borderId="0" xfId="0" applyFont="1" applyFill="1" applyBorder="1" applyAlignment="1">
      <alignment horizontal="center" vertical="center"/>
    </xf>
    <xf numFmtId="0" fontId="21" fillId="25" borderId="37" xfId="0" applyFont="1" applyFill="1" applyBorder="1" applyAlignment="1">
      <alignment horizontal="center" vertical="center" wrapText="1"/>
    </xf>
    <xf numFmtId="0" fontId="21" fillId="25" borderId="30" xfId="0" applyFont="1" applyFill="1" applyBorder="1" applyAlignment="1">
      <alignment horizontal="center" vertical="center" wrapText="1"/>
    </xf>
    <xf numFmtId="0" fontId="68" fillId="68" borderId="85" xfId="0" applyFont="1" applyFill="1" applyBorder="1" applyAlignment="1">
      <alignment horizontal="center" vertical="center"/>
    </xf>
    <xf numFmtId="0" fontId="68" fillId="68" borderId="0" xfId="0" applyFont="1" applyFill="1" applyBorder="1" applyAlignment="1">
      <alignment horizontal="center" vertical="center"/>
    </xf>
    <xf numFmtId="0" fontId="67" fillId="65" borderId="37" xfId="0" applyFont="1" applyFill="1" applyBorder="1" applyAlignment="1">
      <alignment horizontal="center" vertical="center" wrapText="1"/>
    </xf>
    <xf numFmtId="0" fontId="67" fillId="65" borderId="30" xfId="0" applyFont="1" applyFill="1" applyBorder="1" applyAlignment="1">
      <alignment horizontal="center" vertical="center" wrapText="1"/>
    </xf>
    <xf numFmtId="0" fontId="69" fillId="63" borderId="0" xfId="0" applyFont="1" applyFill="1" applyAlignment="1">
      <alignment horizontal="center" vertical="center"/>
    </xf>
  </cellXfs>
  <cellStyles count="73">
    <cellStyle name="20% - Énfasis1" xfId="22" builtinId="30" customBuiltin="1"/>
    <cellStyle name="20% - Énfasis1 2" xfId="52"/>
    <cellStyle name="20% - Énfasis2" xfId="26" builtinId="34" customBuiltin="1"/>
    <cellStyle name="20% - Énfasis2 2" xfId="54"/>
    <cellStyle name="20% - Énfasis3" xfId="30" builtinId="38" customBuiltin="1"/>
    <cellStyle name="20% - Énfasis3 2" xfId="56"/>
    <cellStyle name="20% - Énfasis4" xfId="34" builtinId="42" customBuiltin="1"/>
    <cellStyle name="20% - Énfasis4 2" xfId="58"/>
    <cellStyle name="20% - Énfasis5" xfId="38" builtinId="46" customBuiltin="1"/>
    <cellStyle name="20% - Énfasis5 2" xfId="60"/>
    <cellStyle name="20% - Énfasis6" xfId="42" builtinId="50" customBuiltin="1"/>
    <cellStyle name="20% - Énfasis6 2" xfId="62"/>
    <cellStyle name="40% - Énfasis1" xfId="23" builtinId="31" customBuiltin="1"/>
    <cellStyle name="40% - Énfasis1 2" xfId="53"/>
    <cellStyle name="40% - Énfasis2" xfId="27" builtinId="35" customBuiltin="1"/>
    <cellStyle name="40% - Énfasis2 2" xfId="55"/>
    <cellStyle name="40% - Énfasis3" xfId="31" builtinId="39" customBuiltin="1"/>
    <cellStyle name="40% - Énfasis3 2" xfId="57"/>
    <cellStyle name="40% - Énfasis4" xfId="35" builtinId="43" customBuiltin="1"/>
    <cellStyle name="40% - Énfasis4 2" xfId="59"/>
    <cellStyle name="40% - Énfasis5" xfId="39" builtinId="47" customBuiltin="1"/>
    <cellStyle name="40% - Énfasis5 2" xfId="61"/>
    <cellStyle name="40% - Énfasis6" xfId="43" builtinId="51" customBuiltin="1"/>
    <cellStyle name="40% - Énfasis6 2" xfId="63"/>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Millares" xfId="1" builtinId="3"/>
    <cellStyle name="Neutral" xfId="12" builtinId="28" customBuiltin="1"/>
    <cellStyle name="Normal" xfId="0" builtinId="0"/>
    <cellStyle name="Normal 10" xfId="65"/>
    <cellStyle name="Normal 11" xfId="66"/>
    <cellStyle name="Normal 12" xfId="67"/>
    <cellStyle name="Normal 13" xfId="68"/>
    <cellStyle name="Normal 14" xfId="69"/>
    <cellStyle name="Normal 15" xfId="70"/>
    <cellStyle name="Normal 16" xfId="72"/>
    <cellStyle name="Normal 2" xfId="4"/>
    <cellStyle name="Normal 2 2" xfId="48"/>
    <cellStyle name="Normal 3" xfId="2"/>
    <cellStyle name="Normal 4" xfId="45"/>
    <cellStyle name="Normal 5" xfId="3"/>
    <cellStyle name="Normal 6" xfId="47"/>
    <cellStyle name="Normal 7" xfId="49"/>
    <cellStyle name="Normal 8" xfId="50"/>
    <cellStyle name="Normal 9" xfId="64"/>
    <cellStyle name="Notas 2" xfId="46"/>
    <cellStyle name="Notas 3" xfId="51"/>
    <cellStyle name="Porcentaje" xfId="71" builtinId="5"/>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1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00"/>
      <color rgb="FF00FFFF"/>
      <color rgb="FF00FF00"/>
      <color rgb="FFFF9900"/>
      <color rgb="FF07F913"/>
      <color rgb="FF99CC00"/>
      <color rgb="FFFFFFF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292554</xdr:colOff>
      <xdr:row>0</xdr:row>
      <xdr:rowOff>160450</xdr:rowOff>
    </xdr:from>
    <xdr:to>
      <xdr:col>0</xdr:col>
      <xdr:colOff>1634729</xdr:colOff>
      <xdr:row>2</xdr:row>
      <xdr:rowOff>331879</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554" y="160450"/>
          <a:ext cx="1342175" cy="12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213108</xdr:colOff>
      <xdr:row>0</xdr:row>
      <xdr:rowOff>74915</xdr:rowOff>
    </xdr:from>
    <xdr:to>
      <xdr:col>0</xdr:col>
      <xdr:colOff>1498315</xdr:colOff>
      <xdr:row>2</xdr:row>
      <xdr:rowOff>449495</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108" y="74915"/>
          <a:ext cx="1285207" cy="14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317500</xdr:colOff>
      <xdr:row>0</xdr:row>
      <xdr:rowOff>45356</xdr:rowOff>
    </xdr:from>
    <xdr:to>
      <xdr:col>0</xdr:col>
      <xdr:colOff>1712233</xdr:colOff>
      <xdr:row>2</xdr:row>
      <xdr:rowOff>447270</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45356"/>
          <a:ext cx="1394733" cy="1467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321467</xdr:colOff>
      <xdr:row>0</xdr:row>
      <xdr:rowOff>63501</xdr:rowOff>
    </xdr:from>
    <xdr:to>
      <xdr:col>0</xdr:col>
      <xdr:colOff>1788583</xdr:colOff>
      <xdr:row>2</xdr:row>
      <xdr:rowOff>407962</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467" y="63501"/>
          <a:ext cx="1467116" cy="1402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284513</xdr:colOff>
      <xdr:row>0</xdr:row>
      <xdr:rowOff>98961</xdr:rowOff>
    </xdr:from>
    <xdr:to>
      <xdr:col>0</xdr:col>
      <xdr:colOff>1523215</xdr:colOff>
      <xdr:row>2</xdr:row>
      <xdr:rowOff>467045</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513" y="98961"/>
          <a:ext cx="1238702" cy="901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rlando_Arias\2018\PAA\5.Mayo\SEGUIMIENTO_PAA_POAI_MAY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rlando.arias/Documents/Orlando%20Arias/2016/Plan%20de%20accion%20Inversion%202016/Bogota%20Mejor%20Para%20Todos/Diciembre/Plan%20Accion%20BMPT-dic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lando_Arias\2019\Reportes_PREDIS\3.Marzo\1024_OP_MAR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rlando_Arias\2019\Reportes_PREDIS\5.Mayo\1024_OP_Abril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Orlando_Arias\2019\Reportes_PREDIS\4.Abril\1107_OP_Ene_Abr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Orlando_Arias\2019\Reportes_PREDIS\1.Enero\RP_TodoEner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Orlando_Arias\2019\Reportes_PREDIS\2.Febrero\RP_Todo_Ene_Feb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Orlando_Arias\2019\Reportes_PREDIS\4.Abril\1110_OP_Ene_Abr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Orlando_Arias\2019\Reportes_PREDIS\4.Abril\1112_OP_Ene_Abr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Orlando_Arias\2019\Reportes_PREDIS\3.Marzo\1114_OP_MAR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Listas"/>
      <sheetName val="Seguimiento_PAA"/>
      <sheetName val="SECOP"/>
      <sheetName val="Hoja1"/>
      <sheetName val="Seguimiento POAI"/>
      <sheetName val="Validación_Conceptos"/>
      <sheetName val="Validación_Componentes"/>
      <sheetName val="Estimación CRP"/>
    </sheetNames>
    <sheetDataSet>
      <sheetData sheetId="0"/>
      <sheetData sheetId="1"/>
      <sheetData sheetId="2"/>
      <sheetData sheetId="3"/>
      <sheetData sheetId="4"/>
      <sheetData sheetId="5">
        <row r="60">
          <cell r="A60" t="str">
            <v>Licitación pública</v>
          </cell>
        </row>
        <row r="61">
          <cell r="A61" t="str">
            <v>Concurso de méritos con precalificación</v>
          </cell>
        </row>
        <row r="62">
          <cell r="A62" t="str">
            <v>Concurso de méritos</v>
          </cell>
        </row>
        <row r="63">
          <cell r="A63" t="str">
            <v>Contratación directa (con ofertas)</v>
          </cell>
        </row>
        <row r="64">
          <cell r="A64" t="str">
            <v>Menor cuantía</v>
          </cell>
        </row>
        <row r="65">
          <cell r="A65" t="str">
            <v>Subasta inversa</v>
          </cell>
        </row>
        <row r="66">
          <cell r="A66" t="str">
            <v>Mínima cuantía</v>
          </cell>
        </row>
        <row r="67">
          <cell r="A67" t="str">
            <v>Contratación directa</v>
          </cell>
        </row>
        <row r="68">
          <cell r="A68" t="str">
            <v>Contratación directa / Contrato Interadministrativo</v>
          </cell>
        </row>
        <row r="69">
          <cell r="A69" t="str">
            <v>Contratación directa / Convenio de Asociación</v>
          </cell>
        </row>
        <row r="70">
          <cell r="A70" t="str">
            <v>Contratación directa / Convenio Interadministrativo</v>
          </cell>
        </row>
        <row r="71">
          <cell r="A71" t="str">
            <v>Contratación directa / Prestación de servicios profesionales y de apoyo a la gestión</v>
          </cell>
        </row>
        <row r="72">
          <cell r="A72" t="str">
            <v>Acuerdo marco de precios</v>
          </cell>
        </row>
        <row r="73">
          <cell r="A73" t="str">
            <v>No aplica</v>
          </cell>
        </row>
        <row r="77">
          <cell r="A77" t="str">
            <v>Juan Fernando Acosta Mirkow (Subdirección de Gestión Corporativa)</v>
          </cell>
        </row>
        <row r="78">
          <cell r="A78" t="str">
            <v>Dorys Patricia Noy (Subdirección de Intervención)</v>
          </cell>
        </row>
        <row r="79">
          <cell r="A79" t="str">
            <v>Margarita Lucía Castañeda Vargas (Subdirección de Divulgación)</v>
          </cell>
        </row>
        <row r="80">
          <cell r="A80" t="str">
            <v>María Victoria Villamil Páez (Subdirección General)</v>
          </cell>
        </row>
        <row r="85">
          <cell r="I85" t="str">
            <v>01-Recursos del Distrito 12-Otros Distrito</v>
          </cell>
        </row>
        <row r="86">
          <cell r="I86" t="str">
            <v>01-Recursos del Distrito 265-Recursos de Balance Plusvalía</v>
          </cell>
        </row>
        <row r="87">
          <cell r="I87" t="str">
            <v>01-Recursos del Distrito 41-Plusvalía</v>
          </cell>
        </row>
        <row r="88">
          <cell r="I88" t="str">
            <v>01-Recursos del Distrito 555-Impuesto al Consumo de Telefonía Móvil</v>
          </cell>
        </row>
        <row r="89">
          <cell r="I89" t="str">
            <v>03-Recursos Administrados 20-Administrados de Destinación Específica</v>
          </cell>
        </row>
        <row r="90">
          <cell r="I90" t="str">
            <v>03-Recursos Administrados 21-Administrados de Libre Destinación</v>
          </cell>
        </row>
        <row r="91">
          <cell r="I91" t="str">
            <v>03-Recursos Administrados 490-Rendimientos Financieros de Libre Destinación</v>
          </cell>
        </row>
        <row r="108">
          <cell r="A108" t="str">
            <v>1024  Formación en patrimonio cultural</v>
          </cell>
        </row>
        <row r="109">
          <cell r="A109" t="str">
            <v>1107. Divulgación y apropiación del patrimonio cultural del Distrito Capital</v>
          </cell>
        </row>
        <row r="110">
          <cell r="A110" t="str">
            <v>1110. Fortalecimiento y desarrollo de la gestión institucional</v>
          </cell>
        </row>
        <row r="111">
          <cell r="A111" t="str">
            <v>1112. Instrumentos de planeación y gestión para la preservación y sostenibilidad del patrimonio cultural</v>
          </cell>
        </row>
        <row r="112">
          <cell r="A112" t="str">
            <v>1114. Intervención y conservación de los bienes muebles e inmuebles en sectores de interés cultural del Distrito Capital</v>
          </cell>
        </row>
        <row r="113">
          <cell r="A113" t="str">
            <v>Funcionamiento Gastos Generales</v>
          </cell>
        </row>
        <row r="114">
          <cell r="A114" t="str">
            <v>Funcionamiento Servicios Personales</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RESERVAS"/>
      <sheetName val="PASIVOS"/>
      <sheetName val="PMR (2)"/>
      <sheetName val="TABLERO"/>
    </sheetNames>
    <sheetDataSet>
      <sheetData sheetId="0" refreshError="1"/>
      <sheetData sheetId="1" refreshError="1"/>
      <sheetData sheetId="2" refreshError="1">
        <row r="16">
          <cell r="A16" t="str">
            <v>Fortalecimiento de los subsistemas del sistema
integrado de gestión</v>
          </cell>
        </row>
        <row r="81">
          <cell r="A81" t="str">
            <v>10. Procesos articulados dentro del sistema integrado de gestión.</v>
          </cell>
        </row>
      </sheetData>
      <sheetData sheetId="3" refreshError="1">
        <row r="16">
          <cell r="A16" t="str">
            <v>Plan especial de manejo y protección del centro
histórico</v>
          </cell>
        </row>
        <row r="94">
          <cell r="A94" t="str">
            <v>15. Instrumentos técnicos de gestión para la preservación del patrimonio cultural</v>
          </cell>
        </row>
      </sheetData>
      <sheetData sheetId="4" refreshError="1">
        <row r="16">
          <cell r="A16" t="str">
            <v xml:space="preserve">Bienes de Interés Cultural de tipo inmueble intervenidos </v>
          </cell>
        </row>
        <row r="144">
          <cell r="A144" t="str">
            <v>Monumentos en espacios públicos a intervenir</v>
          </cell>
        </row>
        <row r="263">
          <cell r="A263" t="str">
            <v>4. Obras de Intervención en Bienes muebles - inmuebles y sectores que conforman el patrimonio cultural del D.C.</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N2">
            <v>261</v>
          </cell>
          <cell r="O2">
            <v>254</v>
          </cell>
          <cell r="P2" t="str">
            <v>SARA LUCIA GOMEZ MACHADO</v>
          </cell>
          <cell r="Q2" t="str">
            <v>CONTRATO DE PRESTACION DE SERVICIOS PROFESIONALES</v>
          </cell>
          <cell r="R2">
            <v>226</v>
          </cell>
          <cell r="S2" t="str">
            <v>VIGENTE</v>
          </cell>
          <cell r="T2">
            <v>1963867</v>
          </cell>
        </row>
        <row r="3">
          <cell r="N3">
            <v>252</v>
          </cell>
          <cell r="O3">
            <v>256</v>
          </cell>
          <cell r="P3" t="str">
            <v>LIDA ROCIO ROA MONSALVE</v>
          </cell>
          <cell r="Q3" t="str">
            <v>CONTRATO DE PRESTACION DE SERVICIOS PROFESIONALES</v>
          </cell>
          <cell r="R3">
            <v>227</v>
          </cell>
          <cell r="S3" t="str">
            <v>VIGENTE</v>
          </cell>
          <cell r="T3">
            <v>1963867</v>
          </cell>
        </row>
        <row r="4">
          <cell r="N4">
            <v>276</v>
          </cell>
          <cell r="O4">
            <v>257</v>
          </cell>
          <cell r="P4" t="str">
            <v>VANESSA  GONZALEZ VEJOLLIN</v>
          </cell>
          <cell r="Q4" t="str">
            <v>CONTRATO DE PRESTACION DE SERVICIOS PROFESIONALES</v>
          </cell>
          <cell r="R4">
            <v>241</v>
          </cell>
          <cell r="S4" t="str">
            <v>VIGENTE</v>
          </cell>
          <cell r="T4">
            <v>1606800</v>
          </cell>
        </row>
        <row r="5">
          <cell r="N5">
            <v>177</v>
          </cell>
          <cell r="O5">
            <v>219</v>
          </cell>
          <cell r="P5" t="str">
            <v>PAULA ANDREA ÁVILA ESPINEL</v>
          </cell>
          <cell r="Q5" t="str">
            <v>CONTRATO DE PRESTACION DE SERVICIOS PROFESIONALES</v>
          </cell>
          <cell r="R5">
            <v>171</v>
          </cell>
          <cell r="S5" t="str">
            <v>VIGENTE</v>
          </cell>
          <cell r="T5">
            <v>5022000</v>
          </cell>
        </row>
        <row r="6">
          <cell r="N6">
            <v>166</v>
          </cell>
          <cell r="O6">
            <v>168</v>
          </cell>
          <cell r="P6" t="str">
            <v>YANETH  MORA HERNANDEZ</v>
          </cell>
          <cell r="Q6" t="str">
            <v>CONTRATO DE PRESTACION DE SERVICIOS PROFESIONALES</v>
          </cell>
          <cell r="R6">
            <v>147</v>
          </cell>
          <cell r="S6" t="str">
            <v>VIGENTE</v>
          </cell>
          <cell r="T6">
            <v>5022000</v>
          </cell>
        </row>
        <row r="7">
          <cell r="N7">
            <v>240</v>
          </cell>
          <cell r="O7">
            <v>242</v>
          </cell>
          <cell r="P7" t="str">
            <v xml:space="preserve">YENNY  SANCHEZ </v>
          </cell>
          <cell r="Q7" t="str">
            <v>CONTRATO DE PRESTACION DE SERVICIOS PROFESIONALES</v>
          </cell>
          <cell r="R7">
            <v>215</v>
          </cell>
          <cell r="S7" t="str">
            <v>VIGENTE</v>
          </cell>
          <cell r="T7">
            <v>2053133</v>
          </cell>
        </row>
        <row r="8">
          <cell r="N8">
            <v>172</v>
          </cell>
          <cell r="O8">
            <v>174</v>
          </cell>
          <cell r="P8" t="str">
            <v>FABIO ALBERTO LOPEZ SUAREZ</v>
          </cell>
          <cell r="Q8" t="str">
            <v>CONTRATO DE PRESTACION DE SERVICIOS PROFESIONALES</v>
          </cell>
          <cell r="R8">
            <v>159</v>
          </cell>
          <cell r="S8" t="str">
            <v>VIGENTE</v>
          </cell>
          <cell r="T8">
            <v>6840667</v>
          </cell>
        </row>
        <row r="9">
          <cell r="N9">
            <v>262</v>
          </cell>
          <cell r="O9">
            <v>255</v>
          </cell>
          <cell r="P9" t="str">
            <v>ANA CECILIA ESCOBAR RAMIREZ</v>
          </cell>
          <cell r="Q9" t="str">
            <v>CONTRATO DE PRESTACION DE SERVICIOS PROFESIONALES</v>
          </cell>
          <cell r="R9">
            <v>225</v>
          </cell>
          <cell r="S9" t="str">
            <v>VIGENTE</v>
          </cell>
          <cell r="T9">
            <v>1963867</v>
          </cell>
        </row>
        <row r="10">
          <cell r="N10">
            <v>175</v>
          </cell>
          <cell r="O10">
            <v>220</v>
          </cell>
          <cell r="P10" t="str">
            <v>SARA BEATRIZ ACUÑA GOMEZ</v>
          </cell>
          <cell r="Q10" t="str">
            <v>CONTRATO DE PRESTACION DE SERVICIOS PROFESIONALES</v>
          </cell>
          <cell r="R10">
            <v>169</v>
          </cell>
          <cell r="S10" t="str">
            <v>VIGENTE</v>
          </cell>
          <cell r="T10">
            <v>5022000</v>
          </cell>
        </row>
        <row r="11">
          <cell r="N11">
            <v>161</v>
          </cell>
          <cell r="O11">
            <v>167</v>
          </cell>
          <cell r="P11" t="str">
            <v>DIANA  PEDRAZA RINCON</v>
          </cell>
          <cell r="Q11" t="str">
            <v>CONTRATO DE PRESTACION DE SERVICIOS PROFESIONALES</v>
          </cell>
          <cell r="R11">
            <v>142</v>
          </cell>
          <cell r="S11" t="str">
            <v>VIGENTE</v>
          </cell>
          <cell r="T11">
            <v>5022000</v>
          </cell>
        </row>
        <row r="12">
          <cell r="N12">
            <v>275</v>
          </cell>
          <cell r="O12">
            <v>258</v>
          </cell>
          <cell r="P12" t="str">
            <v>NURY YENSSY BOHORQUEZ SANCEHZ</v>
          </cell>
          <cell r="Q12" t="str">
            <v>CONTRATO DE PRESTACION DE SERVICIOS PROFESIONALES</v>
          </cell>
          <cell r="R12">
            <v>242</v>
          </cell>
          <cell r="S12" t="str">
            <v>VIGENTE</v>
          </cell>
          <cell r="T12">
            <v>1696067</v>
          </cell>
        </row>
        <row r="13">
          <cell r="N13">
            <v>241</v>
          </cell>
          <cell r="O13">
            <v>246</v>
          </cell>
          <cell r="P13" t="str">
            <v>CAMILO  CASAS ABRIL</v>
          </cell>
          <cell r="Q13" t="str">
            <v>CONTRATO DE PRESTACION DE SERVICIOS PROFESIONALES</v>
          </cell>
          <cell r="R13">
            <v>213</v>
          </cell>
          <cell r="S13" t="str">
            <v>VIGENTE</v>
          </cell>
          <cell r="T13">
            <v>1785333</v>
          </cell>
        </row>
        <row r="14">
          <cell r="N14">
            <v>213</v>
          </cell>
          <cell r="O14">
            <v>237</v>
          </cell>
          <cell r="P14" t="str">
            <v>ANGELA MARIA CADENA GOMEZ</v>
          </cell>
          <cell r="Q14" t="str">
            <v>CONTRATO DE PRESTACION DE SERVICIOS PROFESIONALES</v>
          </cell>
          <cell r="R14">
            <v>196</v>
          </cell>
          <cell r="S14" t="str">
            <v>VIGENTE</v>
          </cell>
          <cell r="T14">
            <v>4860000</v>
          </cell>
        </row>
        <row r="15">
          <cell r="N15">
            <v>258</v>
          </cell>
          <cell r="O15">
            <v>241</v>
          </cell>
          <cell r="P15" t="str">
            <v>JENNY LORENA BOHORQUEZ MORENO</v>
          </cell>
          <cell r="Q15" t="str">
            <v>CONTRATO DE PRESTACION DE SERVICIOS PROFESIONALES</v>
          </cell>
          <cell r="R15">
            <v>232</v>
          </cell>
          <cell r="S15" t="str">
            <v>VIGENTE</v>
          </cell>
          <cell r="T15">
            <v>1696067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3">
          <cell r="N33">
            <v>241</v>
          </cell>
          <cell r="O33">
            <v>246</v>
          </cell>
          <cell r="P33" t="str">
            <v>CAMILO  CASAS ABRIL</v>
          </cell>
          <cell r="Q33" t="str">
            <v>CONTRATO DE PRESTACION DE SERVICIOS PROFESIONALES</v>
          </cell>
          <cell r="R33">
            <v>213</v>
          </cell>
          <cell r="S33" t="str">
            <v>VIGENTE</v>
          </cell>
          <cell r="T33">
            <v>2678000</v>
          </cell>
        </row>
        <row r="34">
          <cell r="N34">
            <v>261</v>
          </cell>
          <cell r="O34">
            <v>254</v>
          </cell>
          <cell r="P34" t="str">
            <v>SARA LUCIA GOMEZ MACHADO</v>
          </cell>
          <cell r="Q34" t="str">
            <v>CONTRATO DE PRESTACION DE SERVICIOS PROFESIONALES</v>
          </cell>
          <cell r="R34">
            <v>226</v>
          </cell>
          <cell r="S34" t="str">
            <v>VIGENTE</v>
          </cell>
          <cell r="T34">
            <v>2678000</v>
          </cell>
        </row>
        <row r="35">
          <cell r="N35">
            <v>258</v>
          </cell>
          <cell r="O35">
            <v>241</v>
          </cell>
          <cell r="P35" t="str">
            <v>JENNY LORENA BOHORQUEZ MORENO</v>
          </cell>
          <cell r="Q35" t="str">
            <v>CONTRATO DE PRESTACION DE SERVICIOS PROFESIONALES</v>
          </cell>
          <cell r="R35">
            <v>232</v>
          </cell>
          <cell r="S35" t="str">
            <v>VIGENTE</v>
          </cell>
          <cell r="T35">
            <v>2678000</v>
          </cell>
        </row>
        <row r="36">
          <cell r="N36">
            <v>240</v>
          </cell>
          <cell r="O36">
            <v>242</v>
          </cell>
          <cell r="P36" t="str">
            <v xml:space="preserve">YENNY  SANCHEZ </v>
          </cell>
          <cell r="Q36" t="str">
            <v>CONTRATO DE PRESTACION DE SERVICIOS PROFESIONALES</v>
          </cell>
          <cell r="R36">
            <v>215</v>
          </cell>
          <cell r="S36" t="str">
            <v>VIGENTE</v>
          </cell>
          <cell r="T36">
            <v>2678000</v>
          </cell>
        </row>
        <row r="37">
          <cell r="N37">
            <v>275</v>
          </cell>
          <cell r="O37">
            <v>258</v>
          </cell>
          <cell r="P37" t="str">
            <v>NURY YENSSY BOHORQUEZ SANCEHZ</v>
          </cell>
          <cell r="Q37" t="str">
            <v>CONTRATO DE PRESTACION DE SERVICIOS PROFESIONALES</v>
          </cell>
          <cell r="R37">
            <v>242</v>
          </cell>
          <cell r="S37" t="str">
            <v>VIGENTE</v>
          </cell>
          <cell r="T37">
            <v>2678000</v>
          </cell>
        </row>
        <row r="38">
          <cell r="N38">
            <v>276</v>
          </cell>
          <cell r="O38">
            <v>257</v>
          </cell>
          <cell r="P38" t="str">
            <v>VANESSA  GONZALEZ VEJOLLIN</v>
          </cell>
          <cell r="Q38" t="str">
            <v>CONTRATO DE PRESTACION DE SERVICIOS PROFESIONALES</v>
          </cell>
          <cell r="R38">
            <v>241</v>
          </cell>
          <cell r="S38" t="str">
            <v>VIGENTE</v>
          </cell>
          <cell r="T38">
            <v>2678000</v>
          </cell>
        </row>
        <row r="39">
          <cell r="N39">
            <v>175</v>
          </cell>
          <cell r="O39">
            <v>220</v>
          </cell>
          <cell r="P39" t="str">
            <v>SARA BEATRIZ ACUÑA GOMEZ</v>
          </cell>
          <cell r="Q39" t="str">
            <v>CONTRATO DE PRESTACION DE SERVICIOS PROFESIONALES</v>
          </cell>
          <cell r="R39">
            <v>169</v>
          </cell>
          <cell r="S39" t="str">
            <v>VIGENTE</v>
          </cell>
          <cell r="T39">
            <v>4860000</v>
          </cell>
        </row>
        <row r="40">
          <cell r="N40">
            <v>161</v>
          </cell>
          <cell r="O40">
            <v>167</v>
          </cell>
          <cell r="P40" t="str">
            <v>DIANA  PEDRAZA RINCON</v>
          </cell>
          <cell r="Q40" t="str">
            <v>CONTRATO DE PRESTACION DE SERVICIOS PROFESIONALES</v>
          </cell>
          <cell r="R40">
            <v>142</v>
          </cell>
          <cell r="S40" t="str">
            <v>VIGENTE</v>
          </cell>
          <cell r="T40">
            <v>4860000</v>
          </cell>
        </row>
        <row r="41">
          <cell r="N41">
            <v>213</v>
          </cell>
          <cell r="O41">
            <v>237</v>
          </cell>
          <cell r="P41" t="str">
            <v>ANGELA MARIA CADENA GOMEZ</v>
          </cell>
          <cell r="Q41" t="str">
            <v>CONTRATO DE PRESTACION DE SERVICIOS PROFESIONALES</v>
          </cell>
          <cell r="R41">
            <v>196</v>
          </cell>
          <cell r="S41" t="str">
            <v>VIGENTE</v>
          </cell>
          <cell r="T41">
            <v>4860000</v>
          </cell>
        </row>
        <row r="42">
          <cell r="N42">
            <v>166</v>
          </cell>
          <cell r="O42">
            <v>168</v>
          </cell>
          <cell r="P42" t="str">
            <v>YANETH  MORA HERNANDEZ</v>
          </cell>
          <cell r="Q42" t="str">
            <v>CONTRATO DE PRESTACION DE SERVICIOS PROFESIONALES</v>
          </cell>
          <cell r="R42">
            <v>147</v>
          </cell>
          <cell r="S42" t="str">
            <v>VIGENTE</v>
          </cell>
          <cell r="T42">
            <v>4860000</v>
          </cell>
        </row>
        <row r="43">
          <cell r="N43">
            <v>262</v>
          </cell>
          <cell r="O43">
            <v>255</v>
          </cell>
          <cell r="P43" t="str">
            <v>ANA CECILIA ESCOBAR RAMIREZ</v>
          </cell>
          <cell r="Q43" t="str">
            <v>CONTRATO DE PRESTACION DE SERVICIOS PROFESIONALES</v>
          </cell>
          <cell r="R43">
            <v>225</v>
          </cell>
          <cell r="S43" t="str">
            <v>VIGENTE</v>
          </cell>
          <cell r="T43">
            <v>2678000</v>
          </cell>
        </row>
        <row r="44">
          <cell r="N44">
            <v>252</v>
          </cell>
          <cell r="O44">
            <v>256</v>
          </cell>
          <cell r="P44" t="str">
            <v>LIDA ROCIO ROA MONSALVE</v>
          </cell>
          <cell r="Q44" t="str">
            <v>CONTRATO DE PRESTACION DE SERVICIOS PROFESIONALES</v>
          </cell>
          <cell r="R44">
            <v>227</v>
          </cell>
          <cell r="S44" t="str">
            <v>VIGENTE</v>
          </cell>
          <cell r="T44">
            <v>2678000</v>
          </cell>
        </row>
        <row r="45">
          <cell r="N45">
            <v>172</v>
          </cell>
          <cell r="O45">
            <v>174</v>
          </cell>
          <cell r="P45" t="str">
            <v>FABIO ALBERTO LOPEZ SUAREZ</v>
          </cell>
          <cell r="Q45" t="str">
            <v>CONTRATO DE PRESTACION DE SERVICIOS PROFESIONALES</v>
          </cell>
          <cell r="R45">
            <v>159</v>
          </cell>
          <cell r="S45" t="str">
            <v>VIGENTE</v>
          </cell>
          <cell r="T45">
            <v>8660000</v>
          </cell>
        </row>
        <row r="46">
          <cell r="N46">
            <v>177</v>
          </cell>
          <cell r="O46">
            <v>219</v>
          </cell>
          <cell r="P46" t="str">
            <v>PAULA ANDREA ÁVILA ESPINEL</v>
          </cell>
          <cell r="Q46" t="str">
            <v>CONTRATO DE PRESTACION DE SERVICIOS PROFESIONALES</v>
          </cell>
          <cell r="R46">
            <v>171</v>
          </cell>
          <cell r="S46" t="str">
            <v>VIGENTE</v>
          </cell>
          <cell r="T46">
            <v>4860000</v>
          </cell>
        </row>
        <row r="47">
          <cell r="N47">
            <v>496</v>
          </cell>
          <cell r="O47">
            <v>486</v>
          </cell>
          <cell r="P47" t="str">
            <v xml:space="preserve">INSTITUTO DISTRITAL DE PATRIMONIO CULTURAL   </v>
          </cell>
          <cell r="Q47" t="str">
            <v>OFICIO</v>
          </cell>
          <cell r="R47">
            <v>28143</v>
          </cell>
          <cell r="S47" t="str">
            <v>VIGENTE</v>
          </cell>
          <cell r="T47">
            <v>1003000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66">
          <cell r="N66">
            <v>36</v>
          </cell>
          <cell r="O66">
            <v>65</v>
          </cell>
          <cell r="P66" t="str">
            <v>GLORIA LIDIA RODRIGUEZ CASTRO</v>
          </cell>
          <cell r="Q66" t="str">
            <v>CONTRATO DE PRESTACION DE SERVICIOS DE APOYO A LA GESTION</v>
          </cell>
          <cell r="R66">
            <v>23</v>
          </cell>
          <cell r="S66" t="str">
            <v>VIGENTE</v>
          </cell>
          <cell r="T66">
            <v>3600000</v>
          </cell>
        </row>
        <row r="67">
          <cell r="N67">
            <v>38</v>
          </cell>
          <cell r="O67">
            <v>41</v>
          </cell>
          <cell r="P67" t="str">
            <v>YOLANDA  LOPEZ CORREAL</v>
          </cell>
          <cell r="Q67" t="str">
            <v>CONTRATO DE PRESTACION DE SERVICIOS PROFESIONALES</v>
          </cell>
          <cell r="R67">
            <v>24</v>
          </cell>
          <cell r="S67" t="str">
            <v>VIGENTE</v>
          </cell>
          <cell r="T67">
            <v>7000000</v>
          </cell>
        </row>
        <row r="68">
          <cell r="N68">
            <v>37</v>
          </cell>
          <cell r="O68">
            <v>39</v>
          </cell>
          <cell r="P68" t="str">
            <v>JUAN PABLO HENAO VALLEJO</v>
          </cell>
          <cell r="Q68" t="str">
            <v>CONTRATO DE PRESTACION DE SERVICIOS PROFESIONALES</v>
          </cell>
          <cell r="R68">
            <v>25</v>
          </cell>
          <cell r="S68" t="str">
            <v>VIGENTE</v>
          </cell>
          <cell r="T68">
            <v>6500000</v>
          </cell>
        </row>
        <row r="69">
          <cell r="N69">
            <v>42</v>
          </cell>
          <cell r="O69">
            <v>40</v>
          </cell>
          <cell r="P69" t="str">
            <v>YESICA MILENA ACOSTA MOLINA</v>
          </cell>
          <cell r="Q69" t="str">
            <v>CONTRATO DE PRESTACION DE SERVICIOS PROFESIONALES</v>
          </cell>
          <cell r="R69">
            <v>32</v>
          </cell>
          <cell r="S69" t="str">
            <v>VIGENTE</v>
          </cell>
          <cell r="T69">
            <v>6620000</v>
          </cell>
        </row>
        <row r="70">
          <cell r="N70">
            <v>61</v>
          </cell>
          <cell r="O70">
            <v>81</v>
          </cell>
          <cell r="P70" t="str">
            <v>LILIANA MARCELA PAMPLONA ROMERO</v>
          </cell>
          <cell r="Q70" t="str">
            <v>CONTRATO DE PRESTACION DE SERVICIOS PROFESIONALES</v>
          </cell>
          <cell r="R70">
            <v>35</v>
          </cell>
          <cell r="S70" t="str">
            <v>VIGENTE</v>
          </cell>
          <cell r="T70">
            <v>6695000</v>
          </cell>
        </row>
        <row r="71">
          <cell r="N71">
            <v>129</v>
          </cell>
          <cell r="O71">
            <v>79</v>
          </cell>
          <cell r="P71" t="str">
            <v>CATALINA  CAVELIER ADARVE</v>
          </cell>
          <cell r="Q71" t="str">
            <v>CONTRATO DE PRESTACION DE SERVICIOS PROFESIONALES</v>
          </cell>
          <cell r="R71">
            <v>41</v>
          </cell>
          <cell r="S71" t="str">
            <v>VIGENTE</v>
          </cell>
          <cell r="T71">
            <v>6620000</v>
          </cell>
        </row>
        <row r="72">
          <cell r="N72">
            <v>110</v>
          </cell>
          <cell r="O72">
            <v>59</v>
          </cell>
          <cell r="P72" t="str">
            <v>DIANA MARCELA GARCIA SIERRA</v>
          </cell>
          <cell r="Q72" t="str">
            <v>CONTRATO DE PRESTACION DE SERVICIOS PROFESIONALES</v>
          </cell>
          <cell r="R72">
            <v>81</v>
          </cell>
          <cell r="S72" t="str">
            <v>VIGENTE</v>
          </cell>
          <cell r="T72">
            <v>6620000</v>
          </cell>
        </row>
        <row r="73">
          <cell r="N73">
            <v>111</v>
          </cell>
          <cell r="O73">
            <v>89</v>
          </cell>
          <cell r="P73" t="str">
            <v>MELISSA  SOLORZANO TORO</v>
          </cell>
          <cell r="Q73" t="str">
            <v>CONTRATO DE PRESTACION DE SERVICIOS PROFESIONALES</v>
          </cell>
          <cell r="R73">
            <v>84</v>
          </cell>
          <cell r="S73" t="str">
            <v>VIGENTE</v>
          </cell>
          <cell r="T73">
            <v>5960000</v>
          </cell>
        </row>
        <row r="74">
          <cell r="N74">
            <v>115</v>
          </cell>
          <cell r="O74">
            <v>103</v>
          </cell>
          <cell r="P74" t="str">
            <v>CAROLINA DEL PILAR MARTINEZ PEÑA</v>
          </cell>
          <cell r="Q74" t="str">
            <v>CONTRATO DE PRESTACION DE SERVICIOS PROFESIONALES</v>
          </cell>
          <cell r="R74">
            <v>106</v>
          </cell>
          <cell r="S74" t="str">
            <v>VIGENTE</v>
          </cell>
          <cell r="T74">
            <v>8660000</v>
          </cell>
        </row>
        <row r="75">
          <cell r="N75">
            <v>242</v>
          </cell>
          <cell r="O75">
            <v>250</v>
          </cell>
          <cell r="P75" t="str">
            <v>XIMENA PAOLA BERNAL CASTILLO</v>
          </cell>
          <cell r="Q75" t="str">
            <v>CONTRATO DE PRESTACION DE SERVICIOS PROFESIONALES</v>
          </cell>
          <cell r="R75">
            <v>141</v>
          </cell>
          <cell r="S75" t="str">
            <v>VIGENTE</v>
          </cell>
          <cell r="T75">
            <v>8000000</v>
          </cell>
        </row>
        <row r="76">
          <cell r="N76">
            <v>181</v>
          </cell>
          <cell r="O76">
            <v>159</v>
          </cell>
          <cell r="P76" t="str">
            <v>LUIS ALFREDO BARON LEAL</v>
          </cell>
          <cell r="Q76" t="str">
            <v>CONTRATO DE PRESTACION DE SERVICIOS PROFESIONALES</v>
          </cell>
          <cell r="R76">
            <v>143</v>
          </cell>
          <cell r="S76" t="str">
            <v>VIGENTE</v>
          </cell>
          <cell r="T76">
            <v>5960000</v>
          </cell>
        </row>
        <row r="77">
          <cell r="N77">
            <v>165</v>
          </cell>
          <cell r="O77">
            <v>158</v>
          </cell>
          <cell r="P77" t="str">
            <v>HANZ  RIPPE GABRIEL</v>
          </cell>
          <cell r="Q77" t="str">
            <v>CONTRATO DE PRESTACION DE SERVICIOS PROFESIONALES</v>
          </cell>
          <cell r="R77">
            <v>144</v>
          </cell>
          <cell r="S77" t="str">
            <v>VIGENTE</v>
          </cell>
          <cell r="T77">
            <v>6420000</v>
          </cell>
        </row>
        <row r="78">
          <cell r="N78">
            <v>164</v>
          </cell>
          <cell r="O78">
            <v>157</v>
          </cell>
          <cell r="P78" t="str">
            <v>DIEGO ANDRES MUÑOZ CASALLAS</v>
          </cell>
          <cell r="Q78" t="str">
            <v>CONTRATO DE PRESTACION DE SERVICIOS PROFESIONALES</v>
          </cell>
          <cell r="R78">
            <v>146</v>
          </cell>
          <cell r="S78" t="str">
            <v>VIGENTE</v>
          </cell>
          <cell r="T78">
            <v>5960000</v>
          </cell>
        </row>
        <row r="79">
          <cell r="N79">
            <v>167</v>
          </cell>
          <cell r="O79">
            <v>172</v>
          </cell>
          <cell r="P79" t="str">
            <v>MONICA ANDREA SARMIENTO ROA</v>
          </cell>
          <cell r="Q79" t="str">
            <v>CONTRATO DE PRESTACION DE SERVICIOS PROFESIONALES</v>
          </cell>
          <cell r="R79">
            <v>148</v>
          </cell>
          <cell r="S79" t="str">
            <v>VIGENTE</v>
          </cell>
          <cell r="T79">
            <v>4600000</v>
          </cell>
        </row>
        <row r="80">
          <cell r="N80">
            <v>170</v>
          </cell>
          <cell r="O80">
            <v>173</v>
          </cell>
          <cell r="P80" t="str">
            <v>SANDRA ESTER MENDOZA LAFAURIE</v>
          </cell>
          <cell r="Q80" t="str">
            <v>CONTRATO DE PRESTACION DE SERVICIOS PROFESIONALES</v>
          </cell>
          <cell r="R80">
            <v>149</v>
          </cell>
          <cell r="S80" t="str">
            <v>VIGENTE</v>
          </cell>
          <cell r="T80">
            <v>5960000</v>
          </cell>
        </row>
        <row r="81">
          <cell r="N81">
            <v>184</v>
          </cell>
          <cell r="O81">
            <v>171</v>
          </cell>
          <cell r="P81" t="str">
            <v>JUAN FELIPE ESPINOSA DE LOS MONTEROS</v>
          </cell>
          <cell r="Q81" t="str">
            <v>CONTRATO DE PRESTACION DE SERVICIOS PROFESIONALES</v>
          </cell>
          <cell r="R81">
            <v>150</v>
          </cell>
          <cell r="S81" t="str">
            <v>VIGENTE</v>
          </cell>
          <cell r="T81">
            <v>4440000</v>
          </cell>
        </row>
        <row r="82">
          <cell r="N82">
            <v>162</v>
          </cell>
          <cell r="O82">
            <v>170</v>
          </cell>
          <cell r="P82" t="str">
            <v>JOHANNA MARCELA GALINDO URREGO</v>
          </cell>
          <cell r="Q82" t="str">
            <v>CONTRATO DE PRESTACION DE SERVICIOS PROFESIONALES</v>
          </cell>
          <cell r="R82">
            <v>152</v>
          </cell>
          <cell r="S82" t="str">
            <v>VIGENTE</v>
          </cell>
          <cell r="T82">
            <v>5360000</v>
          </cell>
        </row>
        <row r="83">
          <cell r="N83">
            <v>189</v>
          </cell>
          <cell r="O83">
            <v>160</v>
          </cell>
          <cell r="P83" t="str">
            <v>HECTOR CAMILO GOMEZ CAMARGO</v>
          </cell>
          <cell r="Q83" t="str">
            <v>CONTRATO DE PRESTACION DE SERVICIOS DE APOYO A LA GESTION</v>
          </cell>
          <cell r="R83">
            <v>153</v>
          </cell>
          <cell r="S83" t="str">
            <v>VIGENTE</v>
          </cell>
          <cell r="T83">
            <v>2720000</v>
          </cell>
        </row>
        <row r="84">
          <cell r="N84">
            <v>168</v>
          </cell>
          <cell r="O84">
            <v>156</v>
          </cell>
          <cell r="P84" t="str">
            <v>CARLOS  LEMA POSADA</v>
          </cell>
          <cell r="Q84" t="str">
            <v>CONTRATO DE PRESTACION DE SERVICIOS PROFESIONALES</v>
          </cell>
          <cell r="R84">
            <v>154</v>
          </cell>
          <cell r="S84" t="str">
            <v>VIGENTE</v>
          </cell>
          <cell r="T84">
            <v>6080000</v>
          </cell>
        </row>
        <row r="85">
          <cell r="N85">
            <v>173</v>
          </cell>
          <cell r="O85">
            <v>169</v>
          </cell>
          <cell r="P85" t="str">
            <v>ANA MARIA COLLAZOS SOLANO</v>
          </cell>
          <cell r="Q85" t="str">
            <v>CONTRATO DE PRESTACION DE SERVICIOS PROFESIONALES</v>
          </cell>
          <cell r="R85">
            <v>155</v>
          </cell>
          <cell r="S85" t="str">
            <v>VIGENTE</v>
          </cell>
          <cell r="T85">
            <v>4840000</v>
          </cell>
        </row>
        <row r="86">
          <cell r="N86">
            <v>179</v>
          </cell>
          <cell r="O86">
            <v>180</v>
          </cell>
          <cell r="P86" t="str">
            <v>MIGUEL ANTONIO RODRIGUEZ SILVA</v>
          </cell>
          <cell r="Q86" t="str">
            <v>CONTRATO DE PRESTACION DE SERVICIOS DE APOYO A LA GESTION</v>
          </cell>
          <cell r="R86">
            <v>156</v>
          </cell>
          <cell r="S86" t="str">
            <v>VIGENTE</v>
          </cell>
          <cell r="T86">
            <v>2500000</v>
          </cell>
        </row>
        <row r="87">
          <cell r="N87">
            <v>174</v>
          </cell>
          <cell r="O87">
            <v>175</v>
          </cell>
          <cell r="P87" t="str">
            <v>CARLOS ARTURO ROJAS PEREZ</v>
          </cell>
          <cell r="Q87" t="str">
            <v>CONTRATO DE PRESTACION DE SERVICIOS PROFESIONALES</v>
          </cell>
          <cell r="R87">
            <v>157</v>
          </cell>
          <cell r="S87" t="str">
            <v>VIGENTE</v>
          </cell>
          <cell r="T87">
            <v>6080000</v>
          </cell>
        </row>
        <row r="88">
          <cell r="N88">
            <v>163</v>
          </cell>
          <cell r="O88">
            <v>177</v>
          </cell>
          <cell r="P88" t="str">
            <v>GINA CATHERINE LEON CABRERA</v>
          </cell>
          <cell r="Q88" t="str">
            <v>CONTRATO DE PRESTACION DE SERVICIOS PROFESIONALES</v>
          </cell>
          <cell r="R88">
            <v>158</v>
          </cell>
          <cell r="S88" t="str">
            <v>VIGENTE</v>
          </cell>
          <cell r="T88">
            <v>5960000</v>
          </cell>
        </row>
        <row r="89">
          <cell r="N89">
            <v>180</v>
          </cell>
          <cell r="O89">
            <v>178</v>
          </cell>
          <cell r="P89" t="str">
            <v>JUAN SEBASTIAN PINTO MUÑOZ</v>
          </cell>
          <cell r="Q89" t="str">
            <v>CONTRATO DE PRESTACION DE SERVICIOS PROFESIONALES</v>
          </cell>
          <cell r="R89">
            <v>160</v>
          </cell>
          <cell r="S89" t="str">
            <v>VIGENTE</v>
          </cell>
          <cell r="T89">
            <v>4300000</v>
          </cell>
        </row>
        <row r="90">
          <cell r="N90">
            <v>227</v>
          </cell>
          <cell r="O90">
            <v>224</v>
          </cell>
          <cell r="P90" t="str">
            <v>GLORIA ISABEL CARRILLO BUITRAGO</v>
          </cell>
          <cell r="Q90" t="str">
            <v>CONTRATO DE PRESTACION DE SERVICIOS DE APOYO A LA GESTION</v>
          </cell>
          <cell r="R90">
            <v>166</v>
          </cell>
          <cell r="S90" t="str">
            <v>VIGENTE</v>
          </cell>
          <cell r="T90">
            <v>3480000</v>
          </cell>
        </row>
        <row r="91">
          <cell r="N91">
            <v>176</v>
          </cell>
          <cell r="O91">
            <v>190</v>
          </cell>
          <cell r="P91" t="str">
            <v>LAURA  MEJIA TORRES</v>
          </cell>
          <cell r="Q91" t="str">
            <v>CONTRATO DE PRESTACION DE SERVICIOS PROFESIONALES</v>
          </cell>
          <cell r="R91">
            <v>168</v>
          </cell>
          <cell r="S91" t="str">
            <v>VIGENTE</v>
          </cell>
          <cell r="T91">
            <v>4500000</v>
          </cell>
        </row>
        <row r="92">
          <cell r="N92">
            <v>192</v>
          </cell>
          <cell r="O92">
            <v>191</v>
          </cell>
          <cell r="P92" t="str">
            <v>CONSTANZA  MEDINA DIAZ</v>
          </cell>
          <cell r="Q92" t="str">
            <v>CONTRATO DE PRESTACION DE SERVICIOS PROFESIONALES</v>
          </cell>
          <cell r="R92">
            <v>170</v>
          </cell>
          <cell r="S92" t="str">
            <v>VIGENTE</v>
          </cell>
          <cell r="T92">
            <v>5000000</v>
          </cell>
        </row>
        <row r="93">
          <cell r="N93">
            <v>229</v>
          </cell>
          <cell r="O93">
            <v>179</v>
          </cell>
          <cell r="P93" t="str">
            <v>WALTER MAURICIO MARTINEZ ROSAS</v>
          </cell>
          <cell r="Q93" t="str">
            <v>CONTRATO DE PRESTACION DE SERVICIOS PROFESIONALES</v>
          </cell>
          <cell r="R93">
            <v>174</v>
          </cell>
          <cell r="S93" t="str">
            <v>VIGENTE</v>
          </cell>
          <cell r="T93">
            <v>5360000</v>
          </cell>
        </row>
        <row r="94">
          <cell r="N94">
            <v>232</v>
          </cell>
          <cell r="O94">
            <v>176</v>
          </cell>
          <cell r="P94" t="str">
            <v>Diana Marcela Gomez Bernal</v>
          </cell>
          <cell r="Q94" t="str">
            <v>CONTRATO DE PRESTACION DE SERVICIOS DE APOYO A LA GESTION</v>
          </cell>
          <cell r="R94">
            <v>176</v>
          </cell>
          <cell r="S94" t="str">
            <v>VIGENTE</v>
          </cell>
          <cell r="T94">
            <v>2580000</v>
          </cell>
        </row>
        <row r="95">
          <cell r="N95">
            <v>228</v>
          </cell>
          <cell r="O95">
            <v>228</v>
          </cell>
          <cell r="P95" t="str">
            <v>MARIA CLARA MENDEZ ALVAREZ</v>
          </cell>
          <cell r="Q95" t="str">
            <v>CONTRATO DE PRESTACION DE SERVICIOS PROFESIONALES</v>
          </cell>
          <cell r="R95">
            <v>177</v>
          </cell>
          <cell r="S95" t="str">
            <v>VIGENTE</v>
          </cell>
          <cell r="T95">
            <v>4020000</v>
          </cell>
        </row>
        <row r="96">
          <cell r="N96">
            <v>230</v>
          </cell>
          <cell r="O96">
            <v>231</v>
          </cell>
          <cell r="P96" t="str">
            <v>WILSON  PACHECO GUTIERREZ</v>
          </cell>
          <cell r="Q96" t="str">
            <v>CONTRATO DE PRESTACION DE SERVICIOS DE APOYO A LA GESTION</v>
          </cell>
          <cell r="R96">
            <v>178</v>
          </cell>
          <cell r="S96" t="str">
            <v>VIGENTE</v>
          </cell>
          <cell r="T96">
            <v>1500000</v>
          </cell>
        </row>
        <row r="97">
          <cell r="N97">
            <v>231</v>
          </cell>
          <cell r="O97">
            <v>229</v>
          </cell>
          <cell r="P97" t="str">
            <v>JOSE LEONARDO CRISTANCHO CASTAÑO</v>
          </cell>
          <cell r="Q97" t="str">
            <v>CONTRATO DE PRESTACION DE SERVICIOS PROFESIONALES</v>
          </cell>
          <cell r="R97">
            <v>179</v>
          </cell>
          <cell r="S97" t="str">
            <v>VIGENTE</v>
          </cell>
          <cell r="T97">
            <v>4020000</v>
          </cell>
        </row>
        <row r="98">
          <cell r="N98">
            <v>226</v>
          </cell>
          <cell r="O98">
            <v>232</v>
          </cell>
          <cell r="P98" t="str">
            <v>SONIA ESPERANZA CUARTAS BECERRA</v>
          </cell>
          <cell r="Q98" t="str">
            <v>CONTRATO DE PRESTACION DE SERVICIOS DE APOYO A LA GESTION</v>
          </cell>
          <cell r="R98">
            <v>180</v>
          </cell>
          <cell r="S98" t="str">
            <v>VIGENTE</v>
          </cell>
          <cell r="T98">
            <v>1500000</v>
          </cell>
        </row>
        <row r="99">
          <cell r="N99">
            <v>202</v>
          </cell>
          <cell r="O99">
            <v>227</v>
          </cell>
          <cell r="P99" t="str">
            <v>DIEGO LUIS ROBAYO DE ANGULO</v>
          </cell>
          <cell r="Q99" t="str">
            <v>CONTRATO DE PRESTACION DE SERVICIOS PROFESIONALES</v>
          </cell>
          <cell r="R99">
            <v>181</v>
          </cell>
          <cell r="S99" t="str">
            <v>VIGENTE</v>
          </cell>
          <cell r="T99">
            <v>8000000</v>
          </cell>
        </row>
        <row r="100">
          <cell r="N100">
            <v>218</v>
          </cell>
          <cell r="O100">
            <v>230</v>
          </cell>
          <cell r="P100" t="str">
            <v>BONILLA RODRIGUEZ NATHALY ANDREA</v>
          </cell>
          <cell r="Q100" t="str">
            <v>CONTRATO DE PRESTACION DE SERVICIOS PROFESIONALES</v>
          </cell>
          <cell r="R100">
            <v>183</v>
          </cell>
          <cell r="S100" t="str">
            <v>VIGENTE</v>
          </cell>
          <cell r="T100">
            <v>4900000</v>
          </cell>
        </row>
        <row r="101">
          <cell r="N101">
            <v>225</v>
          </cell>
          <cell r="O101">
            <v>193</v>
          </cell>
          <cell r="P101" t="str">
            <v>gustavo alfredo bueno rojas</v>
          </cell>
          <cell r="Q101" t="str">
            <v>CONTRATO DE PRESTACION DE SERVICIOS PROFESIONALES</v>
          </cell>
          <cell r="R101">
            <v>184</v>
          </cell>
          <cell r="S101" t="str">
            <v>VIGENTE</v>
          </cell>
          <cell r="T101">
            <v>5000000</v>
          </cell>
        </row>
        <row r="102">
          <cell r="N102">
            <v>246</v>
          </cell>
          <cell r="O102">
            <v>192</v>
          </cell>
          <cell r="P102" t="str">
            <v>NUBIA NAYIBE VELASCO CALVO</v>
          </cell>
          <cell r="Q102" t="str">
            <v>CONTRATO DE PRESTACION DE SERVICIOS PROFESIONALES</v>
          </cell>
          <cell r="R102">
            <v>185</v>
          </cell>
          <cell r="S102" t="str">
            <v>VIGENTE</v>
          </cell>
          <cell r="T102">
            <v>6000000</v>
          </cell>
        </row>
        <row r="103">
          <cell r="N103">
            <v>190</v>
          </cell>
          <cell r="O103">
            <v>223</v>
          </cell>
          <cell r="P103" t="str">
            <v>edgar andres gutierrez sanchez</v>
          </cell>
          <cell r="Q103" t="str">
            <v>CONTRATO DE PRESTACION DE SERVICIOS PROFESIONALES</v>
          </cell>
          <cell r="R103">
            <v>187</v>
          </cell>
          <cell r="S103" t="str">
            <v>VIGENTE</v>
          </cell>
          <cell r="T103">
            <v>3780000</v>
          </cell>
        </row>
        <row r="104">
          <cell r="N104">
            <v>191</v>
          </cell>
          <cell r="O104">
            <v>221</v>
          </cell>
          <cell r="P104" t="str">
            <v>MARIA ALEJANDRA TORO VESGA</v>
          </cell>
          <cell r="Q104" t="str">
            <v>CONTRATO DE PRESTACION DE SERVICIOS PROFESIONALES</v>
          </cell>
          <cell r="R104">
            <v>188</v>
          </cell>
          <cell r="S104" t="str">
            <v>VIGENTE</v>
          </cell>
          <cell r="T104">
            <v>5580000</v>
          </cell>
        </row>
        <row r="105">
          <cell r="N105">
            <v>223</v>
          </cell>
          <cell r="O105">
            <v>225</v>
          </cell>
          <cell r="P105" t="str">
            <v>LEONARDO  OCHICA SALAMANCA</v>
          </cell>
          <cell r="Q105" t="str">
            <v>CONTRATO DE PRESTACION DE SERVICIOS PROFESIONALES</v>
          </cell>
          <cell r="R105">
            <v>195</v>
          </cell>
          <cell r="S105" t="str">
            <v>VIGENTE</v>
          </cell>
          <cell r="T105">
            <v>5960000</v>
          </cell>
        </row>
        <row r="106">
          <cell r="N106">
            <v>239</v>
          </cell>
          <cell r="O106">
            <v>249</v>
          </cell>
          <cell r="P106" t="str">
            <v>MARIA ANTONIETA GARCIA RESTREPO</v>
          </cell>
          <cell r="Q106" t="str">
            <v>CONTRATO DE PRESTACION DE SERVICIOS PROFESIONALES</v>
          </cell>
          <cell r="R106">
            <v>214</v>
          </cell>
          <cell r="S106" t="str">
            <v>VIGENTE</v>
          </cell>
          <cell r="T106">
            <v>5460000</v>
          </cell>
        </row>
        <row r="107">
          <cell r="N107">
            <v>243</v>
          </cell>
          <cell r="O107">
            <v>248</v>
          </cell>
          <cell r="P107" t="str">
            <v>MARCELA  TRISTANCHO MANTILLA</v>
          </cell>
          <cell r="Q107" t="str">
            <v>CONTRATO DE PRESTACION DE SERVICIOS PROFESIONALES</v>
          </cell>
          <cell r="R107">
            <v>217</v>
          </cell>
          <cell r="S107" t="str">
            <v>VIGENTE</v>
          </cell>
          <cell r="T107">
            <v>6620000</v>
          </cell>
        </row>
        <row r="108">
          <cell r="N108">
            <v>251</v>
          </cell>
          <cell r="O108">
            <v>243</v>
          </cell>
          <cell r="P108" t="str">
            <v>IRENE CAROLINA CORREDOR ROJAS</v>
          </cell>
          <cell r="Q108" t="str">
            <v>CONTRATO DE PRESTACION DE SERVICIOS PROFESIONALES</v>
          </cell>
          <cell r="R108">
            <v>228</v>
          </cell>
          <cell r="S108" t="str">
            <v>VIGENTE</v>
          </cell>
          <cell r="T108">
            <v>6620000</v>
          </cell>
        </row>
        <row r="109">
          <cell r="N109">
            <v>270</v>
          </cell>
          <cell r="O109">
            <v>244</v>
          </cell>
          <cell r="P109" t="str">
            <v xml:space="preserve">MONICA ANGEL LASCAR </v>
          </cell>
          <cell r="Q109" t="str">
            <v>CONTRATO DE PRESTACION DE SERVICIOS PROFESIONALES</v>
          </cell>
          <cell r="R109">
            <v>229</v>
          </cell>
          <cell r="S109" t="str">
            <v>VIGENTE</v>
          </cell>
          <cell r="T109">
            <v>3820000</v>
          </cell>
        </row>
        <row r="110">
          <cell r="N110">
            <v>277</v>
          </cell>
          <cell r="O110">
            <v>247</v>
          </cell>
          <cell r="P110" t="str">
            <v xml:space="preserve">CLEMENT GUILLAUME ROUX </v>
          </cell>
          <cell r="Q110" t="str">
            <v>CONTRATO DE PRESTACION DE SERVICIOS PROFESIONALES</v>
          </cell>
          <cell r="R110">
            <v>237</v>
          </cell>
          <cell r="S110" t="str">
            <v>VIGENTE</v>
          </cell>
          <cell r="T110">
            <v>5580000</v>
          </cell>
        </row>
        <row r="111">
          <cell r="N111">
            <v>268</v>
          </cell>
          <cell r="O111">
            <v>263</v>
          </cell>
          <cell r="P111" t="str">
            <v>JORGE ELKIN BUITRAGO ARENAS</v>
          </cell>
          <cell r="Q111" t="str">
            <v>CONTRATO DE PRESTACION DE SERVICIOS PROFESIONALES</v>
          </cell>
          <cell r="R111">
            <v>238</v>
          </cell>
          <cell r="S111" t="str">
            <v>VIGENTE</v>
          </cell>
          <cell r="T111">
            <v>6270000</v>
          </cell>
        </row>
        <row r="112">
          <cell r="N112">
            <v>265</v>
          </cell>
          <cell r="O112">
            <v>264</v>
          </cell>
          <cell r="P112" t="str">
            <v>DIANA PAOLA GAITAN MARTINEZ</v>
          </cell>
          <cell r="Q112" t="str">
            <v>CONTRATO DE PRESTACION DE SERVICIOS PROFESIONALES</v>
          </cell>
          <cell r="R112">
            <v>239</v>
          </cell>
          <cell r="S112" t="str">
            <v>VIGENTE</v>
          </cell>
          <cell r="T112">
            <v>6825000</v>
          </cell>
        </row>
        <row r="113">
          <cell r="N113">
            <v>271</v>
          </cell>
          <cell r="O113">
            <v>262</v>
          </cell>
          <cell r="P113" t="str">
            <v>DIANA CAROLINA RUA RANGEL</v>
          </cell>
          <cell r="Q113" t="str">
            <v>CONTRATO DE PRESTACION DE SERVICIOS PROFESIONALES</v>
          </cell>
          <cell r="R113">
            <v>240</v>
          </cell>
          <cell r="S113" t="str">
            <v>VIGENTE</v>
          </cell>
          <cell r="T113">
            <v>6270000</v>
          </cell>
        </row>
        <row r="114">
          <cell r="N114">
            <v>269</v>
          </cell>
          <cell r="O114">
            <v>259</v>
          </cell>
          <cell r="P114" t="str">
            <v>EDGARD FRANCISCO GUERRERO GIRALDO</v>
          </cell>
          <cell r="Q114" t="str">
            <v>CONTRATO DE PRESTACION DE SERVICIOS PROFESIONALES</v>
          </cell>
          <cell r="R114">
            <v>243</v>
          </cell>
          <cell r="S114" t="str">
            <v>VIGENTE</v>
          </cell>
          <cell r="T114">
            <v>4600000</v>
          </cell>
        </row>
        <row r="115">
          <cell r="N115">
            <v>282</v>
          </cell>
          <cell r="O115">
            <v>222</v>
          </cell>
          <cell r="P115" t="str">
            <v>FABIAN ELIECER CERVERA LINARES</v>
          </cell>
          <cell r="Q115" t="str">
            <v>CONTRATO DE PRESTACION DE SERVICIOS PROFESIONALES</v>
          </cell>
          <cell r="R115">
            <v>244</v>
          </cell>
          <cell r="S115" t="str">
            <v>VIGENTE</v>
          </cell>
          <cell r="T115">
            <v>4000000</v>
          </cell>
        </row>
        <row r="116">
          <cell r="N116">
            <v>274</v>
          </cell>
          <cell r="O116">
            <v>283</v>
          </cell>
          <cell r="P116" t="str">
            <v>ANGIE MILENA MORALES MAURY</v>
          </cell>
          <cell r="Q116" t="str">
            <v>CONTRATO DE PRESTACION DE SERVICIOS PROFESIONALES</v>
          </cell>
          <cell r="R116">
            <v>245</v>
          </cell>
          <cell r="S116" t="str">
            <v>VIGENTE</v>
          </cell>
          <cell r="T116">
            <v>4200000</v>
          </cell>
        </row>
        <row r="117">
          <cell r="N117">
            <v>285</v>
          </cell>
          <cell r="O117">
            <v>285</v>
          </cell>
          <cell r="P117" t="str">
            <v>ANGEL ENRIQUE MARTINEZ RUIZ</v>
          </cell>
          <cell r="Q117" t="str">
            <v>CONTRATO DE PRESTACION DE SERVICIOS PROFESIONALES</v>
          </cell>
          <cell r="R117">
            <v>247</v>
          </cell>
          <cell r="S117" t="str">
            <v>VIGENTE</v>
          </cell>
          <cell r="T117">
            <v>6500000</v>
          </cell>
        </row>
        <row r="118">
          <cell r="N118">
            <v>329</v>
          </cell>
          <cell r="O118">
            <v>287</v>
          </cell>
          <cell r="P118" t="str">
            <v>ERNESTO  MOURE ERAZO</v>
          </cell>
          <cell r="Q118" t="str">
            <v>CONTRATO DE PRESTACION DE SERVICIOS PROFESIONALES</v>
          </cell>
          <cell r="R118">
            <v>251</v>
          </cell>
          <cell r="S118" t="str">
            <v>VIGENTE</v>
          </cell>
          <cell r="T118">
            <v>3996000</v>
          </cell>
        </row>
        <row r="119">
          <cell r="N119">
            <v>283</v>
          </cell>
          <cell r="O119">
            <v>288</v>
          </cell>
          <cell r="P119" t="str">
            <v>MARIA FARIDE PARDO SHAKER</v>
          </cell>
          <cell r="Q119" t="str">
            <v>CONTRATO DE PRESTACION DE SERVICIOS PROFESIONALES</v>
          </cell>
          <cell r="R119">
            <v>252</v>
          </cell>
          <cell r="S119" t="str">
            <v>VIGENTE</v>
          </cell>
          <cell r="T119">
            <v>3900000</v>
          </cell>
        </row>
        <row r="120">
          <cell r="N120">
            <v>295</v>
          </cell>
          <cell r="O120">
            <v>266</v>
          </cell>
          <cell r="P120" t="str">
            <v>GIOVANY ANDRE ALFONSO FORERO</v>
          </cell>
          <cell r="Q120" t="str">
            <v>CONTRATO DE PRESTACION DE SERVICIOS DE APOYO A LA GESTION</v>
          </cell>
          <cell r="R120">
            <v>253</v>
          </cell>
          <cell r="S120" t="str">
            <v>VIGENTE</v>
          </cell>
          <cell r="T120">
            <v>1000000</v>
          </cell>
        </row>
        <row r="121">
          <cell r="N121">
            <v>312</v>
          </cell>
          <cell r="O121">
            <v>296</v>
          </cell>
          <cell r="P121" t="str">
            <v>OSCAR DANIEL CLAVIJO TAVERA</v>
          </cell>
          <cell r="Q121" t="str">
            <v>CONTRATO DE PRESTACION DE SERVICIOS PROFESIONALES</v>
          </cell>
          <cell r="R121">
            <v>261</v>
          </cell>
          <cell r="S121" t="str">
            <v>VIGENTE</v>
          </cell>
          <cell r="T121">
            <v>5500000</v>
          </cell>
        </row>
        <row r="122">
          <cell r="N122">
            <v>340</v>
          </cell>
          <cell r="O122">
            <v>301</v>
          </cell>
          <cell r="P122" t="str">
            <v>RAFAEL ERNESTO MENDEZ CARDENAS</v>
          </cell>
          <cell r="Q122" t="str">
            <v>CONTRATO DE PRESTACION DE SERVICIOS PROFESIONALES</v>
          </cell>
          <cell r="R122">
            <v>262</v>
          </cell>
          <cell r="S122" t="str">
            <v>VIGENTE</v>
          </cell>
          <cell r="T122">
            <v>3000000</v>
          </cell>
        </row>
        <row r="123">
          <cell r="N123">
            <v>324</v>
          </cell>
          <cell r="O123">
            <v>299</v>
          </cell>
          <cell r="P123" t="str">
            <v>SHERIL NATALIA SALAZAR BAYONA</v>
          </cell>
          <cell r="Q123" t="str">
            <v>CONTRATO DE PRESTACION DE SERVICIOS PROFESIONALES</v>
          </cell>
          <cell r="R123">
            <v>263</v>
          </cell>
          <cell r="S123" t="str">
            <v>VIGENTE</v>
          </cell>
          <cell r="T123">
            <v>4333333</v>
          </cell>
        </row>
        <row r="124">
          <cell r="N124">
            <v>302</v>
          </cell>
          <cell r="O124">
            <v>300</v>
          </cell>
          <cell r="P124" t="str">
            <v>PAULA JIMENA MATIZ LOPEZ</v>
          </cell>
          <cell r="Q124" t="str">
            <v>CONTRATO DE PRESTACION DE SERVICIOS PROFESIONALES</v>
          </cell>
          <cell r="R124">
            <v>268</v>
          </cell>
          <cell r="S124" t="str">
            <v>VIGENTE</v>
          </cell>
          <cell r="T124">
            <v>7000000</v>
          </cell>
        </row>
        <row r="125">
          <cell r="N125">
            <v>382</v>
          </cell>
          <cell r="O125">
            <v>362</v>
          </cell>
          <cell r="P125" t="str">
            <v>VALERIA  FLOREZ GONZALEZ</v>
          </cell>
          <cell r="Q125" t="str">
            <v>CONTRATO DE PRESTACION DE SERVICIOS PROFESIONALES</v>
          </cell>
          <cell r="R125">
            <v>291</v>
          </cell>
          <cell r="S125" t="str">
            <v>VIGENTE</v>
          </cell>
          <cell r="T125">
            <v>1540000</v>
          </cell>
        </row>
        <row r="126">
          <cell r="N126">
            <v>400</v>
          </cell>
          <cell r="O126">
            <v>352</v>
          </cell>
          <cell r="P126" t="str">
            <v xml:space="preserve">PANAMERICANA LIBRERIA Y PAPELERIA S A   </v>
          </cell>
          <cell r="Q126" t="str">
            <v>CONTRATO DE SUMINISTRO</v>
          </cell>
          <cell r="R126">
            <v>297</v>
          </cell>
          <cell r="S126" t="str">
            <v>VIGENTE</v>
          </cell>
          <cell r="T126">
            <v>2041290</v>
          </cell>
        </row>
        <row r="127">
          <cell r="N127">
            <v>381</v>
          </cell>
          <cell r="O127">
            <v>352</v>
          </cell>
          <cell r="P127" t="str">
            <v xml:space="preserve">COLOMBIANA DE COMERCIO SA   </v>
          </cell>
          <cell r="Q127" t="str">
            <v>CONTRATO DE SUMINISTRO</v>
          </cell>
          <cell r="R127">
            <v>298</v>
          </cell>
          <cell r="S127" t="str">
            <v>VIGENTE</v>
          </cell>
          <cell r="T127">
            <v>16051450</v>
          </cell>
        </row>
        <row r="128">
          <cell r="N128">
            <v>406</v>
          </cell>
          <cell r="O128">
            <v>398</v>
          </cell>
          <cell r="P128" t="str">
            <v xml:space="preserve">FOTOMUSEO MUSEO NACIONAL DE LA FOTOGRAFIA DE COLOMBIA   </v>
          </cell>
          <cell r="Q128" t="str">
            <v>CONTRATO DE APOYO</v>
          </cell>
          <cell r="R128">
            <v>311</v>
          </cell>
          <cell r="S128" t="str">
            <v>VIGENTE</v>
          </cell>
          <cell r="T128">
            <v>25000000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TERCEROSREPETIDOS"/>
    </sheetNames>
    <sheetDataSet>
      <sheetData sheetId="0"/>
      <sheetData sheetId="1">
        <row r="48">
          <cell r="J48">
            <v>35</v>
          </cell>
          <cell r="K48">
            <v>43483</v>
          </cell>
          <cell r="L48" t="str">
            <v>CC</v>
          </cell>
          <cell r="M48">
            <v>19752295</v>
          </cell>
          <cell r="N48" t="str">
            <v>JUAN JOSE ALVEAR MEJIA</v>
          </cell>
        </row>
        <row r="49">
          <cell r="J49">
            <v>45</v>
          </cell>
          <cell r="K49">
            <v>43483</v>
          </cell>
          <cell r="L49" t="str">
            <v>CC</v>
          </cell>
          <cell r="M49">
            <v>1031141398</v>
          </cell>
          <cell r="N49" t="str">
            <v>johan camilo prieto carreño</v>
          </cell>
        </row>
        <row r="50">
          <cell r="J50">
            <v>141</v>
          </cell>
          <cell r="K50">
            <v>43488</v>
          </cell>
          <cell r="L50" t="str">
            <v>CC</v>
          </cell>
          <cell r="M50">
            <v>1015434867</v>
          </cell>
          <cell r="N50" t="str">
            <v>yenifer andrea lagos bueno</v>
          </cell>
        </row>
        <row r="51">
          <cell r="J51">
            <v>136</v>
          </cell>
          <cell r="K51">
            <v>43488</v>
          </cell>
          <cell r="L51" t="str">
            <v>CC</v>
          </cell>
          <cell r="M51">
            <v>1019033224</v>
          </cell>
          <cell r="N51" t="str">
            <v>CAMILO ANDRES BECERRA SANCHEZ</v>
          </cell>
        </row>
        <row r="52">
          <cell r="J52">
            <v>77</v>
          </cell>
          <cell r="K52">
            <v>43486</v>
          </cell>
          <cell r="L52" t="str">
            <v>CC</v>
          </cell>
          <cell r="M52">
            <v>11185322</v>
          </cell>
          <cell r="N52" t="str">
            <v>JAVIER FERNANDO MATEUS TOVAR</v>
          </cell>
        </row>
        <row r="53">
          <cell r="J53">
            <v>66</v>
          </cell>
          <cell r="K53">
            <v>43486</v>
          </cell>
          <cell r="L53" t="str">
            <v>CC</v>
          </cell>
          <cell r="M53">
            <v>1129576493</v>
          </cell>
          <cell r="N53" t="str">
            <v>EFRAIN JOSE CANEDO CASTRO</v>
          </cell>
        </row>
        <row r="54">
          <cell r="J54">
            <v>39</v>
          </cell>
          <cell r="K54">
            <v>43483</v>
          </cell>
          <cell r="L54" t="str">
            <v>CC</v>
          </cell>
          <cell r="M54">
            <v>1049626807</v>
          </cell>
          <cell r="N54" t="str">
            <v>LAURA ANGELICA MORENO LEMUS</v>
          </cell>
        </row>
        <row r="55">
          <cell r="J55">
            <v>139</v>
          </cell>
          <cell r="K55">
            <v>43488</v>
          </cell>
          <cell r="L55" t="str">
            <v>CC</v>
          </cell>
          <cell r="M55">
            <v>1053818624</v>
          </cell>
          <cell r="N55" t="str">
            <v>ANDREA YIZETH CESPEDES VILLAR</v>
          </cell>
        </row>
        <row r="56">
          <cell r="J56">
            <v>100</v>
          </cell>
          <cell r="K56">
            <v>43486</v>
          </cell>
          <cell r="L56" t="str">
            <v>CC</v>
          </cell>
          <cell r="M56">
            <v>80927382</v>
          </cell>
          <cell r="N56" t="str">
            <v>CARLOS ERNESTO LINCE RODRIGUEZ</v>
          </cell>
        </row>
        <row r="57">
          <cell r="J57">
            <v>0</v>
          </cell>
          <cell r="K57">
            <v>43487</v>
          </cell>
          <cell r="L57" t="str">
            <v>CC</v>
          </cell>
          <cell r="M57">
            <v>1010203131</v>
          </cell>
          <cell r="N57" t="str">
            <v>Jorge Eliecer Rodriguez Casallas</v>
          </cell>
        </row>
        <row r="58">
          <cell r="J58">
            <v>135</v>
          </cell>
          <cell r="K58">
            <v>43488</v>
          </cell>
          <cell r="L58" t="str">
            <v>CC</v>
          </cell>
          <cell r="M58">
            <v>1010203131</v>
          </cell>
          <cell r="N58" t="str">
            <v>Jorge Eliecer Rodriguez Casallas</v>
          </cell>
        </row>
        <row r="59">
          <cell r="J59">
            <v>67</v>
          </cell>
          <cell r="K59">
            <v>43486</v>
          </cell>
          <cell r="L59" t="str">
            <v>CC</v>
          </cell>
          <cell r="M59">
            <v>1014238520</v>
          </cell>
          <cell r="N59" t="str">
            <v>NATALIA  ACHIARDI ORTIZ</v>
          </cell>
        </row>
        <row r="60">
          <cell r="J60">
            <v>138</v>
          </cell>
          <cell r="K60">
            <v>43488</v>
          </cell>
          <cell r="L60" t="str">
            <v>CC</v>
          </cell>
          <cell r="M60">
            <v>53051195</v>
          </cell>
          <cell r="N60" t="str">
            <v>MONICA  COY DE MARQUEZ</v>
          </cell>
        </row>
        <row r="61">
          <cell r="J61">
            <v>99</v>
          </cell>
          <cell r="K61">
            <v>43486</v>
          </cell>
          <cell r="L61" t="str">
            <v>CC</v>
          </cell>
          <cell r="M61">
            <v>1015401538</v>
          </cell>
          <cell r="N61" t="str">
            <v>ANA MARIA FLOREZ FLOREZ</v>
          </cell>
        </row>
        <row r="62">
          <cell r="J62">
            <v>142</v>
          </cell>
          <cell r="K62">
            <v>43488</v>
          </cell>
          <cell r="L62" t="str">
            <v>CC</v>
          </cell>
          <cell r="M62">
            <v>1022330414</v>
          </cell>
          <cell r="N62" t="str">
            <v>SERGIO IVAN ROJAS BERRIO</v>
          </cell>
        </row>
        <row r="63">
          <cell r="J63">
            <v>47</v>
          </cell>
          <cell r="K63">
            <v>43483</v>
          </cell>
          <cell r="L63" t="str">
            <v>CC</v>
          </cell>
          <cell r="M63">
            <v>80014723</v>
          </cell>
          <cell r="N63" t="str">
            <v>MAURICIO  CORTES GARZON</v>
          </cell>
        </row>
        <row r="64">
          <cell r="J64">
            <v>43</v>
          </cell>
          <cell r="K64">
            <v>43483</v>
          </cell>
          <cell r="L64" t="str">
            <v>CC</v>
          </cell>
          <cell r="M64">
            <v>1022381674</v>
          </cell>
          <cell r="N64" t="str">
            <v>SHARON NATHALY BALLESTEROS SUAREZ</v>
          </cell>
        </row>
        <row r="65">
          <cell r="J65">
            <v>137</v>
          </cell>
          <cell r="K65">
            <v>43488</v>
          </cell>
          <cell r="L65" t="str">
            <v>CC</v>
          </cell>
          <cell r="M65">
            <v>52390572</v>
          </cell>
          <cell r="N65" t="str">
            <v>PAOLA ALEJANDRA BUITRAGO CORTES</v>
          </cell>
        </row>
        <row r="66">
          <cell r="J66">
            <v>148</v>
          </cell>
          <cell r="K66">
            <v>43489</v>
          </cell>
          <cell r="L66" t="str">
            <v>CC</v>
          </cell>
          <cell r="M66">
            <v>1018423829</v>
          </cell>
          <cell r="N66" t="str">
            <v>PAOLA ANDREA LUNA CORTES</v>
          </cell>
        </row>
        <row r="67">
          <cell r="J67">
            <v>187</v>
          </cell>
          <cell r="K67">
            <v>43495</v>
          </cell>
          <cell r="L67" t="str">
            <v>CC</v>
          </cell>
          <cell r="M67">
            <v>1072649583</v>
          </cell>
          <cell r="N67" t="str">
            <v>LINA MARCELA MORENO ROA</v>
          </cell>
        </row>
        <row r="68">
          <cell r="J68">
            <v>188</v>
          </cell>
          <cell r="K68">
            <v>43495</v>
          </cell>
          <cell r="L68" t="str">
            <v>CC</v>
          </cell>
          <cell r="M68">
            <v>80859872</v>
          </cell>
          <cell r="N68" t="str">
            <v>JOHAN ALBERTO GARZON CASTAÑEDA</v>
          </cell>
        </row>
        <row r="69">
          <cell r="J69">
            <v>193</v>
          </cell>
          <cell r="K69">
            <v>43496</v>
          </cell>
          <cell r="L69" t="str">
            <v>CC</v>
          </cell>
          <cell r="M69">
            <v>80504076</v>
          </cell>
          <cell r="N69" t="str">
            <v>DIEGO LUIS ROBAYO DE ANGULO</v>
          </cell>
        </row>
        <row r="70">
          <cell r="J70">
            <v>44</v>
          </cell>
          <cell r="K70">
            <v>43483</v>
          </cell>
          <cell r="L70" t="str">
            <v>CC</v>
          </cell>
          <cell r="M70">
            <v>1057574035</v>
          </cell>
          <cell r="N70" t="str">
            <v>JUAN PABLO SANCHEZ CHAVES</v>
          </cell>
        </row>
        <row r="71">
          <cell r="J71">
            <v>140</v>
          </cell>
          <cell r="K71">
            <v>43488</v>
          </cell>
          <cell r="L71" t="str">
            <v>CC</v>
          </cell>
          <cell r="M71">
            <v>1012360177</v>
          </cell>
          <cell r="N71" t="str">
            <v>JUAN CARLOS SARMIENTO NOVOA</v>
          </cell>
        </row>
        <row r="72">
          <cell r="J72">
            <v>150</v>
          </cell>
          <cell r="K72">
            <v>43489</v>
          </cell>
          <cell r="L72" t="str">
            <v>CC</v>
          </cell>
          <cell r="M72">
            <v>1097391309</v>
          </cell>
          <cell r="N72" t="str">
            <v>ANA GABRIELA PINILLA GONZALEZ</v>
          </cell>
        </row>
        <row r="73">
          <cell r="J73">
            <v>194</v>
          </cell>
          <cell r="K73">
            <v>43496</v>
          </cell>
          <cell r="L73" t="str">
            <v>CC</v>
          </cell>
          <cell r="M73">
            <v>1010203131</v>
          </cell>
          <cell r="N73" t="str">
            <v>Jorge Eliecer Rodriguez Casallas</v>
          </cell>
        </row>
        <row r="74">
          <cell r="J74">
            <v>52</v>
          </cell>
          <cell r="K74">
            <v>43483</v>
          </cell>
          <cell r="L74" t="str">
            <v>CC</v>
          </cell>
          <cell r="M74">
            <v>1130615434</v>
          </cell>
          <cell r="N74" t="str">
            <v>DIEGO IVAN MENESES FIGUEROA</v>
          </cell>
        </row>
        <row r="75">
          <cell r="J75">
            <v>46</v>
          </cell>
          <cell r="K75">
            <v>43483</v>
          </cell>
          <cell r="L75" t="str">
            <v>CC</v>
          </cell>
          <cell r="M75">
            <v>41644787</v>
          </cell>
          <cell r="N75" t="str">
            <v>LEONOR ISBELIA GOMEZ HERNANDEZ</v>
          </cell>
        </row>
        <row r="141">
          <cell r="J141">
            <v>37</v>
          </cell>
          <cell r="K141">
            <v>43483</v>
          </cell>
          <cell r="L141" t="str">
            <v>CC</v>
          </cell>
          <cell r="M141">
            <v>9725241</v>
          </cell>
          <cell r="N141" t="str">
            <v>JUAN PABLO HENAO VALLEJO</v>
          </cell>
        </row>
        <row r="142">
          <cell r="J142">
            <v>202</v>
          </cell>
          <cell r="K142">
            <v>43496</v>
          </cell>
          <cell r="L142" t="str">
            <v>CC</v>
          </cell>
          <cell r="M142">
            <v>80504076</v>
          </cell>
          <cell r="N142" t="str">
            <v>DIEGO LUIS ROBAYO DE ANGULO</v>
          </cell>
        </row>
        <row r="143">
          <cell r="J143">
            <v>38</v>
          </cell>
          <cell r="K143">
            <v>43483</v>
          </cell>
          <cell r="L143" t="str">
            <v>CC</v>
          </cell>
          <cell r="M143">
            <v>51916256</v>
          </cell>
          <cell r="N143" t="str">
            <v>YOLANDA  LOPEZ CORREAL</v>
          </cell>
        </row>
        <row r="144">
          <cell r="J144">
            <v>110</v>
          </cell>
          <cell r="K144">
            <v>43487</v>
          </cell>
          <cell r="L144" t="str">
            <v>CC</v>
          </cell>
          <cell r="M144">
            <v>52928509</v>
          </cell>
          <cell r="N144" t="str">
            <v>DIANA MARCELA GARCIA SIERRA</v>
          </cell>
        </row>
        <row r="145">
          <cell r="J145">
            <v>36</v>
          </cell>
          <cell r="K145">
            <v>43483</v>
          </cell>
          <cell r="L145" t="str">
            <v>CC</v>
          </cell>
          <cell r="M145">
            <v>51567474</v>
          </cell>
          <cell r="N145" t="str">
            <v>GLORIA LIDIA RODRIGUEZ CASTRO</v>
          </cell>
        </row>
        <row r="146">
          <cell r="J146">
            <v>129</v>
          </cell>
          <cell r="K146">
            <v>43487</v>
          </cell>
          <cell r="L146" t="str">
            <v>CC</v>
          </cell>
          <cell r="M146">
            <v>53176815</v>
          </cell>
          <cell r="N146" t="str">
            <v>CATALINA  CAVELIER ADARVE</v>
          </cell>
        </row>
        <row r="147">
          <cell r="J147">
            <v>61</v>
          </cell>
          <cell r="K147">
            <v>43486</v>
          </cell>
          <cell r="L147" t="str">
            <v>CC</v>
          </cell>
          <cell r="M147">
            <v>52807245</v>
          </cell>
          <cell r="N147" t="str">
            <v>LILIANA MARCELA PAMPLONA ROMERO</v>
          </cell>
        </row>
        <row r="148">
          <cell r="J148">
            <v>111</v>
          </cell>
          <cell r="K148">
            <v>43487</v>
          </cell>
          <cell r="L148" t="str">
            <v>CC</v>
          </cell>
          <cell r="M148">
            <v>1020715507</v>
          </cell>
          <cell r="N148" t="str">
            <v>MELISSA  SOLORZANO TORO</v>
          </cell>
        </row>
        <row r="149">
          <cell r="J149">
            <v>115</v>
          </cell>
          <cell r="K149">
            <v>43487</v>
          </cell>
          <cell r="L149" t="str">
            <v>CC</v>
          </cell>
          <cell r="M149">
            <v>38552282</v>
          </cell>
          <cell r="N149" t="str">
            <v>CAROLINA DEL PILAR MARTINEZ PEÑA</v>
          </cell>
        </row>
        <row r="150">
          <cell r="J150">
            <v>168</v>
          </cell>
          <cell r="K150">
            <v>43494</v>
          </cell>
          <cell r="L150" t="str">
            <v>CC</v>
          </cell>
          <cell r="M150">
            <v>19322366</v>
          </cell>
          <cell r="N150" t="str">
            <v>CARLOS  LEMA POSADA</v>
          </cell>
        </row>
        <row r="151">
          <cell r="J151">
            <v>164</v>
          </cell>
          <cell r="K151">
            <v>43494</v>
          </cell>
          <cell r="L151" t="str">
            <v>CC</v>
          </cell>
          <cell r="M151">
            <v>80720954</v>
          </cell>
          <cell r="N151" t="str">
            <v>DIEGO ANDRES MUÑOZ CASALLAS</v>
          </cell>
        </row>
        <row r="152">
          <cell r="J152">
            <v>165</v>
          </cell>
          <cell r="K152">
            <v>43494</v>
          </cell>
          <cell r="L152" t="str">
            <v>CC</v>
          </cell>
          <cell r="M152">
            <v>80041419</v>
          </cell>
          <cell r="N152" t="str">
            <v>HANZ  RIPPE GABRIEL</v>
          </cell>
        </row>
        <row r="153">
          <cell r="J153">
            <v>181</v>
          </cell>
          <cell r="K153">
            <v>43495</v>
          </cell>
          <cell r="L153" t="str">
            <v>CC</v>
          </cell>
          <cell r="M153">
            <v>80093416</v>
          </cell>
          <cell r="N153" t="str">
            <v>LUIS ALFREDO BARON LEAL</v>
          </cell>
        </row>
        <row r="154">
          <cell r="J154">
            <v>189</v>
          </cell>
          <cell r="K154">
            <v>43496</v>
          </cell>
          <cell r="L154" t="str">
            <v>CC</v>
          </cell>
          <cell r="M154">
            <v>1032451167</v>
          </cell>
          <cell r="N154" t="str">
            <v>HECTOR CAMILO GOMEZ CAMARGO</v>
          </cell>
        </row>
        <row r="155">
          <cell r="J155">
            <v>173</v>
          </cell>
          <cell r="K155">
            <v>43494</v>
          </cell>
          <cell r="L155" t="str">
            <v>CC</v>
          </cell>
          <cell r="M155">
            <v>1014244983</v>
          </cell>
          <cell r="N155" t="str">
            <v>ANA MARIA COLLAZOS SOLANO</v>
          </cell>
        </row>
        <row r="156">
          <cell r="J156">
            <v>162</v>
          </cell>
          <cell r="K156">
            <v>43494</v>
          </cell>
          <cell r="L156" t="str">
            <v>CC</v>
          </cell>
          <cell r="M156">
            <v>53120513</v>
          </cell>
          <cell r="N156" t="str">
            <v>JOHANNA MARCELA GALINDO URREGO</v>
          </cell>
        </row>
        <row r="157">
          <cell r="J157">
            <v>184</v>
          </cell>
          <cell r="K157">
            <v>43495</v>
          </cell>
          <cell r="L157" t="str">
            <v>CC</v>
          </cell>
          <cell r="M157">
            <v>1018452223</v>
          </cell>
          <cell r="N157" t="str">
            <v>JUAN FELIPE ESPINOSA DE LOS MONTEROS</v>
          </cell>
        </row>
        <row r="158">
          <cell r="J158">
            <v>167</v>
          </cell>
          <cell r="K158">
            <v>43494</v>
          </cell>
          <cell r="L158" t="str">
            <v>CC</v>
          </cell>
          <cell r="M158">
            <v>52912702</v>
          </cell>
          <cell r="N158" t="str">
            <v>MONICA ANDREA SARMIENTO ROA</v>
          </cell>
        </row>
        <row r="159">
          <cell r="J159">
            <v>170</v>
          </cell>
          <cell r="K159">
            <v>43494</v>
          </cell>
          <cell r="L159" t="str">
            <v>CC</v>
          </cell>
          <cell r="M159">
            <v>45545356</v>
          </cell>
          <cell r="N159" t="str">
            <v>SANDRA ESTER MENDOZA LAFAURIE</v>
          </cell>
        </row>
        <row r="160">
          <cell r="J160">
            <v>174</v>
          </cell>
          <cell r="K160">
            <v>43495</v>
          </cell>
          <cell r="L160" t="str">
            <v>CC</v>
          </cell>
          <cell r="M160">
            <v>1033677719</v>
          </cell>
          <cell r="N160" t="str">
            <v>CARLOS ARTURO ROJAS PEREZ</v>
          </cell>
        </row>
        <row r="161">
          <cell r="J161">
            <v>163</v>
          </cell>
          <cell r="K161">
            <v>43494</v>
          </cell>
          <cell r="L161" t="str">
            <v>CC</v>
          </cell>
          <cell r="M161">
            <v>53122083</v>
          </cell>
          <cell r="N161" t="str">
            <v>GINA CATHERINE LEON CABRERA</v>
          </cell>
        </row>
        <row r="162">
          <cell r="J162">
            <v>180</v>
          </cell>
          <cell r="K162">
            <v>43495</v>
          </cell>
          <cell r="L162" t="str">
            <v>CC</v>
          </cell>
          <cell r="M162">
            <v>1019065560</v>
          </cell>
          <cell r="N162" t="str">
            <v>JUAN SEBASTIAN PINTO MUÑOZ</v>
          </cell>
        </row>
        <row r="163">
          <cell r="J163">
            <v>179</v>
          </cell>
          <cell r="K163">
            <v>43495</v>
          </cell>
          <cell r="L163" t="str">
            <v>CC</v>
          </cell>
          <cell r="M163">
            <v>79515828</v>
          </cell>
          <cell r="N163" t="str">
            <v>MIGUEL ANTONIO RODRIGUEZ SILVA</v>
          </cell>
        </row>
        <row r="164">
          <cell r="J164">
            <v>176</v>
          </cell>
          <cell r="K164">
            <v>43495</v>
          </cell>
          <cell r="L164" t="str">
            <v>CC</v>
          </cell>
          <cell r="M164">
            <v>38602381</v>
          </cell>
          <cell r="N164" t="str">
            <v>LAURA  MEJIA TORRES</v>
          </cell>
        </row>
        <row r="165">
          <cell r="J165">
            <v>192</v>
          </cell>
          <cell r="K165">
            <v>43496</v>
          </cell>
          <cell r="L165" t="str">
            <v>CC</v>
          </cell>
          <cell r="M165">
            <v>53166489</v>
          </cell>
          <cell r="N165" t="str">
            <v>CONSTANZA  MEDINA DIAZ</v>
          </cell>
        </row>
        <row r="166">
          <cell r="J166">
            <v>191</v>
          </cell>
          <cell r="K166">
            <v>43496</v>
          </cell>
          <cell r="L166" t="str">
            <v>CC</v>
          </cell>
          <cell r="M166">
            <v>1026263133</v>
          </cell>
          <cell r="N166" t="str">
            <v>MARIA ALEJANDRA TORO VESGA</v>
          </cell>
        </row>
        <row r="167">
          <cell r="J167">
            <v>190</v>
          </cell>
          <cell r="K167">
            <v>43496</v>
          </cell>
          <cell r="L167" t="str">
            <v>CC</v>
          </cell>
          <cell r="M167">
            <v>1014272803</v>
          </cell>
          <cell r="N167" t="str">
            <v>edgar andres gutierrez sanchez</v>
          </cell>
        </row>
        <row r="168">
          <cell r="J168">
            <v>42</v>
          </cell>
          <cell r="K168">
            <v>43483</v>
          </cell>
          <cell r="L168" t="str">
            <v>CC</v>
          </cell>
          <cell r="M168">
            <v>52702693</v>
          </cell>
          <cell r="N168" t="str">
            <v>YESICA MILENA ACOSTA MOLINA</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P"/>
      <sheetName val="PLANEACION"/>
    </sheetNames>
    <sheetDataSet>
      <sheetData sheetId="0"/>
      <sheetData sheetId="1">
        <row r="194">
          <cell r="I194">
            <v>41</v>
          </cell>
          <cell r="J194">
            <v>38</v>
          </cell>
          <cell r="K194">
            <v>43483</v>
          </cell>
          <cell r="L194" t="str">
            <v>CC</v>
          </cell>
          <cell r="M194">
            <v>51916256</v>
          </cell>
          <cell r="N194" t="str">
            <v>YOLANDA  LOPEZ CORREAL</v>
          </cell>
          <cell r="O194" t="str">
            <v>CONTRATO DE PRESTACION DE SERVICIOS PROFESIONALES</v>
          </cell>
          <cell r="P194">
            <v>24</v>
          </cell>
          <cell r="Q194">
            <v>43483</v>
          </cell>
          <cell r="R194" t="str">
            <v>(Cód. 111) Prestar servicios profesionales al Instituto Distrital de Patrimonio Cultural para acompañar el desarrollo de publicaciones generadas en el marco de la estrategia de apropiación social del patrimonio cultural.</v>
          </cell>
          <cell r="S194">
            <v>77000000</v>
          </cell>
          <cell r="T194">
            <v>0</v>
          </cell>
          <cell r="U194">
            <v>0</v>
          </cell>
          <cell r="V194">
            <v>77000000</v>
          </cell>
        </row>
        <row r="195">
          <cell r="I195">
            <v>65</v>
          </cell>
          <cell r="J195">
            <v>36</v>
          </cell>
          <cell r="K195">
            <v>43483</v>
          </cell>
          <cell r="L195" t="str">
            <v>CC</v>
          </cell>
          <cell r="M195">
            <v>51567474</v>
          </cell>
          <cell r="N195" t="str">
            <v>GLORIA LIDIA RODRIGUEZ CASTRO</v>
          </cell>
          <cell r="O195" t="str">
            <v>CONTRATO DE PRESTACION DE SERVICIOS DE APOYO A LA GESTION</v>
          </cell>
          <cell r="P195">
            <v>23</v>
          </cell>
          <cell r="Q195">
            <v>43483</v>
          </cell>
          <cell r="R195" t="str">
            <v>(Cód. 56) Prestar servicios de apoyo a la gestión al Instituto Distrital de Patrimonio Cultural en las actividades administrativas y operativas desarrollados por la Subdirección de Divulgación de los Valores del Patrimonio Cultural.</v>
          </cell>
          <cell r="S195">
            <v>39600000</v>
          </cell>
          <cell r="T195">
            <v>0</v>
          </cell>
          <cell r="U195">
            <v>0</v>
          </cell>
          <cell r="V195">
            <v>39600000</v>
          </cell>
        </row>
        <row r="196">
          <cell r="I196">
            <v>40</v>
          </cell>
          <cell r="J196">
            <v>42</v>
          </cell>
          <cell r="K196">
            <v>43483</v>
          </cell>
          <cell r="L196" t="str">
            <v>CC</v>
          </cell>
          <cell r="M196">
            <v>52702693</v>
          </cell>
          <cell r="N196" t="str">
            <v>YESICA MILENA ACOSTA MOLINA</v>
          </cell>
          <cell r="O196" t="str">
            <v>CONTRATO DE PRESTACION DE SERVICIOS PROFESIONALES</v>
          </cell>
          <cell r="P196">
            <v>32</v>
          </cell>
          <cell r="Q196">
            <v>43483</v>
          </cell>
          <cell r="R196" t="str">
            <v>(Cód. 110) Prestar servicios profesionales al Instituto Distrital de Patrimonio Cultural para apoyar las actividades relacionadas con el diseño gráfico y diagramación de las publicaciones y proyectos editoriales adelantados en el marco de la estrategia de apropiación social del patrimonio cultural.</v>
          </cell>
          <cell r="S196">
            <v>72820000</v>
          </cell>
          <cell r="T196">
            <v>0</v>
          </cell>
          <cell r="U196">
            <v>0</v>
          </cell>
          <cell r="V196">
            <v>72820000</v>
          </cell>
        </row>
        <row r="197">
          <cell r="I197">
            <v>81</v>
          </cell>
          <cell r="J197">
            <v>61</v>
          </cell>
          <cell r="K197">
            <v>43486</v>
          </cell>
          <cell r="L197" t="str">
            <v>CC</v>
          </cell>
          <cell r="M197">
            <v>52807245</v>
          </cell>
          <cell r="N197" t="str">
            <v>LILIANA MARCELA PAMPLONA ROMERO</v>
          </cell>
          <cell r="O197" t="str">
            <v>CONTRATO DE PRESTACION DE SERVICIOS PROFESIONALES</v>
          </cell>
          <cell r="P197">
            <v>35</v>
          </cell>
          <cell r="Q197">
            <v>43483</v>
          </cell>
          <cell r="R197" t="str">
            <v>(Cód. 71) Prestar servicios profesionales al Instituto Distrital de Patrimonio Cultural para orientar la estructuración e implementación de las acciones de fomento a las prácticas del patrimonio cultural.</v>
          </cell>
          <cell r="S197">
            <v>73645000</v>
          </cell>
          <cell r="T197">
            <v>0</v>
          </cell>
          <cell r="U197">
            <v>0</v>
          </cell>
          <cell r="V197">
            <v>73645000</v>
          </cell>
        </row>
        <row r="198">
          <cell r="I198">
            <v>59</v>
          </cell>
          <cell r="J198">
            <v>110</v>
          </cell>
          <cell r="K198">
            <v>43487</v>
          </cell>
          <cell r="L198" t="str">
            <v>CC</v>
          </cell>
          <cell r="M198">
            <v>52928509</v>
          </cell>
          <cell r="N198" t="str">
            <v>DIANA MARCELA GARCIA SIERRA</v>
          </cell>
          <cell r="O198" t="str">
            <v>CONTRATO DE PRESTACION DE SERVICIOS PROFESIONALES</v>
          </cell>
          <cell r="P198">
            <v>81</v>
          </cell>
          <cell r="Q198">
            <v>43487</v>
          </cell>
          <cell r="R198" t="str">
            <v>(Cód. 42) Prestar servicios profesionales al Instituto Distrital de Patrimonio Cultural para orientar las actividades de curaduría y museología del Museo de Bogotá.</v>
          </cell>
          <cell r="S198">
            <v>19860000</v>
          </cell>
          <cell r="T198">
            <v>0</v>
          </cell>
          <cell r="U198">
            <v>0</v>
          </cell>
          <cell r="V198">
            <v>19860000</v>
          </cell>
        </row>
        <row r="199">
          <cell r="I199">
            <v>79</v>
          </cell>
          <cell r="J199">
            <v>129</v>
          </cell>
          <cell r="K199">
            <v>43487</v>
          </cell>
          <cell r="L199" t="str">
            <v>CC</v>
          </cell>
          <cell r="M199">
            <v>53176815</v>
          </cell>
          <cell r="N199" t="str">
            <v>CATALINA  CAVELIER ADARVE</v>
          </cell>
          <cell r="O199" t="str">
            <v>CONTRATO DE PRESTACION DE SERVICIOS PROFESIONALES</v>
          </cell>
          <cell r="P199">
            <v>41</v>
          </cell>
          <cell r="Q199">
            <v>43483</v>
          </cell>
          <cell r="R199" t="str">
            <v>(Cód. 32) Prestar servicios profesionales al Instituto Distrital de Patrimonio Cultural para orientar las estrategias encaminados a la salvaguardia y apropiación social del patrimonio cultural inmaterial.</v>
          </cell>
          <cell r="S199">
            <v>72820000</v>
          </cell>
          <cell r="T199">
            <v>0</v>
          </cell>
          <cell r="U199">
            <v>0</v>
          </cell>
          <cell r="V199">
            <v>72820000</v>
          </cell>
        </row>
        <row r="200">
          <cell r="I200">
            <v>89</v>
          </cell>
          <cell r="J200">
            <v>111</v>
          </cell>
          <cell r="K200">
            <v>43487</v>
          </cell>
          <cell r="L200" t="str">
            <v>CC</v>
          </cell>
          <cell r="M200">
            <v>1020715507</v>
          </cell>
          <cell r="N200" t="str">
            <v>MELISSA  SOLORZANO TORO</v>
          </cell>
          <cell r="O200" t="str">
            <v>CONTRATO DE PRESTACION DE SERVICIOS PROFESIONALES</v>
          </cell>
          <cell r="P200">
            <v>84</v>
          </cell>
          <cell r="Q200">
            <v>43487</v>
          </cell>
          <cell r="R200" t="str">
            <v>(Cód. 80) Prestar servicios profesionales al Instituto Distrital de Patrimonio Cultural para orientar los procesos de gestión de la colección del Museo de Bogotá</v>
          </cell>
          <cell r="S200">
            <v>17880000</v>
          </cell>
          <cell r="T200">
            <v>0</v>
          </cell>
          <cell r="U200">
            <v>0</v>
          </cell>
          <cell r="V200">
            <v>17880000</v>
          </cell>
        </row>
        <row r="201">
          <cell r="I201">
            <v>103</v>
          </cell>
          <cell r="J201">
            <v>115</v>
          </cell>
          <cell r="K201">
            <v>43487</v>
          </cell>
          <cell r="L201" t="str">
            <v>CC</v>
          </cell>
          <cell r="M201">
            <v>38552282</v>
          </cell>
          <cell r="N201" t="str">
            <v>CAROLINA DEL PILAR MARTINEZ PEÑA</v>
          </cell>
          <cell r="O201" t="str">
            <v>CONTRATO DE PRESTACION DE SERVICIOS PROFESIONALES</v>
          </cell>
          <cell r="P201">
            <v>106</v>
          </cell>
          <cell r="Q201">
            <v>43487</v>
          </cell>
          <cell r="R201" t="str">
            <v>(Cód. 31) Prestar servicios profesionales al Instituto Distrital de Patrimonio Cultural para orientar las actividades periodísticas y de prensa requeridas en la estrategia de apropiación social del patrimonio cultural.</v>
          </cell>
          <cell r="S201">
            <v>95260000</v>
          </cell>
          <cell r="T201">
            <v>0</v>
          </cell>
          <cell r="U201">
            <v>0</v>
          </cell>
          <cell r="V201">
            <v>95260000</v>
          </cell>
        </row>
        <row r="202">
          <cell r="I202">
            <v>156</v>
          </cell>
          <cell r="J202">
            <v>168</v>
          </cell>
          <cell r="K202">
            <v>43494</v>
          </cell>
          <cell r="L202" t="str">
            <v>CC</v>
          </cell>
          <cell r="M202">
            <v>19322366</v>
          </cell>
          <cell r="N202" t="str">
            <v>CARLOS  LEMA POSADA</v>
          </cell>
          <cell r="O202" t="str">
            <v>CONTRATO DE PRESTACION DE SERVICIOS PROFESIONALES</v>
          </cell>
          <cell r="P202">
            <v>154</v>
          </cell>
          <cell r="Q202">
            <v>43494</v>
          </cell>
          <cell r="R202" t="str">
            <v>(Cód. 30) Prestar servicios profesionales al Instituto Distrital de Patrimonio Cultural para realizar el registro fotográfico y audiovisual requerido para la ejecución de la estrategia de apropiación social del patrimonio cultural.</v>
          </cell>
          <cell r="S202">
            <v>66880000</v>
          </cell>
          <cell r="T202">
            <v>0</v>
          </cell>
          <cell r="U202">
            <v>0</v>
          </cell>
          <cell r="V202">
            <v>66880000</v>
          </cell>
        </row>
        <row r="203">
          <cell r="I203">
            <v>157</v>
          </cell>
          <cell r="J203">
            <v>164</v>
          </cell>
          <cell r="K203">
            <v>43494</v>
          </cell>
          <cell r="L203" t="str">
            <v>CC</v>
          </cell>
          <cell r="M203">
            <v>80720954</v>
          </cell>
          <cell r="N203" t="str">
            <v>DIEGO ANDRES MUÑOZ CASALLAS</v>
          </cell>
          <cell r="O203" t="str">
            <v>CONTRATO DE PRESTACION DE SERVICIOS PROFESIONALES</v>
          </cell>
          <cell r="P203">
            <v>146</v>
          </cell>
          <cell r="Q203">
            <v>43494</v>
          </cell>
          <cell r="R203" t="str">
            <v>(Cód. 43) Prestar servicios profesionales al Instituto Distrital de Patrimonio Cultural para apoyar el desarrollo de estrategias orientadas a la apropiación social y salvaguardia del Patrimonio Cultural Inmaterial.</v>
          </cell>
          <cell r="S203">
            <v>65560000</v>
          </cell>
          <cell r="T203">
            <v>0</v>
          </cell>
          <cell r="U203">
            <v>0</v>
          </cell>
          <cell r="V203">
            <v>65560000</v>
          </cell>
        </row>
        <row r="204">
          <cell r="I204">
            <v>158</v>
          </cell>
          <cell r="J204">
            <v>165</v>
          </cell>
          <cell r="K204">
            <v>43494</v>
          </cell>
          <cell r="L204" t="str">
            <v>CC</v>
          </cell>
          <cell r="M204">
            <v>80041419</v>
          </cell>
          <cell r="N204" t="str">
            <v>HANZ  RIPPE GABRIEL</v>
          </cell>
          <cell r="O204" t="str">
            <v>CONTRATO DE PRESTACION DE SERVICIOS PROFESIONALES</v>
          </cell>
          <cell r="P204">
            <v>144</v>
          </cell>
          <cell r="Q204">
            <v>43494</v>
          </cell>
          <cell r="R204" t="str">
            <v>(Cód. 57) Prestar servicios profesionales al Instituto Distrital de Patrimonio Cultural para realizar el registro fotográfico y audiovisual requerido para la ejecución de la estrategia de comunicaciones de la entidad.</v>
          </cell>
          <cell r="S204">
            <v>70620000</v>
          </cell>
          <cell r="T204">
            <v>0</v>
          </cell>
          <cell r="U204">
            <v>0</v>
          </cell>
          <cell r="V204">
            <v>70620000</v>
          </cell>
        </row>
        <row r="205">
          <cell r="I205">
            <v>169</v>
          </cell>
          <cell r="J205">
            <v>173</v>
          </cell>
          <cell r="K205">
            <v>43494</v>
          </cell>
          <cell r="L205" t="str">
            <v>CC</v>
          </cell>
          <cell r="M205">
            <v>1014244983</v>
          </cell>
          <cell r="N205" t="str">
            <v>ANA MARIA COLLAZOS SOLANO</v>
          </cell>
          <cell r="O205" t="str">
            <v>CONTRATO DE PRESTACION DE SERVICIOS PROFESIONALES</v>
          </cell>
          <cell r="P205">
            <v>155</v>
          </cell>
          <cell r="Q205">
            <v>43495</v>
          </cell>
          <cell r="R205" t="str">
            <v>(Cód. 23) Prestar servicios profesionales al Instituto Distrital de Patrimonio Cultural para apoyar las acciones de diseño gráfico del Museo de Bogotá.</v>
          </cell>
          <cell r="S205">
            <v>14520000</v>
          </cell>
          <cell r="T205">
            <v>0</v>
          </cell>
          <cell r="U205">
            <v>0</v>
          </cell>
          <cell r="V205">
            <v>14520000</v>
          </cell>
        </row>
        <row r="206">
          <cell r="I206">
            <v>170</v>
          </cell>
          <cell r="J206">
            <v>162</v>
          </cell>
          <cell r="K206">
            <v>43494</v>
          </cell>
          <cell r="L206" t="str">
            <v>CC</v>
          </cell>
          <cell r="M206">
            <v>53120513</v>
          </cell>
          <cell r="N206" t="str">
            <v>JOHANNA MARCELA GALINDO URREGO</v>
          </cell>
          <cell r="O206" t="str">
            <v>CONTRATO DE PRESTACION DE SERVICIOS PROFESIONALES</v>
          </cell>
          <cell r="P206">
            <v>152</v>
          </cell>
          <cell r="Q206">
            <v>43494</v>
          </cell>
          <cell r="R206" t="str">
            <v>(Cód. 61) Prestar servicios profesionales al Instituto Distrital de Patrimonio Cultural para acompañar el componente pedagógico y didáctico del portafolio de servicios educativos y culturales del Museo de Bogotá.</v>
          </cell>
          <cell r="S206">
            <v>16080000</v>
          </cell>
          <cell r="T206">
            <v>0</v>
          </cell>
          <cell r="U206">
            <v>0</v>
          </cell>
          <cell r="V206">
            <v>16080000</v>
          </cell>
        </row>
        <row r="207">
          <cell r="I207">
            <v>172</v>
          </cell>
          <cell r="J207">
            <v>167</v>
          </cell>
          <cell r="K207">
            <v>43494</v>
          </cell>
          <cell r="L207" t="str">
            <v>CC</v>
          </cell>
          <cell r="M207">
            <v>52912702</v>
          </cell>
          <cell r="N207" t="str">
            <v>MONICA ANDREA SARMIENTO ROA</v>
          </cell>
          <cell r="O207" t="str">
            <v>CONTRATO DE PRESTACION DE SERVICIOS PROFESIONALES</v>
          </cell>
          <cell r="P207">
            <v>148</v>
          </cell>
          <cell r="Q207">
            <v>43494</v>
          </cell>
          <cell r="R207" t="str">
            <v xml:space="preserve">(Cód. 83) Prestar servicios profesionales al Instituto Distrital de Patrimonio Cultural para orientar el Programa de Patrimonios Locales y otras iniciativas que contribuyan a la salvaguardia y apropiación social del Patrimonio Cultural Inmaterial. </v>
          </cell>
          <cell r="S207">
            <v>50600000</v>
          </cell>
          <cell r="T207">
            <v>0</v>
          </cell>
          <cell r="U207">
            <v>0</v>
          </cell>
          <cell r="V207">
            <v>50600000</v>
          </cell>
        </row>
        <row r="208">
          <cell r="I208">
            <v>173</v>
          </cell>
          <cell r="J208">
            <v>170</v>
          </cell>
          <cell r="K208">
            <v>43494</v>
          </cell>
          <cell r="L208" t="str">
            <v>CC</v>
          </cell>
          <cell r="M208">
            <v>45545356</v>
          </cell>
          <cell r="N208" t="str">
            <v>SANDRA ESTER MENDOZA LAFAURIE</v>
          </cell>
          <cell r="O208" t="str">
            <v>CONTRATO DE PRESTACION DE SERVICIOS PROFESIONALES</v>
          </cell>
          <cell r="P208">
            <v>149</v>
          </cell>
          <cell r="Q208">
            <v>43495</v>
          </cell>
          <cell r="R208" t="str">
            <v xml:space="preserve">(Cód. 97) Prestar servicios profesionales al Instituto Distrital de Patrimonio Cultural para acompañar el componente histórico de los procesos curatoriales desarrollados por el Museo de Bogotá. </v>
          </cell>
          <cell r="S208">
            <v>17880000</v>
          </cell>
          <cell r="T208">
            <v>0</v>
          </cell>
          <cell r="U208">
            <v>0</v>
          </cell>
          <cell r="V208">
            <v>17880000</v>
          </cell>
        </row>
        <row r="209">
          <cell r="I209">
            <v>177</v>
          </cell>
          <cell r="J209">
            <v>163</v>
          </cell>
          <cell r="K209">
            <v>43494</v>
          </cell>
          <cell r="L209" t="str">
            <v>CC</v>
          </cell>
          <cell r="M209">
            <v>53122083</v>
          </cell>
          <cell r="N209" t="str">
            <v>GINA CATHERINE LEON CABRERA</v>
          </cell>
          <cell r="O209" t="str">
            <v>CONTRATO DE PRESTACION DE SERVICIOS PROFESIONALES</v>
          </cell>
          <cell r="P209">
            <v>158</v>
          </cell>
          <cell r="Q209">
            <v>43495</v>
          </cell>
          <cell r="R209" t="str">
            <v>(Cód. 53) Prestar servicios profesionales al Instituto Distrital de Patrimonio Cultural para apoyar los procesos de investigación, estructuración y redacción de guiones museológicos requeridos por el Museo de Bogotá.</v>
          </cell>
          <cell r="S209">
            <v>17880000</v>
          </cell>
          <cell r="T209">
            <v>0</v>
          </cell>
          <cell r="U209">
            <v>0</v>
          </cell>
          <cell r="V209">
            <v>17880000</v>
          </cell>
        </row>
        <row r="210">
          <cell r="I210">
            <v>159</v>
          </cell>
          <cell r="J210">
            <v>181</v>
          </cell>
          <cell r="K210">
            <v>43495</v>
          </cell>
          <cell r="L210" t="str">
            <v>CC</v>
          </cell>
          <cell r="M210">
            <v>80093416</v>
          </cell>
          <cell r="N210" t="str">
            <v>LUIS ALFREDO BARON LEAL</v>
          </cell>
          <cell r="O210" t="str">
            <v>CONTRATO DE PRESTACION DE SERVICIOS PROFESIONALES</v>
          </cell>
          <cell r="P210">
            <v>143</v>
          </cell>
          <cell r="Q210">
            <v>43495</v>
          </cell>
          <cell r="R210" t="str">
            <v>(Cód. 73) Prestar servicios profesionales al Instituto Distrital de Patrimonio Cultural para acompañar el desarrollo del componente histórico de la estrategia de apropiación social del patrimonio cultural.</v>
          </cell>
          <cell r="S210">
            <v>65560000</v>
          </cell>
          <cell r="T210">
            <v>0</v>
          </cell>
          <cell r="U210">
            <v>0</v>
          </cell>
          <cell r="V210">
            <v>65560000</v>
          </cell>
        </row>
        <row r="211">
          <cell r="I211">
            <v>171</v>
          </cell>
          <cell r="J211">
            <v>184</v>
          </cell>
          <cell r="K211">
            <v>43495</v>
          </cell>
          <cell r="L211" t="str">
            <v>CC</v>
          </cell>
          <cell r="M211">
            <v>1018452223</v>
          </cell>
          <cell r="N211" t="str">
            <v>JUAN FELIPE ESPINOSA DE LOS MONTEROS</v>
          </cell>
          <cell r="O211" t="str">
            <v>CONTRATO DE PRESTACION DE SERVICIOS PROFESIONALES</v>
          </cell>
          <cell r="P211">
            <v>150</v>
          </cell>
          <cell r="Q211">
            <v>43495</v>
          </cell>
          <cell r="R211" t="str">
            <v>(Cód. 63)  Prestar servicios profesionales al Instituto Distrital de Patrimonio Cultural para apoyar las acciones de diseño gráfico del Museo de Bogotá .</v>
          </cell>
          <cell r="S211">
            <v>13320000</v>
          </cell>
          <cell r="T211">
            <v>0</v>
          </cell>
          <cell r="U211">
            <v>0</v>
          </cell>
          <cell r="V211">
            <v>13320000</v>
          </cell>
        </row>
        <row r="212">
          <cell r="I212">
            <v>175</v>
          </cell>
          <cell r="J212">
            <v>174</v>
          </cell>
          <cell r="K212">
            <v>43495</v>
          </cell>
          <cell r="L212" t="str">
            <v>CC</v>
          </cell>
          <cell r="M212">
            <v>1033677719</v>
          </cell>
          <cell r="N212" t="str">
            <v>CARLOS ARTURO ROJAS PEREZ</v>
          </cell>
          <cell r="O212" t="str">
            <v>CONTRATO DE PRESTACION DE SERVICIOS PROFESIONALES</v>
          </cell>
          <cell r="P212">
            <v>157</v>
          </cell>
          <cell r="Q212">
            <v>43496</v>
          </cell>
          <cell r="R212" t="str">
            <v>(Cód. 29) Prestar servicios profesionales al Instituto Distrital de Patrimonio Cultural para apoyar el diseño museográfico de los proyectos adelantados por el Museo de Bogotá.</v>
          </cell>
          <cell r="S212">
            <v>18240000</v>
          </cell>
          <cell r="T212">
            <v>0</v>
          </cell>
          <cell r="U212">
            <v>0</v>
          </cell>
          <cell r="V212">
            <v>18240000</v>
          </cell>
        </row>
        <row r="213">
          <cell r="I213">
            <v>178</v>
          </cell>
          <cell r="J213">
            <v>180</v>
          </cell>
          <cell r="K213">
            <v>43495</v>
          </cell>
          <cell r="L213" t="str">
            <v>CC</v>
          </cell>
          <cell r="M213">
            <v>1019065560</v>
          </cell>
          <cell r="N213" t="str">
            <v>JUAN SEBASTIAN PINTO MUÑOZ</v>
          </cell>
          <cell r="O213" t="str">
            <v>CONTRATO DE PRESTACION DE SERVICIOS PROFESIONALES</v>
          </cell>
          <cell r="P213">
            <v>160</v>
          </cell>
          <cell r="Q213">
            <v>43495</v>
          </cell>
          <cell r="R213" t="str">
            <v>(Cód. 65) Prestar servicios profesionales al Instituto Distrital de Patrimonio Cultural para orientar la estrategia de apropiación social del patrimonio cultural.</v>
          </cell>
          <cell r="S213">
            <v>47300000</v>
          </cell>
          <cell r="T213">
            <v>0</v>
          </cell>
          <cell r="U213">
            <v>0</v>
          </cell>
          <cell r="V213">
            <v>47300000</v>
          </cell>
        </row>
        <row r="214">
          <cell r="I214">
            <v>180</v>
          </cell>
          <cell r="J214">
            <v>179</v>
          </cell>
          <cell r="K214">
            <v>43495</v>
          </cell>
          <cell r="L214" t="str">
            <v>CC</v>
          </cell>
          <cell r="M214">
            <v>79515828</v>
          </cell>
          <cell r="N214" t="str">
            <v>MIGUEL ANTONIO RODRIGUEZ SILVA</v>
          </cell>
          <cell r="O214" t="str">
            <v>CONTRATO DE PRESTACION DE SERVICIOS DE APOYO A LA GESTION</v>
          </cell>
          <cell r="P214">
            <v>156</v>
          </cell>
          <cell r="Q214">
            <v>43495</v>
          </cell>
          <cell r="R214" t="str">
            <v>(Cód. 81) Prestar servicios de apoyo a la gestión al Instituto Distrital de Patrimonio Cultural en los procesos de montaje y actividades logísticas requeridas por el Museo de Bogotá.</v>
          </cell>
          <cell r="S214">
            <v>7500000</v>
          </cell>
          <cell r="T214">
            <v>0</v>
          </cell>
          <cell r="U214">
            <v>0</v>
          </cell>
          <cell r="V214">
            <v>7500000</v>
          </cell>
        </row>
        <row r="215">
          <cell r="I215">
            <v>190</v>
          </cell>
          <cell r="J215">
            <v>176</v>
          </cell>
          <cell r="K215">
            <v>43495</v>
          </cell>
          <cell r="L215" t="str">
            <v>CC</v>
          </cell>
          <cell r="M215">
            <v>38602381</v>
          </cell>
          <cell r="N215" t="str">
            <v>LAURA  MEJIA TORRES</v>
          </cell>
          <cell r="O215" t="str">
            <v>CONTRATO DE PRESTACION DE SERVICIOS PROFESIONALES</v>
          </cell>
          <cell r="P215">
            <v>168</v>
          </cell>
          <cell r="Q215">
            <v>43495</v>
          </cell>
          <cell r="R215" t="str">
            <v xml:space="preserve">(Cód. 67) Prestar servicios profesionales al Instituto Distrital de Patrimonio Cultural para apoyar los procesos de inventario, catalogación y organización de los fondos documentales que conforman el Centro de Documentación. </v>
          </cell>
          <cell r="S215">
            <v>49500000</v>
          </cell>
          <cell r="T215">
            <v>0</v>
          </cell>
          <cell r="U215">
            <v>0</v>
          </cell>
          <cell r="V215">
            <v>49500000</v>
          </cell>
        </row>
        <row r="216">
          <cell r="I216">
            <v>160</v>
          </cell>
          <cell r="J216">
            <v>189</v>
          </cell>
          <cell r="K216">
            <v>43496</v>
          </cell>
          <cell r="L216" t="str">
            <v>CC</v>
          </cell>
          <cell r="M216">
            <v>1032451167</v>
          </cell>
          <cell r="N216" t="str">
            <v>HECTOR CAMILO GOMEZ CAMARGO</v>
          </cell>
          <cell r="O216" t="str">
            <v>CONTRATO DE PRESTACION DE SERVICIOS DE APOYO A LA GESTION</v>
          </cell>
          <cell r="P216">
            <v>153</v>
          </cell>
          <cell r="Q216">
            <v>43495</v>
          </cell>
          <cell r="R216" t="str">
            <v>(Cód. 95) Prestar servicios de apoyo a la gestión al Instituto Distrital de Patrimonio Cultural en los procesos de digitalización de la Colección del Museo de Bogotá.</v>
          </cell>
          <cell r="S216">
            <v>8160000</v>
          </cell>
          <cell r="T216">
            <v>0</v>
          </cell>
          <cell r="U216">
            <v>0</v>
          </cell>
          <cell r="V216">
            <v>8160000</v>
          </cell>
        </row>
        <row r="217">
          <cell r="I217">
            <v>191</v>
          </cell>
          <cell r="J217">
            <v>192</v>
          </cell>
          <cell r="K217">
            <v>43496</v>
          </cell>
          <cell r="L217" t="str">
            <v>CC</v>
          </cell>
          <cell r="M217">
            <v>53166489</v>
          </cell>
          <cell r="N217" t="str">
            <v>CONSTANZA  MEDINA DIAZ</v>
          </cell>
          <cell r="O217" t="str">
            <v>CONTRATO DE PRESTACION DE SERVICIOS PROFESIONALES</v>
          </cell>
          <cell r="P217">
            <v>170</v>
          </cell>
          <cell r="Q217">
            <v>43495</v>
          </cell>
          <cell r="R217" t="str">
            <v>(Cód. 35) Prestar servicios profesionales al Instituto Distrital del Patrimonio Cultural para apoyar la ejecucón de los trámites y procesos requeridos para la producción de los eventos generados en el marco de la estrategia de apropiación social del patrimonio cultural.</v>
          </cell>
          <cell r="S217">
            <v>55000000</v>
          </cell>
          <cell r="T217">
            <v>0</v>
          </cell>
          <cell r="U217">
            <v>0</v>
          </cell>
          <cell r="V217">
            <v>55000000</v>
          </cell>
        </row>
        <row r="218">
          <cell r="I218">
            <v>221</v>
          </cell>
          <cell r="J218">
            <v>191</v>
          </cell>
          <cell r="K218">
            <v>43496</v>
          </cell>
          <cell r="L218" t="str">
            <v>CC</v>
          </cell>
          <cell r="M218">
            <v>1026263133</v>
          </cell>
          <cell r="N218" t="str">
            <v>MARIA ALEJANDRA TORO VESGA</v>
          </cell>
          <cell r="O218" t="str">
            <v>CONTRATO DE PRESTACION DE SERVICIOS PROFESIONALES</v>
          </cell>
          <cell r="P218">
            <v>188</v>
          </cell>
          <cell r="Q218">
            <v>43497</v>
          </cell>
          <cell r="R218" t="str">
            <v>(Cód. 22) Prestar servicios profesionales al Instituto Distrital de Patrimonio Cultural para administrar y actualizar los contenidos de la página web y redes sociales de la entidad, así como la generación de contenidos requeridos para el desarrollo de la estrategia de comunicaciones y de apropiación social del patrimonio cultural.</v>
          </cell>
          <cell r="S218">
            <v>61380000</v>
          </cell>
          <cell r="T218">
            <v>0</v>
          </cell>
          <cell r="U218">
            <v>0</v>
          </cell>
          <cell r="V218">
            <v>61380000</v>
          </cell>
        </row>
        <row r="219">
          <cell r="I219">
            <v>223</v>
          </cell>
          <cell r="J219">
            <v>190</v>
          </cell>
          <cell r="K219">
            <v>43496</v>
          </cell>
          <cell r="L219" t="str">
            <v>CC</v>
          </cell>
          <cell r="M219">
            <v>1014272803</v>
          </cell>
          <cell r="N219" t="str">
            <v>edgar andres gutierrez sanchez</v>
          </cell>
          <cell r="O219" t="str">
            <v>CONTRATO DE PRESTACION DE SERVICIOS PROFESIONALES</v>
          </cell>
          <cell r="P219">
            <v>187</v>
          </cell>
          <cell r="Q219">
            <v>43497</v>
          </cell>
          <cell r="R219" t="str">
            <v>(Cód. 48) Prestar servicios profesionales al Instituto Distrital de Patrimonio Cultural en las actividades de producción de contenidos audiovisuales requeridos para el desarrollo de la estrategia de apropiación social del patrimonio cultural.</v>
          </cell>
          <cell r="S219">
            <v>41580000</v>
          </cell>
          <cell r="T219">
            <v>0</v>
          </cell>
          <cell r="U219">
            <v>0</v>
          </cell>
          <cell r="V219">
            <v>41580000</v>
          </cell>
        </row>
        <row r="220">
          <cell r="I220">
            <v>227</v>
          </cell>
          <cell r="J220">
            <v>202</v>
          </cell>
          <cell r="K220">
            <v>43496</v>
          </cell>
          <cell r="L220" t="str">
            <v>CC</v>
          </cell>
          <cell r="M220">
            <v>80504076</v>
          </cell>
          <cell r="N220" t="str">
            <v>DIEGO LUIS ROBAYO DE ANGULO</v>
          </cell>
          <cell r="O220" t="str">
            <v>CONTRATO DE PRESTACION DE SERVICIOS PROFESIONALES</v>
          </cell>
          <cell r="P220">
            <v>181</v>
          </cell>
          <cell r="Q220">
            <v>43497</v>
          </cell>
          <cell r="R220" t="str">
            <v>(Cód. 44) Prestar servicios profesionales al Instituto Distrital de Patrimonio Cultural para acompañar la producción audiovisual y multimedial requerida para el desarrollo de la estrategia de apropiación social del patrimonio cultural.</v>
          </cell>
          <cell r="S220">
            <v>88000000</v>
          </cell>
          <cell r="T220">
            <v>0</v>
          </cell>
          <cell r="U220">
            <v>0</v>
          </cell>
          <cell r="V220">
            <v>88000000</v>
          </cell>
        </row>
        <row r="221">
          <cell r="I221">
            <v>225</v>
          </cell>
          <cell r="J221">
            <v>223</v>
          </cell>
          <cell r="K221">
            <v>43500</v>
          </cell>
          <cell r="L221" t="str">
            <v>CC</v>
          </cell>
          <cell r="M221">
            <v>80720871</v>
          </cell>
          <cell r="N221" t="str">
            <v>LEONARDO  OCHICA SALAMANCA</v>
          </cell>
          <cell r="O221" t="str">
            <v>CONTRATO DE PRESTACION DE SERVICIOS PROFESIONALES</v>
          </cell>
          <cell r="P221">
            <v>195</v>
          </cell>
          <cell r="Q221">
            <v>43497</v>
          </cell>
          <cell r="R221" t="str">
            <v>(Cód. 68) Prestar servicios profesionales al Instituto Distrital de Patrimonio Cultural para apoyar el diseño de piezas gráficas y de comunicación requeridas para la ejecución de la estrategia de comunicaciones de la entidad y de apropiación social del patrimonio cultural.</v>
          </cell>
          <cell r="S221">
            <v>65560000</v>
          </cell>
          <cell r="T221">
            <v>0</v>
          </cell>
          <cell r="U221">
            <v>0</v>
          </cell>
          <cell r="V221">
            <v>65560000</v>
          </cell>
        </row>
        <row r="222">
          <cell r="I222">
            <v>230</v>
          </cell>
          <cell r="J222">
            <v>218</v>
          </cell>
          <cell r="K222">
            <v>43500</v>
          </cell>
          <cell r="L222" t="str">
            <v>CC</v>
          </cell>
          <cell r="M222">
            <v>53167140</v>
          </cell>
          <cell r="N222" t="str">
            <v>BONILLA RODRIGUEZ NATHALY ANDREA</v>
          </cell>
          <cell r="O222" t="str">
            <v>CONTRATO DE PRESTACION DE SERVICIOS PROFESIONALES</v>
          </cell>
          <cell r="P222">
            <v>183</v>
          </cell>
          <cell r="Q222">
            <v>43497</v>
          </cell>
          <cell r="R222" t="str">
            <v>(Cód. 85) Prestar servicios profesionales al Instituto Distrital de Patrimonio Cultural para apoyar la implementación de las acciones de fomento a las prácticas del patrimonio cultural.</v>
          </cell>
          <cell r="S222">
            <v>49000000</v>
          </cell>
          <cell r="T222">
            <v>0</v>
          </cell>
          <cell r="U222">
            <v>0</v>
          </cell>
          <cell r="V222">
            <v>49000000</v>
          </cell>
        </row>
        <row r="223">
          <cell r="I223">
            <v>176</v>
          </cell>
          <cell r="J223">
            <v>232</v>
          </cell>
          <cell r="K223">
            <v>43501</v>
          </cell>
          <cell r="L223" t="str">
            <v>CC</v>
          </cell>
          <cell r="M223">
            <v>52809486</v>
          </cell>
          <cell r="N223" t="str">
            <v>Diana Marcela Gomez Bernal</v>
          </cell>
          <cell r="O223" t="str">
            <v>CONTRATO DE PRESTACION DE SERVICIOS DE APOYO A LA GESTION</v>
          </cell>
          <cell r="P223">
            <v>176</v>
          </cell>
          <cell r="Q223">
            <v>43501</v>
          </cell>
          <cell r="R223" t="str">
            <v>(Cód. 41) Prestar servicios al Instituto Distrital de Patrimonio Cultural como apoyo a la gestión en la planificación y ejecución del portafolio de servicios educativos y culturales del Museo de Bogotá.</v>
          </cell>
          <cell r="S223">
            <v>7740000</v>
          </cell>
          <cell r="T223">
            <v>0</v>
          </cell>
          <cell r="U223">
            <v>0</v>
          </cell>
          <cell r="V223">
            <v>7740000</v>
          </cell>
        </row>
        <row r="224">
          <cell r="I224">
            <v>179</v>
          </cell>
          <cell r="J224">
            <v>229</v>
          </cell>
          <cell r="K224">
            <v>43501</v>
          </cell>
          <cell r="L224" t="str">
            <v>CC</v>
          </cell>
          <cell r="M224">
            <v>79655127</v>
          </cell>
          <cell r="N224" t="str">
            <v>WALTER MAURICIO MARTINEZ ROSAS</v>
          </cell>
          <cell r="O224" t="str">
            <v>CONTRATO DE PRESTACION DE SERVICIOS PROFESIONALES</v>
          </cell>
          <cell r="P224">
            <v>174</v>
          </cell>
          <cell r="Q224">
            <v>43501</v>
          </cell>
          <cell r="R224" t="str">
            <v>(Cód. 78) Prestar servicios profesionales al Instituto Distrital de Patrimonio Cultural para acompañar el diseño, programación y desarrollo de las actividades del portafolio de servicios educativos y culturales del Museo de Bogotá.</v>
          </cell>
          <cell r="S224">
            <v>16080000</v>
          </cell>
          <cell r="T224">
            <v>0</v>
          </cell>
          <cell r="U224">
            <v>0</v>
          </cell>
          <cell r="V224">
            <v>16080000</v>
          </cell>
        </row>
        <row r="225">
          <cell r="I225">
            <v>193</v>
          </cell>
          <cell r="J225">
            <v>225</v>
          </cell>
          <cell r="K225">
            <v>43501</v>
          </cell>
          <cell r="L225" t="str">
            <v>CC</v>
          </cell>
          <cell r="M225">
            <v>16933376</v>
          </cell>
          <cell r="N225" t="str">
            <v>gustavo alfredo bueno rojas</v>
          </cell>
          <cell r="O225" t="str">
            <v>CONTRATO DE PRESTACION DE SERVICIOS PROFESIONALES</v>
          </cell>
          <cell r="P225">
            <v>184</v>
          </cell>
          <cell r="Q225">
            <v>43495</v>
          </cell>
          <cell r="R225" t="str">
            <v>(Cód. 92) Prestar servicios profesionales al Instituto Distrital de Patrimonio Cultural para apoyar la gestión de prensa generada en el marco de la estrategia de comunicaciones del IDPC.</v>
          </cell>
          <cell r="S225">
            <v>55000000</v>
          </cell>
          <cell r="T225">
            <v>0</v>
          </cell>
          <cell r="U225">
            <v>0</v>
          </cell>
          <cell r="V225">
            <v>55000000</v>
          </cell>
        </row>
        <row r="226">
          <cell r="I226">
            <v>224</v>
          </cell>
          <cell r="J226">
            <v>227</v>
          </cell>
          <cell r="K226">
            <v>43501</v>
          </cell>
          <cell r="L226" t="str">
            <v>CC</v>
          </cell>
          <cell r="M226">
            <v>52810235</v>
          </cell>
          <cell r="N226" t="str">
            <v>GLORIA ISABEL CARRILLO BUITRAGO</v>
          </cell>
          <cell r="O226" t="str">
            <v>CONTRATO DE PRESTACION DE SERVICIOS DE APOYO A LA GESTION</v>
          </cell>
          <cell r="P226">
            <v>166</v>
          </cell>
          <cell r="Q226">
            <v>43501</v>
          </cell>
          <cell r="R226" t="str">
            <v>(Cód. 55) Prestar servicios de apoyo a la gestión al Instituto Distrital de Patrimonio Cultural en los trámites administrativos y operativos generados en la operación del Museo de Bogotá.</v>
          </cell>
          <cell r="S226">
            <v>10440000</v>
          </cell>
          <cell r="T226">
            <v>0</v>
          </cell>
          <cell r="U226">
            <v>0</v>
          </cell>
          <cell r="V226">
            <v>10440000</v>
          </cell>
        </row>
        <row r="227">
          <cell r="I227">
            <v>228</v>
          </cell>
          <cell r="J227">
            <v>228</v>
          </cell>
          <cell r="K227">
            <v>43501</v>
          </cell>
          <cell r="L227" t="str">
            <v>CC</v>
          </cell>
          <cell r="M227">
            <v>1015432380</v>
          </cell>
          <cell r="N227" t="str">
            <v>MARIA CLARA MENDEZ ALVAREZ</v>
          </cell>
          <cell r="O227" t="str">
            <v>CONTRATO DE PRESTACION DE SERVICIOS PROFESIONALES</v>
          </cell>
          <cell r="P227">
            <v>177</v>
          </cell>
          <cell r="Q227">
            <v>43501</v>
          </cell>
          <cell r="R227" t="str">
            <v>(Cód. 62) Prestar servicios profesionales al Instituto Distrital de Patrimonio Cultural en la ejecución de los procesos de mediación y generación de contenidos pedagógicos del portafolio de servicios educativos y culturales del Museo de Bogotá.</v>
          </cell>
          <cell r="S227">
            <v>12060000</v>
          </cell>
          <cell r="T227">
            <v>0</v>
          </cell>
          <cell r="U227">
            <v>0</v>
          </cell>
          <cell r="V227">
            <v>12060000</v>
          </cell>
        </row>
        <row r="228">
          <cell r="I228">
            <v>229</v>
          </cell>
          <cell r="J228">
            <v>231</v>
          </cell>
          <cell r="K228">
            <v>43501</v>
          </cell>
          <cell r="L228" t="str">
            <v>CC</v>
          </cell>
          <cell r="M228">
            <v>80771426</v>
          </cell>
          <cell r="N228" t="str">
            <v>JOSE LEONARDO CRISTANCHO CASTAÑO</v>
          </cell>
          <cell r="O228" t="str">
            <v>CONTRATO DE PRESTACION DE SERVICIOS PROFESIONALES</v>
          </cell>
          <cell r="P228">
            <v>179</v>
          </cell>
          <cell r="Q228">
            <v>43501</v>
          </cell>
          <cell r="R228" t="str">
            <v>(Cód. 66) Prestar servicios profesionales al Instituto Distrital de Patrimonio Cultural en la ejecución de los procesos de mediación y generación de contenidos pedagógicos del portafolio de servicios educativos y culturales del Museo de Bogotá.</v>
          </cell>
          <cell r="S228">
            <v>12060000</v>
          </cell>
          <cell r="T228">
            <v>0</v>
          </cell>
          <cell r="U228">
            <v>0</v>
          </cell>
          <cell r="V228">
            <v>12060000</v>
          </cell>
        </row>
        <row r="229">
          <cell r="I229">
            <v>231</v>
          </cell>
          <cell r="J229">
            <v>230</v>
          </cell>
          <cell r="K229">
            <v>43501</v>
          </cell>
          <cell r="L229" t="str">
            <v>CC</v>
          </cell>
          <cell r="M229">
            <v>79782966</v>
          </cell>
          <cell r="N229" t="str">
            <v>WILSON  PACHECO GUTIERREZ</v>
          </cell>
          <cell r="O229" t="str">
            <v>CONTRATO DE PRESTACION DE SERVICIOS DE APOYO A LA GESTION</v>
          </cell>
          <cell r="P229">
            <v>178</v>
          </cell>
          <cell r="Q229">
            <v>43501</v>
          </cell>
          <cell r="R229" t="str">
            <v>(Cód. 100) Prestar servicios de apoyo a la gestión al Instituto Distrital de Patrimonio Cultural como guía de los recorridos urbanos realizados en el marco de la estrategia de apropiación social del patrimonio cultural.</v>
          </cell>
          <cell r="S229">
            <v>15000000</v>
          </cell>
          <cell r="T229">
            <v>0</v>
          </cell>
          <cell r="U229">
            <v>0</v>
          </cell>
          <cell r="V229">
            <v>15000000</v>
          </cell>
        </row>
        <row r="230">
          <cell r="I230">
            <v>232</v>
          </cell>
          <cell r="J230">
            <v>226</v>
          </cell>
          <cell r="K230">
            <v>43501</v>
          </cell>
          <cell r="L230" t="str">
            <v>CC</v>
          </cell>
          <cell r="M230">
            <v>41323858</v>
          </cell>
          <cell r="N230" t="str">
            <v>SONIA ESPERANZA CUARTAS BECERRA</v>
          </cell>
          <cell r="O230" t="str">
            <v>CONTRATO DE PRESTACION DE SERVICIOS DE APOYO A LA GESTION</v>
          </cell>
          <cell r="P230">
            <v>180</v>
          </cell>
          <cell r="Q230">
            <v>43501</v>
          </cell>
          <cell r="R230" t="str">
            <v>(Cód. 108) Prestar servicios de apoyo a la gestión al Instituto Distrital de Patrimonio Cultural como guía de los recorridos urbanos realizados en el marco de la estrategia de apropiación social del patrimonio cultural.</v>
          </cell>
          <cell r="S230">
            <v>15000000</v>
          </cell>
          <cell r="T230">
            <v>0</v>
          </cell>
          <cell r="U230">
            <v>0</v>
          </cell>
          <cell r="V230">
            <v>15000000</v>
          </cell>
        </row>
        <row r="231">
          <cell r="I231">
            <v>192</v>
          </cell>
          <cell r="J231">
            <v>246</v>
          </cell>
          <cell r="K231">
            <v>43502</v>
          </cell>
          <cell r="L231" t="str">
            <v>CC</v>
          </cell>
          <cell r="M231">
            <v>52046556</v>
          </cell>
          <cell r="N231" t="str">
            <v>NUBIA NAYIBE VELASCO CALVO</v>
          </cell>
          <cell r="O231" t="str">
            <v>CONTRATO DE PRESTACION DE SERVICIOS PROFESIONALES</v>
          </cell>
          <cell r="P231">
            <v>185</v>
          </cell>
          <cell r="Q231">
            <v>43497</v>
          </cell>
          <cell r="R231" t="str">
            <v>(Cód. 91) Prestar servicios profesionales al Instituto Distrital de Patrimonio Cultural para llevar a cabo las actividades periodísticas requeridas en la estrategia de apropiación social del patrimonio cultural.</v>
          </cell>
          <cell r="S231">
            <v>66000000</v>
          </cell>
          <cell r="T231">
            <v>0</v>
          </cell>
          <cell r="U231">
            <v>0</v>
          </cell>
          <cell r="V231">
            <v>66000000</v>
          </cell>
        </row>
        <row r="232">
          <cell r="I232">
            <v>248</v>
          </cell>
          <cell r="J232">
            <v>243</v>
          </cell>
          <cell r="K232">
            <v>43502</v>
          </cell>
          <cell r="L232" t="str">
            <v>CC</v>
          </cell>
          <cell r="M232">
            <v>51832188</v>
          </cell>
          <cell r="N232" t="str">
            <v>MARCELA  TRISTANCHO MANTILLA</v>
          </cell>
          <cell r="O232" t="str">
            <v>CONTRATO DE PRESTACION DE SERVICIOS PROFESIONALES</v>
          </cell>
          <cell r="P232">
            <v>217</v>
          </cell>
          <cell r="Q232">
            <v>43502</v>
          </cell>
          <cell r="R232" t="str">
            <v>(Cód. 74) Prestar servicios profesionales al Instituto Distrital de Patrimonio Cultural para orientar la planeación e implementación de la oferta de servicios educativos y culturales del Museo de Bogotá.</v>
          </cell>
          <cell r="S232">
            <v>19860000</v>
          </cell>
          <cell r="T232">
            <v>0</v>
          </cell>
          <cell r="U232">
            <v>0</v>
          </cell>
          <cell r="V232">
            <v>19860000</v>
          </cell>
        </row>
        <row r="233">
          <cell r="I233">
            <v>249</v>
          </cell>
          <cell r="J233">
            <v>239</v>
          </cell>
          <cell r="K233">
            <v>43502</v>
          </cell>
          <cell r="L233" t="str">
            <v>CC</v>
          </cell>
          <cell r="M233">
            <v>52806863</v>
          </cell>
          <cell r="N233" t="str">
            <v>MARIA ANTONIETA GARCIA RESTREPO</v>
          </cell>
          <cell r="O233" t="str">
            <v>CONTRATO DE PRESTACION DE SERVICIOS PROFESIONALES</v>
          </cell>
          <cell r="P233">
            <v>214</v>
          </cell>
          <cell r="Q233">
            <v>43502</v>
          </cell>
          <cell r="R233" t="str">
            <v>(Cód. 75) Prestar servicios profesionales al Instituto Distrital de Patrimonio Cultural para llevar a cabo las actividades de registro y catalogación de la colección del Museo de Bogotá.</v>
          </cell>
          <cell r="S233">
            <v>16380000</v>
          </cell>
          <cell r="T233">
            <v>0</v>
          </cell>
          <cell r="U233">
            <v>0</v>
          </cell>
          <cell r="V233">
            <v>16380000</v>
          </cell>
        </row>
        <row r="234">
          <cell r="I234">
            <v>250</v>
          </cell>
          <cell r="J234">
            <v>242</v>
          </cell>
          <cell r="K234">
            <v>43502</v>
          </cell>
          <cell r="L234" t="str">
            <v>CC</v>
          </cell>
          <cell r="M234">
            <v>52452367</v>
          </cell>
          <cell r="N234" t="str">
            <v>XIMENA PAOLA BERNAL CASTILLO</v>
          </cell>
          <cell r="O234" t="str">
            <v>CONTRATO DE PRESTACION DE SERVICIOS PROFESIONALES</v>
          </cell>
          <cell r="P234">
            <v>141</v>
          </cell>
          <cell r="Q234">
            <v>43502</v>
          </cell>
          <cell r="R234" t="str">
            <v>(Cód. 109) Prestar servicios profesionales al Instituto Distrital de Patrimonio Cultural para orientar la ejecución de los proyectos editoriales y de investigación desarrollados en el marco de la estrategia de apropiación social del patrimonio cultural.</v>
          </cell>
          <cell r="S234">
            <v>85333333</v>
          </cell>
          <cell r="T234">
            <v>0</v>
          </cell>
          <cell r="U234">
            <v>0</v>
          </cell>
          <cell r="V234">
            <v>85333333</v>
          </cell>
        </row>
        <row r="235">
          <cell r="I235">
            <v>243</v>
          </cell>
          <cell r="J235">
            <v>251</v>
          </cell>
          <cell r="K235">
            <v>43503</v>
          </cell>
          <cell r="L235" t="str">
            <v>CC</v>
          </cell>
          <cell r="M235">
            <v>52258663</v>
          </cell>
          <cell r="N235" t="str">
            <v>IRENE CAROLINA CORREDOR ROJAS</v>
          </cell>
          <cell r="O235" t="str">
            <v>CONTRATO DE PRESTACION DE SERVICIOS PROFESIONALES</v>
          </cell>
          <cell r="P235">
            <v>228</v>
          </cell>
          <cell r="Q235">
            <v>43504</v>
          </cell>
          <cell r="R235" t="str">
            <v>(Cód. 60) Prestar servicios profesionales al Instituto Distrital de Patrimonio Cultural para orientar los procesos museográficos requeridos por el Museo de Bogotá.</v>
          </cell>
          <cell r="S235">
            <v>19860000</v>
          </cell>
          <cell r="T235">
            <v>0</v>
          </cell>
          <cell r="U235">
            <v>0</v>
          </cell>
          <cell r="V235">
            <v>19860000</v>
          </cell>
        </row>
        <row r="236">
          <cell r="I236">
            <v>264</v>
          </cell>
          <cell r="J236">
            <v>265</v>
          </cell>
          <cell r="K236">
            <v>43504</v>
          </cell>
          <cell r="L236" t="str">
            <v>CC</v>
          </cell>
          <cell r="M236">
            <v>53083890</v>
          </cell>
          <cell r="N236" t="str">
            <v>DIANA PAOLA GAITAN MARTINEZ</v>
          </cell>
          <cell r="O236" t="str">
            <v>CONTRATO DE PRESTACION DE SERVICIOS PROFESIONALES</v>
          </cell>
          <cell r="P236">
            <v>239</v>
          </cell>
          <cell r="Q236">
            <v>43507</v>
          </cell>
          <cell r="R236" t="str">
            <v>(Cód. 86) Prestar servicios profesionales al Instituto Distrital de Patrimonio Cultural para apoyar la formulación, actualización, seguimiento al proceso de planeación y las actividades relacionadas con el sistema integrado de gestión, de la Subdirección de Divulgación y Apropiación del Patrimonio.</v>
          </cell>
          <cell r="S236">
            <v>72800000</v>
          </cell>
          <cell r="T236">
            <v>0</v>
          </cell>
          <cell r="U236">
            <v>0</v>
          </cell>
          <cell r="V236">
            <v>72800000</v>
          </cell>
        </row>
        <row r="237">
          <cell r="I237">
            <v>244</v>
          </cell>
          <cell r="J237">
            <v>270</v>
          </cell>
          <cell r="K237">
            <v>43507</v>
          </cell>
          <cell r="L237" t="str">
            <v>CC</v>
          </cell>
          <cell r="M237">
            <v>1032385201</v>
          </cell>
          <cell r="N237" t="str">
            <v>MONICA ANGEL LASCAR</v>
          </cell>
          <cell r="O237" t="str">
            <v>CONTRATO DE PRESTACION DE SERVICIOS PROFESIONALES</v>
          </cell>
          <cell r="P237">
            <v>229</v>
          </cell>
          <cell r="Q237">
            <v>43503</v>
          </cell>
          <cell r="R237" t="str">
            <v>(Cód. 82) Prestar servicios profesionales al Instituto Distrital de Patrimonio Cultural para apoyar el desarrollo del plan de exposiciones temporales del Museo de Bogotá y los requerimientos asociados a los planes y proyectos especiales de la entidad.</v>
          </cell>
          <cell r="S237">
            <v>11460000</v>
          </cell>
          <cell r="T237">
            <v>0</v>
          </cell>
          <cell r="U237">
            <v>0</v>
          </cell>
          <cell r="V237">
            <v>11460000</v>
          </cell>
        </row>
        <row r="238">
          <cell r="I238">
            <v>259</v>
          </cell>
          <cell r="J238">
            <v>269</v>
          </cell>
          <cell r="K238">
            <v>43507</v>
          </cell>
          <cell r="L238" t="str">
            <v>CC</v>
          </cell>
          <cell r="M238">
            <v>79521473</v>
          </cell>
          <cell r="N238" t="str">
            <v>EDGARD FRANCISCO GUERRERO GIRALDO</v>
          </cell>
          <cell r="O238" t="str">
            <v>CONTRATO DE PRESTACION DE SERVICIOS PROFESIONALES</v>
          </cell>
          <cell r="P238">
            <v>243</v>
          </cell>
          <cell r="Q238">
            <v>43507</v>
          </cell>
          <cell r="R238" t="str">
            <v>(Cód. 52) Prestar servicios profesionales al Instituto Distrital de Patrimonio Cultural para apoyar la planificación y ejecución del programa de recorridos urbanos en el marco de la estrategia de apropiación social del patrimonio cultural.</v>
          </cell>
          <cell r="S238">
            <v>46000000</v>
          </cell>
          <cell r="T238">
            <v>0</v>
          </cell>
          <cell r="U238">
            <v>0</v>
          </cell>
          <cell r="V238">
            <v>46000000</v>
          </cell>
        </row>
        <row r="239">
          <cell r="I239">
            <v>262</v>
          </cell>
          <cell r="J239">
            <v>271</v>
          </cell>
          <cell r="K239">
            <v>43507</v>
          </cell>
          <cell r="L239" t="str">
            <v>CC</v>
          </cell>
          <cell r="M239">
            <v>63557963</v>
          </cell>
          <cell r="N239" t="str">
            <v>DIANA CAROLINA RUA RANGEL</v>
          </cell>
          <cell r="O239" t="str">
            <v>CONTRATO DE PRESTACION DE SERVICIOS PROFESIONALES</v>
          </cell>
          <cell r="P239">
            <v>240</v>
          </cell>
          <cell r="Q239">
            <v>43507</v>
          </cell>
          <cell r="R239" t="str">
            <v>(Cód. 24) Prestar servicios profesionales como abogado al Instituto Distrital de Patrimonio Cultural, para el acompañamiento jurídico de la Subdirección de Divulgación y Apropiación del Patrimonio acorde con la competencia funcional de la dependencia, manteniendo los  procesos y procedimientos de gestión jurídica definidos en la entidad.</v>
          </cell>
          <cell r="S239">
            <v>66880000</v>
          </cell>
          <cell r="T239">
            <v>0</v>
          </cell>
          <cell r="U239">
            <v>0</v>
          </cell>
          <cell r="V239">
            <v>66880000</v>
          </cell>
        </row>
        <row r="240">
          <cell r="I240">
            <v>263</v>
          </cell>
          <cell r="J240">
            <v>268</v>
          </cell>
          <cell r="K240">
            <v>43507</v>
          </cell>
          <cell r="L240" t="str">
            <v>CC</v>
          </cell>
          <cell r="M240">
            <v>79594094</v>
          </cell>
          <cell r="N240" t="str">
            <v>JORGE ELKIN BUITRAGO ARENAS</v>
          </cell>
          <cell r="O240" t="str">
            <v>CONTRATO DE PRESTACION DE SERVICIOS PROFESIONALES</v>
          </cell>
          <cell r="P240">
            <v>238</v>
          </cell>
          <cell r="Q240">
            <v>43507</v>
          </cell>
          <cell r="R240" t="str">
            <v>(Cód. 49) Prestar servicios profesionales al Instituto Distrital de Patrimonio Cultural para apoyar los procesos de ejecución y control presupuestal y financiera, así como las actividades relacionadas con la gestión administrativa de la Subdirección de Divulgación y Apropiación del Patrimonio.</v>
          </cell>
          <cell r="S240">
            <v>66880000</v>
          </cell>
          <cell r="T240">
            <v>0</v>
          </cell>
          <cell r="U240">
            <v>0</v>
          </cell>
          <cell r="V240">
            <v>66880000</v>
          </cell>
        </row>
        <row r="241">
          <cell r="I241">
            <v>247</v>
          </cell>
          <cell r="J241">
            <v>277</v>
          </cell>
          <cell r="K241">
            <v>43508</v>
          </cell>
          <cell r="L241" t="str">
            <v>CE</v>
          </cell>
          <cell r="M241">
            <v>439801</v>
          </cell>
          <cell r="N241" t="str">
            <v>CLEMENT GUILLAUME ROUX</v>
          </cell>
          <cell r="O241" t="str">
            <v>CONTRATO DE PRESTACION DE SERVICIOS PROFESIONALES</v>
          </cell>
          <cell r="P241">
            <v>237</v>
          </cell>
          <cell r="Q241">
            <v>43507</v>
          </cell>
          <cell r="R241" t="str">
            <v>(Cód. 33) Prestar servicios profesionales al Instituto Distrital de Patrimonio Cultural para apoyar las actividades de comunicación y generación de contenidos requeridos para el desarrollo de la estrategia de apropiación social del patrimonio cultural.</v>
          </cell>
          <cell r="S241">
            <v>16740000</v>
          </cell>
          <cell r="T241">
            <v>0</v>
          </cell>
          <cell r="U241">
            <v>0</v>
          </cell>
          <cell r="V241">
            <v>16740000</v>
          </cell>
        </row>
        <row r="242">
          <cell r="I242">
            <v>283</v>
          </cell>
          <cell r="J242">
            <v>274</v>
          </cell>
          <cell r="K242">
            <v>43508</v>
          </cell>
          <cell r="L242" t="str">
            <v>CC</v>
          </cell>
          <cell r="M242">
            <v>53016690</v>
          </cell>
          <cell r="N242" t="str">
            <v>ANGIE MILENA MORALES MAURY</v>
          </cell>
          <cell r="O242" t="str">
            <v>CONTRATO DE PRESTACION DE SERVICIOS PROFESIONALES</v>
          </cell>
          <cell r="P242">
            <v>245</v>
          </cell>
          <cell r="Q242">
            <v>43508</v>
          </cell>
          <cell r="R242" t="str">
            <v>(Cód. 433) Prestar servicios profesionales al Instituto Distrital de Patrimonio Cultural, apoyando a la Subdirección de Divulgación y Apropiación del Patrimonio en la administración de los aplicativos y gestión de alianzas que involucren el componente de TIC¿s en la divulgación del patrimonio cultural.</v>
          </cell>
          <cell r="S242">
            <v>44800000</v>
          </cell>
          <cell r="T242">
            <v>0</v>
          </cell>
          <cell r="U242">
            <v>0</v>
          </cell>
          <cell r="V242">
            <v>44800000</v>
          </cell>
        </row>
        <row r="243">
          <cell r="I243">
            <v>288</v>
          </cell>
          <cell r="J243">
            <v>283</v>
          </cell>
          <cell r="K243">
            <v>43511</v>
          </cell>
          <cell r="L243" t="str">
            <v>CC</v>
          </cell>
          <cell r="M243">
            <v>1014245837</v>
          </cell>
          <cell r="N243" t="str">
            <v>MARIA FARIDE PARDO SHAKER</v>
          </cell>
          <cell r="O243" t="str">
            <v>CONTRATO DE PRESTACION DE SERVICIOS PROFESIONALES</v>
          </cell>
          <cell r="P243">
            <v>252</v>
          </cell>
          <cell r="Q243">
            <v>43511</v>
          </cell>
          <cell r="R243" t="str">
            <v>(Cód. 77) Prestar servicios profesionales al Instituto Distrital de Patrimonio Cultural para apoyar las actividades de comunicación interna y organización de archivo fotográfico de la Subdirección de Divulgación y Apropiación del Patrimonio.</v>
          </cell>
          <cell r="S243">
            <v>40950000</v>
          </cell>
          <cell r="T243">
            <v>0</v>
          </cell>
          <cell r="U243">
            <v>0</v>
          </cell>
          <cell r="V243">
            <v>40950000</v>
          </cell>
        </row>
        <row r="244">
          <cell r="I244">
            <v>222</v>
          </cell>
          <cell r="J244">
            <v>282</v>
          </cell>
          <cell r="K244">
            <v>43511</v>
          </cell>
          <cell r="L244" t="str">
            <v>CC</v>
          </cell>
          <cell r="M244">
            <v>1022341455</v>
          </cell>
          <cell r="N244" t="str">
            <v>FABIAN ELIECER CERVERA LINARES</v>
          </cell>
          <cell r="O244" t="str">
            <v>CONTRATO DE PRESTACION DE SERVICIOS PROFESIONALES</v>
          </cell>
          <cell r="P244">
            <v>244</v>
          </cell>
          <cell r="Q244">
            <v>43509</v>
          </cell>
          <cell r="R244" t="str">
            <v>(Cód. 47) Prestar servicios profesionales al Instituto Distrital de Patrimonio Cultural para apoyar los procesos documentales del Centro de Documentación.</v>
          </cell>
          <cell r="S244">
            <v>42000000</v>
          </cell>
          <cell r="T244">
            <v>0</v>
          </cell>
          <cell r="U244">
            <v>0</v>
          </cell>
          <cell r="V244">
            <v>42000000</v>
          </cell>
        </row>
        <row r="245">
          <cell r="I245">
            <v>285</v>
          </cell>
          <cell r="J245">
            <v>285</v>
          </cell>
          <cell r="K245">
            <v>43511</v>
          </cell>
          <cell r="L245" t="str">
            <v>CC</v>
          </cell>
          <cell r="M245">
            <v>80084539</v>
          </cell>
          <cell r="N245" t="str">
            <v>ANGEL ENRIQUE MARTINEZ RUIZ</v>
          </cell>
          <cell r="O245" t="str">
            <v>CONTRATO DE PRESTACION DE SERVICIOS PROFESIONALES</v>
          </cell>
          <cell r="P245">
            <v>247</v>
          </cell>
          <cell r="Q245">
            <v>43514</v>
          </cell>
          <cell r="R245" t="str">
            <v>(Cód. 37) Prestar servicios profesionales al Instituto Distrital de Patrimonio Cultural en las actividades relacionadas con el desarrollo del guion curatorial para la exposición temporal del Museo de Bogotá sobre el Bicentenario de la independencia en la ciudad de Bogotá.</v>
          </cell>
          <cell r="S245">
            <v>52000000</v>
          </cell>
          <cell r="T245">
            <v>0</v>
          </cell>
          <cell r="U245">
            <v>0</v>
          </cell>
          <cell r="V245">
            <v>52000000</v>
          </cell>
        </row>
        <row r="246">
          <cell r="I246">
            <v>266</v>
          </cell>
          <cell r="J246">
            <v>295</v>
          </cell>
          <cell r="K246">
            <v>43515</v>
          </cell>
          <cell r="L246" t="str">
            <v>CC</v>
          </cell>
          <cell r="M246">
            <v>79133461</v>
          </cell>
          <cell r="N246" t="str">
            <v>GIOVANY ANDRE ALFONSO FORERO</v>
          </cell>
          <cell r="O246" t="str">
            <v>CONTRATO DE PRESTACION DE SERVICIOS DE APOYO A LA GESTION</v>
          </cell>
          <cell r="P246">
            <v>253</v>
          </cell>
          <cell r="Q246">
            <v>43514</v>
          </cell>
          <cell r="R246" t="str">
            <v>(Cód. 54) Prestar servicios de apoyo a la gestión al Instituto Distrital de Patrimonio Cultural en la ejecución de recorridos naturales realizados en el marco de la estrategia de apropiación social del patrimonio cultural.</v>
          </cell>
          <cell r="S246">
            <v>10000000</v>
          </cell>
          <cell r="T246">
            <v>0</v>
          </cell>
          <cell r="U246">
            <v>0</v>
          </cell>
          <cell r="V246">
            <v>10000000</v>
          </cell>
        </row>
        <row r="247">
          <cell r="I247">
            <v>284</v>
          </cell>
          <cell r="J247">
            <v>300</v>
          </cell>
          <cell r="K247">
            <v>43516</v>
          </cell>
          <cell r="L247" t="str">
            <v>CC</v>
          </cell>
          <cell r="M247">
            <v>52439734</v>
          </cell>
          <cell r="N247" t="str">
            <v>BIBIANA  CASTRO RAMIREZ</v>
          </cell>
          <cell r="O247" t="str">
            <v>CONTRATO DE PRESTACION DE SERVICIOS PROFESIONALES</v>
          </cell>
          <cell r="P247">
            <v>249</v>
          </cell>
          <cell r="Q247">
            <v>43515</v>
          </cell>
          <cell r="R247" t="str">
            <v>(Cód. 26) Prestar servicios profesionales  al Instituto Distrital de Patrimonio Cultural para llevar a cabo los procesos de corrección de estilo de los textos y publicaciones adelantadas por la Subdirección de Divulgación y Apropiación del Patrimonio.</v>
          </cell>
          <cell r="S247">
            <v>20000000</v>
          </cell>
          <cell r="T247">
            <v>0</v>
          </cell>
          <cell r="U247">
            <v>0</v>
          </cell>
          <cell r="V247">
            <v>20000000</v>
          </cell>
        </row>
        <row r="249">
          <cell r="I249">
            <v>260</v>
          </cell>
          <cell r="J249">
            <v>263</v>
          </cell>
        </row>
        <row r="250">
          <cell r="I250">
            <v>20</v>
          </cell>
          <cell r="J250">
            <v>30</v>
          </cell>
        </row>
        <row r="251">
          <cell r="I251">
            <v>90</v>
          </cell>
          <cell r="J251">
            <v>83</v>
          </cell>
        </row>
        <row r="252">
          <cell r="I252">
            <v>91</v>
          </cell>
          <cell r="J252">
            <v>80</v>
          </cell>
        </row>
        <row r="253">
          <cell r="I253">
            <v>92</v>
          </cell>
          <cell r="J253">
            <v>84</v>
          </cell>
        </row>
        <row r="254">
          <cell r="I254">
            <v>124</v>
          </cell>
          <cell r="J254">
            <v>149</v>
          </cell>
        </row>
        <row r="255">
          <cell r="I255">
            <v>125</v>
          </cell>
          <cell r="J255">
            <v>151</v>
          </cell>
        </row>
        <row r="256">
          <cell r="I256">
            <v>166</v>
          </cell>
          <cell r="J256">
            <v>160</v>
          </cell>
        </row>
        <row r="257">
          <cell r="I257">
            <v>181</v>
          </cell>
          <cell r="J257">
            <v>178</v>
          </cell>
        </row>
        <row r="258">
          <cell r="I258">
            <v>182</v>
          </cell>
          <cell r="J258">
            <v>195</v>
          </cell>
        </row>
        <row r="259">
          <cell r="I259">
            <v>216</v>
          </cell>
          <cell r="J259">
            <v>212</v>
          </cell>
        </row>
        <row r="260">
          <cell r="I260">
            <v>226</v>
          </cell>
          <cell r="J260">
            <v>207</v>
          </cell>
        </row>
        <row r="261">
          <cell r="I261">
            <v>238</v>
          </cell>
          <cell r="J261">
            <v>205</v>
          </cell>
        </row>
        <row r="262">
          <cell r="I262">
            <v>239</v>
          </cell>
          <cell r="J262">
            <v>204</v>
          </cell>
        </row>
        <row r="263">
          <cell r="I263">
            <v>240</v>
          </cell>
          <cell r="J263">
            <v>222</v>
          </cell>
        </row>
        <row r="264">
          <cell r="I264">
            <v>245</v>
          </cell>
          <cell r="J264">
            <v>233</v>
          </cell>
        </row>
        <row r="265">
          <cell r="I265">
            <v>267</v>
          </cell>
          <cell r="J265">
            <v>267</v>
          </cell>
        </row>
        <row r="266">
          <cell r="I266">
            <v>271</v>
          </cell>
          <cell r="J266">
            <v>278</v>
          </cell>
        </row>
        <row r="267">
          <cell r="I267">
            <v>4</v>
          </cell>
          <cell r="J267">
            <v>297</v>
          </cell>
        </row>
        <row r="268">
          <cell r="I268">
            <v>4</v>
          </cell>
          <cell r="J268">
            <v>224</v>
          </cell>
        </row>
        <row r="269">
          <cell r="I269">
            <v>4</v>
          </cell>
          <cell r="J269">
            <v>255</v>
          </cell>
        </row>
        <row r="270">
          <cell r="I270">
            <v>4</v>
          </cell>
          <cell r="J270">
            <v>272</v>
          </cell>
        </row>
        <row r="271">
          <cell r="I271">
            <v>4</v>
          </cell>
          <cell r="J271">
            <v>286</v>
          </cell>
        </row>
        <row r="272">
          <cell r="I272">
            <v>4</v>
          </cell>
          <cell r="J272">
            <v>289</v>
          </cell>
        </row>
        <row r="273">
          <cell r="I273">
            <v>4</v>
          </cell>
          <cell r="J273">
            <v>291</v>
          </cell>
        </row>
        <row r="274">
          <cell r="I274">
            <v>4</v>
          </cell>
          <cell r="J274">
            <v>157</v>
          </cell>
        </row>
        <row r="275">
          <cell r="I275">
            <v>4</v>
          </cell>
          <cell r="J275">
            <v>3</v>
          </cell>
        </row>
        <row r="276">
          <cell r="I276">
            <v>4</v>
          </cell>
          <cell r="J276">
            <v>132</v>
          </cell>
        </row>
        <row r="277">
          <cell r="I277">
            <v>4</v>
          </cell>
          <cell r="J277">
            <v>57</v>
          </cell>
        </row>
        <row r="278">
          <cell r="I278">
            <v>4</v>
          </cell>
          <cell r="J278">
            <v>58</v>
          </cell>
        </row>
        <row r="279">
          <cell r="I279">
            <v>4</v>
          </cell>
          <cell r="J279">
            <v>131</v>
          </cell>
        </row>
        <row r="280">
          <cell r="I280">
            <v>21</v>
          </cell>
          <cell r="J280">
            <v>20</v>
          </cell>
        </row>
        <row r="281">
          <cell r="I281">
            <v>22</v>
          </cell>
          <cell r="J281">
            <v>11</v>
          </cell>
        </row>
        <row r="282">
          <cell r="I282">
            <v>23</v>
          </cell>
          <cell r="J282">
            <v>8</v>
          </cell>
        </row>
        <row r="283">
          <cell r="I283">
            <v>24</v>
          </cell>
          <cell r="J283">
            <v>7</v>
          </cell>
        </row>
        <row r="284">
          <cell r="I284">
            <v>25</v>
          </cell>
          <cell r="J284">
            <v>159</v>
          </cell>
        </row>
        <row r="285">
          <cell r="I285">
            <v>26</v>
          </cell>
          <cell r="J285">
            <v>10</v>
          </cell>
        </row>
        <row r="286">
          <cell r="I286">
            <v>27</v>
          </cell>
          <cell r="J286">
            <v>9</v>
          </cell>
        </row>
        <row r="287">
          <cell r="I287">
            <v>28</v>
          </cell>
          <cell r="J287">
            <v>6</v>
          </cell>
        </row>
        <row r="288">
          <cell r="I288">
            <v>54</v>
          </cell>
          <cell r="J288">
            <v>31</v>
          </cell>
        </row>
        <row r="289">
          <cell r="I289">
            <v>55</v>
          </cell>
          <cell r="J289">
            <v>32</v>
          </cell>
        </row>
        <row r="290">
          <cell r="I290">
            <v>56</v>
          </cell>
          <cell r="J290">
            <v>34</v>
          </cell>
        </row>
        <row r="291">
          <cell r="I291">
            <v>57</v>
          </cell>
          <cell r="J291">
            <v>215</v>
          </cell>
        </row>
        <row r="292">
          <cell r="I292">
            <v>60</v>
          </cell>
          <cell r="J292">
            <v>14</v>
          </cell>
        </row>
        <row r="293">
          <cell r="I293">
            <v>61</v>
          </cell>
          <cell r="J293">
            <v>15</v>
          </cell>
        </row>
        <row r="294">
          <cell r="I294">
            <v>62</v>
          </cell>
          <cell r="J294">
            <v>12</v>
          </cell>
        </row>
        <row r="295">
          <cell r="I295">
            <v>64</v>
          </cell>
          <cell r="J295">
            <v>13</v>
          </cell>
        </row>
        <row r="296">
          <cell r="I296">
            <v>66</v>
          </cell>
          <cell r="J296">
            <v>40</v>
          </cell>
        </row>
        <row r="297">
          <cell r="I297">
            <v>67</v>
          </cell>
          <cell r="J297">
            <v>82</v>
          </cell>
        </row>
        <row r="298">
          <cell r="I298">
            <v>68</v>
          </cell>
          <cell r="J298">
            <v>51</v>
          </cell>
        </row>
        <row r="299">
          <cell r="I299">
            <v>69</v>
          </cell>
          <cell r="J299">
            <v>55</v>
          </cell>
        </row>
        <row r="300">
          <cell r="I300">
            <v>70</v>
          </cell>
          <cell r="J300">
            <v>81</v>
          </cell>
        </row>
        <row r="301">
          <cell r="I301">
            <v>71</v>
          </cell>
          <cell r="J301">
            <v>103</v>
          </cell>
        </row>
        <row r="302">
          <cell r="I302">
            <v>83</v>
          </cell>
          <cell r="J302">
            <v>105</v>
          </cell>
        </row>
        <row r="303">
          <cell r="I303">
            <v>84</v>
          </cell>
          <cell r="J303">
            <v>53</v>
          </cell>
        </row>
        <row r="304">
          <cell r="I304">
            <v>85</v>
          </cell>
          <cell r="J304">
            <v>41</v>
          </cell>
        </row>
        <row r="305">
          <cell r="I305">
            <v>86</v>
          </cell>
          <cell r="J305">
            <v>33</v>
          </cell>
        </row>
        <row r="306">
          <cell r="I306">
            <v>87</v>
          </cell>
          <cell r="J306">
            <v>112</v>
          </cell>
        </row>
        <row r="307">
          <cell r="I307">
            <v>100</v>
          </cell>
          <cell r="J307">
            <v>266</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132">
          <cell r="N132">
            <v>14</v>
          </cell>
          <cell r="O132">
            <v>60</v>
          </cell>
          <cell r="P132" t="str">
            <v>ANDERSON  MARTINEZ VAHOS</v>
          </cell>
          <cell r="Q132" t="str">
            <v>CONTRATO DE PRESTACION DE SERVICIOS PROFESIONALES</v>
          </cell>
          <cell r="R132">
            <v>1</v>
          </cell>
          <cell r="S132" t="str">
            <v>VIGENTE</v>
          </cell>
          <cell r="T132">
            <v>5460000</v>
          </cell>
        </row>
        <row r="133">
          <cell r="N133">
            <v>12</v>
          </cell>
          <cell r="O133">
            <v>62</v>
          </cell>
          <cell r="P133" t="str">
            <v>LEYSI YURANI GIRALDO MEDINA</v>
          </cell>
          <cell r="Q133" t="str">
            <v>CONTRATO DE PRESTACION DE SERVICIOS DE APOYO A LA GESTION</v>
          </cell>
          <cell r="R133">
            <v>2</v>
          </cell>
          <cell r="S133" t="str">
            <v>VIGENTE</v>
          </cell>
          <cell r="T133">
            <v>3050000</v>
          </cell>
        </row>
        <row r="134">
          <cell r="N134">
            <v>15</v>
          </cell>
          <cell r="O134">
            <v>61</v>
          </cell>
          <cell r="P134" t="str">
            <v>ANDRES  CARDENAS VILLAMIL</v>
          </cell>
          <cell r="Q134" t="str">
            <v>CONTRATO DE PRESTACION DE SERVICIOS PROFESIONALES</v>
          </cell>
          <cell r="R134">
            <v>4</v>
          </cell>
          <cell r="S134" t="str">
            <v>VIGENTE</v>
          </cell>
          <cell r="T134">
            <v>6800000</v>
          </cell>
        </row>
        <row r="135">
          <cell r="N135">
            <v>13</v>
          </cell>
          <cell r="O135">
            <v>64</v>
          </cell>
          <cell r="P135" t="str">
            <v>VICTOR MANUEL ALFONSO MEDINA</v>
          </cell>
          <cell r="Q135" t="str">
            <v>CONTRATO DE PRESTACION DE SERVICIOS DE APOYO A LA GESTION</v>
          </cell>
          <cell r="R135">
            <v>5</v>
          </cell>
          <cell r="S135" t="str">
            <v>VIGENTE</v>
          </cell>
          <cell r="T135">
            <v>3480000</v>
          </cell>
        </row>
        <row r="136">
          <cell r="N136">
            <v>6</v>
          </cell>
          <cell r="O136">
            <v>28</v>
          </cell>
          <cell r="P136" t="str">
            <v>HELBERT MAURICIO GUZMAN MATIAS</v>
          </cell>
          <cell r="Q136" t="str">
            <v>CONTRATO DE PRESTACION DE SERVICIOS PROFESIONALES</v>
          </cell>
          <cell r="R136">
            <v>6</v>
          </cell>
          <cell r="S136" t="str">
            <v>VIGENTE</v>
          </cell>
          <cell r="T136">
            <v>3730000</v>
          </cell>
        </row>
        <row r="137">
          <cell r="N137">
            <v>7</v>
          </cell>
          <cell r="O137">
            <v>24</v>
          </cell>
          <cell r="P137" t="str">
            <v>HELBER AURELIO SILVA LEGUIZAMON</v>
          </cell>
          <cell r="Q137" t="str">
            <v>CONTRATO DE PRESTACION DE SERVICIOS PROFESIONALES</v>
          </cell>
          <cell r="R137">
            <v>7</v>
          </cell>
          <cell r="S137" t="str">
            <v>VIGENTE</v>
          </cell>
          <cell r="T137">
            <v>3700000</v>
          </cell>
        </row>
        <row r="138">
          <cell r="N138">
            <v>10</v>
          </cell>
          <cell r="O138">
            <v>26</v>
          </cell>
          <cell r="P138" t="str">
            <v>SANDRA YANETH ROMO BENAVIDES</v>
          </cell>
          <cell r="Q138" t="str">
            <v>CONTRATO DE PRESTACION DE SERVICIOS PROFESIONALES</v>
          </cell>
          <cell r="R138">
            <v>8</v>
          </cell>
          <cell r="S138" t="str">
            <v>VIGENTE</v>
          </cell>
          <cell r="T138">
            <v>6390000</v>
          </cell>
        </row>
        <row r="139">
          <cell r="N139">
            <v>9</v>
          </cell>
          <cell r="O139">
            <v>27</v>
          </cell>
          <cell r="P139" t="str">
            <v>DIANA MARCELA RAMIREZ CASTILLO</v>
          </cell>
          <cell r="Q139" t="str">
            <v>CONTRATO DE PRESTACION DE SERVICIOS PROFESIONALES</v>
          </cell>
          <cell r="R139">
            <v>9</v>
          </cell>
          <cell r="S139" t="str">
            <v>VIGENTE</v>
          </cell>
          <cell r="T139">
            <v>4000000</v>
          </cell>
        </row>
        <row r="140">
          <cell r="N140">
            <v>8</v>
          </cell>
          <cell r="O140">
            <v>23</v>
          </cell>
          <cell r="P140" t="str">
            <v>ADRIANA  BERNAO GUTIERREZ</v>
          </cell>
          <cell r="Q140" t="str">
            <v>CONTRATO DE PRESTACION DE SERVICIOS PROFESIONALES</v>
          </cell>
          <cell r="R140">
            <v>10</v>
          </cell>
          <cell r="S140" t="str">
            <v>VIGENTE</v>
          </cell>
          <cell r="T140">
            <v>6200000</v>
          </cell>
        </row>
        <row r="141">
          <cell r="N141">
            <v>30</v>
          </cell>
          <cell r="O141">
            <v>20</v>
          </cell>
          <cell r="P141" t="str">
            <v>ORLANDO  ARIAS CAICEDO</v>
          </cell>
          <cell r="Q141" t="str">
            <v>CONTRATO DE PRESTACION DE SERVICIOS PROFESIONALES</v>
          </cell>
          <cell r="R141">
            <v>11</v>
          </cell>
          <cell r="S141" t="str">
            <v>VIGENTE</v>
          </cell>
          <cell r="T141">
            <v>4200000</v>
          </cell>
        </row>
        <row r="142">
          <cell r="N142">
            <v>20</v>
          </cell>
          <cell r="O142">
            <v>21</v>
          </cell>
          <cell r="P142" t="str">
            <v>OLGA LUCIA VERGARA ARENAS</v>
          </cell>
          <cell r="Q142" t="str">
            <v>CONTRATO DE PRESTACION DE SERVICIOS PROFESIONALES</v>
          </cell>
          <cell r="R142">
            <v>12</v>
          </cell>
          <cell r="S142" t="str">
            <v>VIGENTE</v>
          </cell>
          <cell r="T142">
            <v>4320000</v>
          </cell>
        </row>
        <row r="143">
          <cell r="N143">
            <v>11</v>
          </cell>
          <cell r="O143">
            <v>22</v>
          </cell>
          <cell r="P143" t="str">
            <v>KRISTHIAM ANDRES CARRIZOSA TRUJILLO</v>
          </cell>
          <cell r="Q143" t="str">
            <v>CONTRATO DE PRESTACION DE SERVICIOS DE APOYO A LA GESTION</v>
          </cell>
          <cell r="R143">
            <v>13</v>
          </cell>
          <cell r="S143" t="str">
            <v>VIGENTE</v>
          </cell>
          <cell r="T143">
            <v>2320000</v>
          </cell>
        </row>
        <row r="144">
          <cell r="N144">
            <v>31</v>
          </cell>
          <cell r="O144">
            <v>54</v>
          </cell>
          <cell r="P144" t="str">
            <v>RONALD  MORERA ESTEVEZ</v>
          </cell>
          <cell r="Q144" t="str">
            <v>CONTRATO DE PRESTACION DE SERVICIOS DE APOYO A LA GESTION</v>
          </cell>
          <cell r="R144">
            <v>27</v>
          </cell>
          <cell r="S144" t="str">
            <v>VIGENTE</v>
          </cell>
          <cell r="T144">
            <v>3090000</v>
          </cell>
        </row>
        <row r="145">
          <cell r="N145">
            <v>32</v>
          </cell>
          <cell r="O145">
            <v>55</v>
          </cell>
          <cell r="P145" t="str">
            <v>Oscar Mario Yusty Trujillo</v>
          </cell>
          <cell r="Q145" t="str">
            <v>CONTRATO DE PRESTACION DE SERVICIOS DE APOYO A LA GESTION</v>
          </cell>
          <cell r="R145">
            <v>28</v>
          </cell>
          <cell r="S145" t="str">
            <v>VIGENTE</v>
          </cell>
          <cell r="T145">
            <v>3090000</v>
          </cell>
        </row>
        <row r="146">
          <cell r="N146">
            <v>34</v>
          </cell>
          <cell r="O146">
            <v>56</v>
          </cell>
          <cell r="P146" t="str">
            <v>MAGALLY SUSANA MOREA PEÑA</v>
          </cell>
          <cell r="Q146" t="str">
            <v>CONTRATO DE PRESTACION DE SERVICIOS DE APOYO A LA GESTION</v>
          </cell>
          <cell r="R146">
            <v>29</v>
          </cell>
          <cell r="S146" t="str">
            <v>VIGENTE</v>
          </cell>
          <cell r="T146">
            <v>3090000</v>
          </cell>
        </row>
        <row r="147">
          <cell r="N147">
            <v>33</v>
          </cell>
          <cell r="O147">
            <v>86</v>
          </cell>
          <cell r="P147" t="str">
            <v>edwin alexander leon gonzalez</v>
          </cell>
          <cell r="Q147" t="str">
            <v>CONTRATO DE PRESTACION DE SERVICIOS DE APOYO A LA GESTION</v>
          </cell>
          <cell r="R147">
            <v>33</v>
          </cell>
          <cell r="S147" t="str">
            <v>VIGENTE</v>
          </cell>
          <cell r="T147">
            <v>2870000</v>
          </cell>
        </row>
        <row r="148">
          <cell r="N148">
            <v>51</v>
          </cell>
          <cell r="O148">
            <v>68</v>
          </cell>
          <cell r="P148" t="str">
            <v>IRMA  CASTAÑEDA RAMIREZ</v>
          </cell>
          <cell r="Q148" t="str">
            <v>CONTRATO DE PRESTACION DE SERVICIOS PROFESIONALES</v>
          </cell>
          <cell r="R148">
            <v>50</v>
          </cell>
          <cell r="S148" t="str">
            <v>VIGENTE</v>
          </cell>
          <cell r="T148">
            <v>5020000</v>
          </cell>
        </row>
        <row r="149">
          <cell r="N149">
            <v>41</v>
          </cell>
          <cell r="O149">
            <v>85</v>
          </cell>
          <cell r="P149" t="str">
            <v>ANGELA MARIA CASTRO CEPEDA</v>
          </cell>
          <cell r="Q149" t="str">
            <v>CONTRATO DE PRESTACION DE SERVICIOS PROFESIONALES</v>
          </cell>
          <cell r="R149">
            <v>57</v>
          </cell>
          <cell r="S149" t="str">
            <v>VIGENTE</v>
          </cell>
          <cell r="T149">
            <v>5000000</v>
          </cell>
        </row>
        <row r="150">
          <cell r="N150">
            <v>53</v>
          </cell>
          <cell r="O150">
            <v>84</v>
          </cell>
          <cell r="P150" t="str">
            <v>DAVID ALEXANDER WILCHES FLOREZ</v>
          </cell>
          <cell r="Q150" t="str">
            <v>CONTRATO DE PRESTACION DE SERVICIOS PROFESIONALES</v>
          </cell>
          <cell r="R150">
            <v>58</v>
          </cell>
          <cell r="S150" t="str">
            <v>VIGENTE</v>
          </cell>
          <cell r="T150">
            <v>5460000</v>
          </cell>
        </row>
        <row r="151">
          <cell r="N151">
            <v>40</v>
          </cell>
          <cell r="O151">
            <v>66</v>
          </cell>
          <cell r="P151" t="str">
            <v>ANGELICA ESPERANZA ACUÑA HERNANDEZ</v>
          </cell>
          <cell r="Q151" t="str">
            <v>CONTRATO DE PRESTACION DE SERVICIOS PROFESIONALES</v>
          </cell>
          <cell r="R151">
            <v>59</v>
          </cell>
          <cell r="S151" t="str">
            <v>VIGENTE</v>
          </cell>
          <cell r="T151">
            <v>3700000</v>
          </cell>
        </row>
        <row r="152">
          <cell r="N152">
            <v>103</v>
          </cell>
          <cell r="O152">
            <v>71</v>
          </cell>
          <cell r="P152" t="str">
            <v>Oscar Fabian Uyaban Dueñas</v>
          </cell>
          <cell r="Q152" t="str">
            <v>CONTRATO DE PRESTACION DE SERVICIOS DE APOYO A LA GESTION</v>
          </cell>
          <cell r="R152">
            <v>63</v>
          </cell>
          <cell r="S152" t="str">
            <v>VIGENTE</v>
          </cell>
          <cell r="T152">
            <v>2320000</v>
          </cell>
        </row>
        <row r="153">
          <cell r="N153">
            <v>107</v>
          </cell>
          <cell r="O153">
            <v>102</v>
          </cell>
          <cell r="P153" t="str">
            <v>CATALINA MARGARITA MO NAGY PATIÑO</v>
          </cell>
          <cell r="Q153" t="str">
            <v>CONTRATO DE PRESTACION DE SERVICIOS PROFESIONALES</v>
          </cell>
          <cell r="R153">
            <v>76</v>
          </cell>
          <cell r="S153" t="str">
            <v>VIGENTE</v>
          </cell>
          <cell r="T153">
            <v>8620000</v>
          </cell>
        </row>
        <row r="154">
          <cell r="N154">
            <v>80</v>
          </cell>
          <cell r="O154">
            <v>91</v>
          </cell>
          <cell r="P154" t="str">
            <v>CRISTIAN STEPH VELASQUEZ ALEJO</v>
          </cell>
          <cell r="Q154" t="str">
            <v>CONTRATO DE PRESTACION DE SERVICIOS PROFESIONALES</v>
          </cell>
          <cell r="R154">
            <v>80</v>
          </cell>
          <cell r="S154" t="str">
            <v>VIGENTE</v>
          </cell>
          <cell r="T154">
            <v>5240000</v>
          </cell>
        </row>
        <row r="155">
          <cell r="N155">
            <v>81</v>
          </cell>
          <cell r="O155">
            <v>70</v>
          </cell>
          <cell r="P155" t="str">
            <v>OMAR ALEXANDER PATIÑO PINEDA</v>
          </cell>
          <cell r="Q155" t="str">
            <v>CONTRATO DE PRESTACION DE SERVICIOS DE APOYO A LA GESTION</v>
          </cell>
          <cell r="R155">
            <v>82</v>
          </cell>
          <cell r="S155" t="str">
            <v>VIGENTE</v>
          </cell>
          <cell r="T155">
            <v>2320000</v>
          </cell>
        </row>
        <row r="156">
          <cell r="N156">
            <v>82</v>
          </cell>
          <cell r="O156">
            <v>67</v>
          </cell>
          <cell r="P156" t="str">
            <v>DARIO FERDEY YAIMA TOCANCIPA</v>
          </cell>
          <cell r="Q156" t="str">
            <v>CONTRATO DE PRESTACION DE SERVICIOS DE APOYO A LA GESTION</v>
          </cell>
          <cell r="R156">
            <v>83</v>
          </cell>
          <cell r="S156" t="str">
            <v>VIGENTE</v>
          </cell>
          <cell r="T156">
            <v>2820000</v>
          </cell>
        </row>
        <row r="157">
          <cell r="N157">
            <v>83</v>
          </cell>
          <cell r="O157">
            <v>90</v>
          </cell>
          <cell r="P157" t="str">
            <v>CARLOS HERNANDO SANDOVAL MORA</v>
          </cell>
          <cell r="Q157" t="str">
            <v>CONTRATO DE PRESTACION DE SERVICIOS PROFESIONALES</v>
          </cell>
          <cell r="R157">
            <v>85</v>
          </cell>
          <cell r="S157" t="str">
            <v>VIGENTE</v>
          </cell>
          <cell r="T157">
            <v>4880000</v>
          </cell>
        </row>
        <row r="158">
          <cell r="N158">
            <v>84</v>
          </cell>
          <cell r="O158">
            <v>92</v>
          </cell>
          <cell r="P158" t="str">
            <v>JOSE ANTONIO RAMIREZ OROZCO</v>
          </cell>
          <cell r="Q158" t="str">
            <v>CONTRATO DE PRESTACION DE SERVICIOS PROFESIONALES</v>
          </cell>
          <cell r="R158">
            <v>86</v>
          </cell>
          <cell r="S158" t="str">
            <v>VIGENTE</v>
          </cell>
          <cell r="T158">
            <v>6000000</v>
          </cell>
        </row>
        <row r="159">
          <cell r="N159">
            <v>55</v>
          </cell>
          <cell r="O159">
            <v>69</v>
          </cell>
          <cell r="P159" t="str">
            <v>JEIMMY SOLEY QUIROGA RAMIREZ</v>
          </cell>
          <cell r="Q159" t="str">
            <v>CONTRATO DE PRESTACION DE SERVICIOS DE APOYO A LA GESTION</v>
          </cell>
          <cell r="R159">
            <v>87</v>
          </cell>
          <cell r="S159" t="str">
            <v>VIGENTE</v>
          </cell>
          <cell r="T159">
            <v>3700000</v>
          </cell>
        </row>
        <row r="160">
          <cell r="N160">
            <v>112</v>
          </cell>
          <cell r="O160">
            <v>87</v>
          </cell>
          <cell r="P160" t="str">
            <v>JUAN CARLOS ALVARADO PEÑA</v>
          </cell>
          <cell r="Q160" t="str">
            <v>CONTRATO DE PRESTACION DE SERVICIOS DE APOYO A LA GESTION</v>
          </cell>
          <cell r="R160">
            <v>88</v>
          </cell>
          <cell r="S160" t="str">
            <v>VIGENTE</v>
          </cell>
          <cell r="T160">
            <v>3090000</v>
          </cell>
        </row>
        <row r="161">
          <cell r="N161">
            <v>151</v>
          </cell>
          <cell r="O161">
            <v>125</v>
          </cell>
          <cell r="P161" t="str">
            <v>MILLER ALEJANDRO CASTRO PEREZ</v>
          </cell>
          <cell r="Q161" t="str">
            <v>CONTRATO DE PRESTACION DE SERVICIOS PROFESIONALES</v>
          </cell>
          <cell r="R161">
            <v>89</v>
          </cell>
          <cell r="S161" t="str">
            <v>VIGENTE</v>
          </cell>
          <cell r="T161">
            <v>5240000</v>
          </cell>
        </row>
        <row r="162">
          <cell r="N162">
            <v>149</v>
          </cell>
          <cell r="O162">
            <v>124</v>
          </cell>
          <cell r="P162" t="str">
            <v>CHARLY ALEXANDER ROCIASCO MENDEZ</v>
          </cell>
          <cell r="Q162" t="str">
            <v>CONTRATO DE PRESTACION DE SERVICIOS PROFESIONALES</v>
          </cell>
          <cell r="R162">
            <v>91</v>
          </cell>
          <cell r="S162" t="str">
            <v>VIGENTE</v>
          </cell>
          <cell r="T162">
            <v>7000000</v>
          </cell>
        </row>
        <row r="163">
          <cell r="N163">
            <v>93</v>
          </cell>
          <cell r="O163">
            <v>144</v>
          </cell>
          <cell r="P163" t="str">
            <v>EDWIN ARTURO RUIZ MORENO</v>
          </cell>
          <cell r="Q163" t="str">
            <v>CONTRATO DE PRESTACION DE SERVICIOS PROFESIONALES</v>
          </cell>
          <cell r="R163">
            <v>109</v>
          </cell>
          <cell r="S163" t="str">
            <v>VIGENTE</v>
          </cell>
          <cell r="T163">
            <v>8030000</v>
          </cell>
        </row>
        <row r="164">
          <cell r="N164">
            <v>116</v>
          </cell>
          <cell r="O164">
            <v>101</v>
          </cell>
          <cell r="P164" t="str">
            <v>LUIS CARLOS YUSTY TRUJILLO</v>
          </cell>
          <cell r="Q164" t="str">
            <v>CONTRATO DE PRESTACION DE SERVICIOS PROFESIONALES</v>
          </cell>
          <cell r="R164">
            <v>113</v>
          </cell>
          <cell r="S164" t="str">
            <v>VIGENTE</v>
          </cell>
          <cell r="T164">
            <v>5670000</v>
          </cell>
        </row>
        <row r="165">
          <cell r="N165">
            <v>94</v>
          </cell>
          <cell r="O165">
            <v>126</v>
          </cell>
          <cell r="P165" t="str">
            <v>MARIELA  CAJAMARCA DIAZ</v>
          </cell>
          <cell r="Q165" t="str">
            <v>CONTRATO DE PRESTACION DE SERVICIOS DE APOYO A LA GESTION</v>
          </cell>
          <cell r="R165">
            <v>114</v>
          </cell>
          <cell r="S165" t="str">
            <v>VIGENTE</v>
          </cell>
          <cell r="T165">
            <v>3480000</v>
          </cell>
        </row>
        <row r="166">
          <cell r="N166">
            <v>128</v>
          </cell>
          <cell r="O166">
            <v>105</v>
          </cell>
          <cell r="P166" t="str">
            <v>JUAN ANDRES POVEDA RIAÑO</v>
          </cell>
          <cell r="Q166" t="str">
            <v>CONTRATO DE PRESTACION DE SERVICIOS DE APOYO A LA GESTION</v>
          </cell>
          <cell r="R166">
            <v>121</v>
          </cell>
          <cell r="S166" t="str">
            <v>VIGENTE</v>
          </cell>
          <cell r="T166">
            <v>2320000</v>
          </cell>
        </row>
        <row r="167">
          <cell r="N167">
            <v>68</v>
          </cell>
          <cell r="O167">
            <v>148</v>
          </cell>
          <cell r="P167" t="str">
            <v>EDNA CAMILA DEL CONSUELO ACERO TINOCO</v>
          </cell>
          <cell r="Q167" t="str">
            <v>CONTRATO DE PRESTACION DE SERVICIOS PROFESIONALES</v>
          </cell>
          <cell r="R167">
            <v>129</v>
          </cell>
          <cell r="S167" t="str">
            <v>VIGENTE</v>
          </cell>
          <cell r="T167">
            <v>3700000</v>
          </cell>
        </row>
        <row r="168">
          <cell r="N168">
            <v>70</v>
          </cell>
          <cell r="O168">
            <v>151</v>
          </cell>
          <cell r="P168" t="str">
            <v>NATALIA  TORRES GARZON</v>
          </cell>
          <cell r="Q168" t="str">
            <v>CONTRATO DE PRESTACION DE SERVICIOS PROFESIONALES</v>
          </cell>
          <cell r="R168">
            <v>130</v>
          </cell>
          <cell r="S168" t="str">
            <v>VIGENTE</v>
          </cell>
          <cell r="T168">
            <v>3700000</v>
          </cell>
        </row>
        <row r="169">
          <cell r="N169">
            <v>95</v>
          </cell>
          <cell r="O169">
            <v>149</v>
          </cell>
          <cell r="P169" t="str">
            <v>JAIBER ALFONSO SARMIENTO RUIZ</v>
          </cell>
          <cell r="Q169" t="str">
            <v>CONTRATO DE PRESTACION DE SERVICIOS DE APOYO A LA GESTION</v>
          </cell>
          <cell r="R169">
            <v>131</v>
          </cell>
          <cell r="S169" t="str">
            <v>VIGENTE</v>
          </cell>
          <cell r="T169">
            <v>3480000</v>
          </cell>
        </row>
        <row r="170">
          <cell r="N170">
            <v>96</v>
          </cell>
          <cell r="O170">
            <v>142</v>
          </cell>
          <cell r="P170" t="str">
            <v>camilo andres moreno malagon</v>
          </cell>
          <cell r="Q170" t="str">
            <v>CONTRATO DE PRESTACION DE SERVICIOS DE APOYO A LA GESTION</v>
          </cell>
          <cell r="R170">
            <v>132</v>
          </cell>
          <cell r="S170" t="str">
            <v>VIGENTE</v>
          </cell>
          <cell r="T170">
            <v>2680000</v>
          </cell>
        </row>
        <row r="171">
          <cell r="N171">
            <v>79</v>
          </cell>
          <cell r="O171">
            <v>150</v>
          </cell>
          <cell r="P171" t="str">
            <v>JENNY GISELL QUEVEDO QUEVEDO</v>
          </cell>
          <cell r="Q171" t="str">
            <v>CONTRATO DE PRESTACION DE SERVICIOS PROFESIONALES</v>
          </cell>
          <cell r="R171">
            <v>133</v>
          </cell>
          <cell r="S171" t="str">
            <v>VIGENTE</v>
          </cell>
          <cell r="T171">
            <v>4500000</v>
          </cell>
        </row>
        <row r="172">
          <cell r="N172">
            <v>154</v>
          </cell>
          <cell r="O172">
            <v>146</v>
          </cell>
          <cell r="P172" t="str">
            <v xml:space="preserve">NANCY  ZAMORA </v>
          </cell>
          <cell r="Q172" t="str">
            <v>CONTRATO DE PRESTACION DE SERVICIOS DE APOYO A LA GESTION</v>
          </cell>
          <cell r="R172">
            <v>134</v>
          </cell>
          <cell r="S172" t="str">
            <v>VIGENTE</v>
          </cell>
          <cell r="T172">
            <v>3300000</v>
          </cell>
        </row>
        <row r="173">
          <cell r="N173">
            <v>152</v>
          </cell>
          <cell r="O173">
            <v>143</v>
          </cell>
          <cell r="P173" t="str">
            <v>MARIA CRISTINA SALINAS RUIZ</v>
          </cell>
          <cell r="Q173" t="str">
            <v>CONTRATO DE PRESTACION DE SERVICIOS PROFESIONALES</v>
          </cell>
          <cell r="R173">
            <v>136</v>
          </cell>
          <cell r="S173" t="str">
            <v>VIGENTE</v>
          </cell>
          <cell r="T173">
            <v>5150000</v>
          </cell>
        </row>
        <row r="174">
          <cell r="N174">
            <v>153</v>
          </cell>
          <cell r="O174">
            <v>147</v>
          </cell>
          <cell r="P174" t="str">
            <v>NUBIA STELLA LIZARAZO SIERRA</v>
          </cell>
          <cell r="Q174" t="str">
            <v>CONTRATO DE PRESTACION DE SERVICIOS PROFESIONALES</v>
          </cell>
          <cell r="R174">
            <v>137</v>
          </cell>
          <cell r="S174" t="str">
            <v>VIGENTE</v>
          </cell>
          <cell r="T174">
            <v>3700000</v>
          </cell>
        </row>
        <row r="175">
          <cell r="N175">
            <v>159</v>
          </cell>
          <cell r="O175">
            <v>25</v>
          </cell>
          <cell r="P175" t="str">
            <v xml:space="preserve">TECHNOLOGY WORLD GROUP SAS   </v>
          </cell>
          <cell r="Q175" t="str">
            <v>CONTRATO DE PRESTACION DE SERVICIOS</v>
          </cell>
          <cell r="R175">
            <v>138</v>
          </cell>
          <cell r="S175" t="str">
            <v>VIGENTE</v>
          </cell>
          <cell r="T175">
            <v>5280030</v>
          </cell>
        </row>
        <row r="176">
          <cell r="N176">
            <v>186</v>
          </cell>
          <cell r="O176">
            <v>152</v>
          </cell>
          <cell r="P176" t="str">
            <v>SANDRA PATRICIA PALACIOS ARCE</v>
          </cell>
          <cell r="Q176" t="str">
            <v>CONTRATO DE PRESTACION DE SERVICIOS DE APOYO A LA GESTION</v>
          </cell>
          <cell r="R176">
            <v>139</v>
          </cell>
          <cell r="S176" t="str">
            <v>VIGENTE</v>
          </cell>
          <cell r="T176">
            <v>3700000</v>
          </cell>
        </row>
        <row r="177">
          <cell r="N177">
            <v>160</v>
          </cell>
          <cell r="O177">
            <v>166</v>
          </cell>
          <cell r="P177" t="str">
            <v>MONICA  PALACIOS OVIEDO</v>
          </cell>
          <cell r="Q177" t="str">
            <v>CONTRATO DE PRESTACION DE SERVICIOS PROFESIONALES</v>
          </cell>
          <cell r="R177">
            <v>140</v>
          </cell>
          <cell r="S177" t="str">
            <v>VIGENTE</v>
          </cell>
          <cell r="T177">
            <v>7000000</v>
          </cell>
        </row>
        <row r="178">
          <cell r="N178">
            <v>171</v>
          </cell>
          <cell r="O178">
            <v>145</v>
          </cell>
          <cell r="P178" t="str">
            <v>LUZ MARINA ZAPATA FLOREZ</v>
          </cell>
          <cell r="Q178" t="str">
            <v>CONTRATO DE PRESTACION DE SERVICIOS DE APOYO A LA GESTION</v>
          </cell>
          <cell r="R178">
            <v>151</v>
          </cell>
          <cell r="S178" t="str">
            <v>VIGENTE</v>
          </cell>
          <cell r="T178">
            <v>2700000</v>
          </cell>
        </row>
        <row r="179">
          <cell r="N179">
            <v>178</v>
          </cell>
          <cell r="O179">
            <v>181</v>
          </cell>
          <cell r="P179" t="str">
            <v>DEBORATH LUCIA GASCON OLARTE</v>
          </cell>
          <cell r="Q179" t="str">
            <v>CONTRATO DE PRESTACION DE SERVICIOS PROFESIONALES</v>
          </cell>
          <cell r="R179">
            <v>161</v>
          </cell>
          <cell r="S179" t="str">
            <v>VIGENTE</v>
          </cell>
          <cell r="T179">
            <v>5360000</v>
          </cell>
        </row>
        <row r="180">
          <cell r="N180">
            <v>207</v>
          </cell>
          <cell r="O180">
            <v>226</v>
          </cell>
          <cell r="P180" t="str">
            <v xml:space="preserve">JHON  GUAQUE </v>
          </cell>
          <cell r="Q180" t="str">
            <v>CONTRATO DE PRESTACION DE SERVICIOS DE APOYO A LA GESTION</v>
          </cell>
          <cell r="R180">
            <v>167</v>
          </cell>
          <cell r="S180" t="str">
            <v>VIGENTE</v>
          </cell>
          <cell r="T180">
            <v>3700000</v>
          </cell>
        </row>
        <row r="181">
          <cell r="N181">
            <v>195</v>
          </cell>
          <cell r="O181">
            <v>182</v>
          </cell>
          <cell r="P181" t="str">
            <v>MARIA ISABEL VANEGAS SILVA</v>
          </cell>
          <cell r="Q181" t="str">
            <v>CONTRATO DE PRESTACION DE SERVICIOS PROFESIONALES</v>
          </cell>
          <cell r="R181">
            <v>172</v>
          </cell>
          <cell r="S181" t="str">
            <v>VIGENTE</v>
          </cell>
          <cell r="T181">
            <v>5680000</v>
          </cell>
        </row>
        <row r="182">
          <cell r="N182">
            <v>185</v>
          </cell>
          <cell r="O182">
            <v>141</v>
          </cell>
          <cell r="P182" t="str">
            <v>EDGAR ANDRES MONCADA RUBIO</v>
          </cell>
          <cell r="Q182" t="str">
            <v>CONTRATO DE PRESTACION DE SERVICIOS DE APOYO A LA GESTION</v>
          </cell>
          <cell r="R182">
            <v>175</v>
          </cell>
          <cell r="S182" t="str">
            <v>VIGENTE</v>
          </cell>
          <cell r="T182">
            <v>2700000</v>
          </cell>
        </row>
        <row r="183">
          <cell r="N183">
            <v>215</v>
          </cell>
          <cell r="O183">
            <v>57</v>
          </cell>
          <cell r="P183" t="str">
            <v>GIOVANNA  MORALES AGUIRRE</v>
          </cell>
          <cell r="Q183" t="str">
            <v>CONTRATO DE PRESTACION DE SERVICIOS PROFESIONALES</v>
          </cell>
          <cell r="R183">
            <v>186</v>
          </cell>
          <cell r="S183" t="str">
            <v>VIGENTE</v>
          </cell>
          <cell r="T183">
            <v>7000000</v>
          </cell>
        </row>
        <row r="184">
          <cell r="N184">
            <v>222</v>
          </cell>
          <cell r="O184">
            <v>240</v>
          </cell>
          <cell r="P184" t="str">
            <v>LINA MARIA MORENO MALAGON</v>
          </cell>
          <cell r="Q184" t="str">
            <v>CONTRATO DE PRESTACION DE SERVICIOS DE APOYO A LA GESTION</v>
          </cell>
          <cell r="R184">
            <v>189</v>
          </cell>
          <cell r="S184" t="str">
            <v>VIGENTE</v>
          </cell>
          <cell r="T184">
            <v>2870000</v>
          </cell>
        </row>
        <row r="185">
          <cell r="N185">
            <v>205</v>
          </cell>
          <cell r="O185">
            <v>238</v>
          </cell>
          <cell r="P185" t="str">
            <v>YULY ALEJANDRA MORALES TREJOS</v>
          </cell>
          <cell r="Q185" t="str">
            <v>CONTRATO DE PRESTACION DE SERVICIOS PROFESIONALES</v>
          </cell>
          <cell r="R185">
            <v>193</v>
          </cell>
          <cell r="S185" t="str">
            <v>VIGENTE</v>
          </cell>
          <cell r="T185">
            <v>3700000</v>
          </cell>
        </row>
        <row r="186">
          <cell r="N186">
            <v>204</v>
          </cell>
          <cell r="O186">
            <v>239</v>
          </cell>
          <cell r="P186" t="str">
            <v>ALBERTO ANDRES GOMEZ MOSQUERA</v>
          </cell>
          <cell r="Q186" t="str">
            <v>CONTRATO DE PRESTACION DE SERVICIOS PROFESIONALES</v>
          </cell>
          <cell r="R186">
            <v>194</v>
          </cell>
          <cell r="S186" t="str">
            <v>VIGENTE</v>
          </cell>
          <cell r="T186">
            <v>7500000</v>
          </cell>
        </row>
        <row r="187">
          <cell r="N187">
            <v>233</v>
          </cell>
          <cell r="O187">
            <v>245</v>
          </cell>
          <cell r="P187" t="str">
            <v>GINNA MICHELL SUAREZ ALARCON</v>
          </cell>
          <cell r="Q187" t="str">
            <v>CONTRATO DE PRESTACION DE SERVICIOS DE APOYO A LA GESTION</v>
          </cell>
          <cell r="R187">
            <v>211</v>
          </cell>
          <cell r="S187" t="str">
            <v>VIGENTE</v>
          </cell>
          <cell r="T187">
            <v>2060000</v>
          </cell>
        </row>
        <row r="188">
          <cell r="N188">
            <v>267</v>
          </cell>
          <cell r="O188">
            <v>267</v>
          </cell>
          <cell r="P188" t="str">
            <v>VICTORIA ANDREA MUÑOZ ORDOÑEZ</v>
          </cell>
          <cell r="Q188" t="str">
            <v>CONTRATO DE PRESTACION DE SERVICIOS PROFESIONALES</v>
          </cell>
          <cell r="R188">
            <v>234</v>
          </cell>
          <cell r="S188" t="str">
            <v>VIGENTE</v>
          </cell>
          <cell r="T188">
            <v>3700000</v>
          </cell>
        </row>
        <row r="189">
          <cell r="N189">
            <v>266</v>
          </cell>
          <cell r="O189">
            <v>100</v>
          </cell>
          <cell r="P189" t="str">
            <v>MARY ELIZABETH ROJAS MUÑOZ</v>
          </cell>
          <cell r="Q189" t="str">
            <v>CONTRATO DE PRESTACION DE SERVICIOS PROFESIONALES</v>
          </cell>
          <cell r="R189">
            <v>235</v>
          </cell>
          <cell r="S189" t="str">
            <v>VIGENTE</v>
          </cell>
          <cell r="T189">
            <v>4120000</v>
          </cell>
        </row>
        <row r="190">
          <cell r="N190">
            <v>263</v>
          </cell>
          <cell r="O190">
            <v>260</v>
          </cell>
          <cell r="P190" t="str">
            <v xml:space="preserve">LAURA FLAVIE ZIMMERMANN </v>
          </cell>
          <cell r="Q190" t="str">
            <v>CONTRATO DE PRESTACION DE SERVICIOS PROFESIONALES</v>
          </cell>
          <cell r="R190">
            <v>236</v>
          </cell>
          <cell r="S190" t="str">
            <v>VIGENTE</v>
          </cell>
          <cell r="T190">
            <v>8500000</v>
          </cell>
        </row>
        <row r="191">
          <cell r="N191">
            <v>278</v>
          </cell>
          <cell r="O191">
            <v>271</v>
          </cell>
          <cell r="P191" t="str">
            <v>RAMON EDUARDO VILLAMIZAR MALDONADO</v>
          </cell>
          <cell r="Q191" t="str">
            <v>CONTRATO DE PRESTACION DE SERVICIOS PROFESIONALES</v>
          </cell>
          <cell r="R191">
            <v>246</v>
          </cell>
          <cell r="S191" t="str">
            <v>VIGENTE</v>
          </cell>
          <cell r="T191">
            <v>5700000</v>
          </cell>
        </row>
        <row r="192">
          <cell r="N192">
            <v>322</v>
          </cell>
          <cell r="O192">
            <v>297</v>
          </cell>
          <cell r="P192" t="str">
            <v>SANDRA CAROLINA NORIEGA AGUILAR</v>
          </cell>
          <cell r="Q192" t="str">
            <v>CONTRATO DE PRESTACION DE SERVICIOS PROFESIONALES</v>
          </cell>
          <cell r="R192">
            <v>257</v>
          </cell>
          <cell r="S192" t="str">
            <v>VIGENTE</v>
          </cell>
          <cell r="T192">
            <v>5200000</v>
          </cell>
        </row>
        <row r="193">
          <cell r="N193">
            <v>325</v>
          </cell>
          <cell r="O193">
            <v>318</v>
          </cell>
          <cell r="P193" t="str">
            <v>DANILO  SANCHEZ SUARIQUE</v>
          </cell>
          <cell r="Q193" t="str">
            <v>CONTRATO DE PRESTACION DE SERVICIOS PROFESIONALES</v>
          </cell>
          <cell r="R193">
            <v>272</v>
          </cell>
          <cell r="S193" t="str">
            <v>VIGENTE</v>
          </cell>
          <cell r="T193">
            <v>4193333</v>
          </cell>
        </row>
        <row r="194">
          <cell r="N194">
            <v>330</v>
          </cell>
          <cell r="O194">
            <v>324</v>
          </cell>
          <cell r="P194" t="str">
            <v>ANA MILENA PRADA URIBE</v>
          </cell>
          <cell r="Q194" t="str">
            <v>CONTRATO DE PRESTACION DE SERVICIOS PROFESIONALES</v>
          </cell>
          <cell r="R194">
            <v>275</v>
          </cell>
          <cell r="S194" t="str">
            <v>VIGENTE</v>
          </cell>
          <cell r="T194">
            <v>1720000</v>
          </cell>
        </row>
        <row r="195">
          <cell r="N195">
            <v>332</v>
          </cell>
          <cell r="O195">
            <v>322</v>
          </cell>
          <cell r="P195" t="str">
            <v>YULI ANDREA MAHECHA REINA</v>
          </cell>
          <cell r="Q195" t="str">
            <v>CONTRATO DE PRESTACION DE SERVICIOS PROFESIONALES</v>
          </cell>
          <cell r="R195">
            <v>277</v>
          </cell>
          <cell r="S195" t="str">
            <v>VIGENTE</v>
          </cell>
          <cell r="T195">
            <v>4940000</v>
          </cell>
        </row>
        <row r="196">
          <cell r="N196">
            <v>339</v>
          </cell>
          <cell r="O196">
            <v>323</v>
          </cell>
          <cell r="P196" t="str">
            <v>FERNANDO AUGUSTO VERGARA GARCIA</v>
          </cell>
          <cell r="Q196" t="str">
            <v>CONTRATO DE PRESTACION DE SERVICIOS PROFESIONALES</v>
          </cell>
          <cell r="R196">
            <v>278</v>
          </cell>
          <cell r="S196" t="str">
            <v>VIGENTE</v>
          </cell>
          <cell r="T196">
            <v>4940000</v>
          </cell>
        </row>
        <row r="197">
          <cell r="N197">
            <v>365</v>
          </cell>
          <cell r="O197">
            <v>360</v>
          </cell>
          <cell r="P197" t="str">
            <v>ALEXANDRA NAYIBE RUBIO RODRIGUEZ</v>
          </cell>
          <cell r="Q197" t="str">
            <v>CONTRATO DE PRESTACION DE SERVICIOS PROFESIONALES</v>
          </cell>
          <cell r="R197">
            <v>290</v>
          </cell>
          <cell r="S197" t="str">
            <v>VIGENTE</v>
          </cell>
          <cell r="T197">
            <v>2096667</v>
          </cell>
        </row>
        <row r="198">
          <cell r="N198">
            <v>379</v>
          </cell>
          <cell r="O198">
            <v>367</v>
          </cell>
          <cell r="P198" t="str">
            <v>FREDY ANDRES USAQUEN AGUIRRE</v>
          </cell>
          <cell r="Q198" t="str">
            <v>CONTRATO DE PRESTACION DE SERVICIOS PROFESIONALES</v>
          </cell>
          <cell r="R198">
            <v>296</v>
          </cell>
          <cell r="S198" t="str">
            <v>VIGENTE</v>
          </cell>
          <cell r="T198">
            <v>2000000</v>
          </cell>
        </row>
        <row r="199">
          <cell r="N199">
            <v>183</v>
          </cell>
          <cell r="O199">
            <v>155</v>
          </cell>
          <cell r="P199" t="str">
            <v xml:space="preserve">UNION TEMPORAL ANE 2018   </v>
          </cell>
          <cell r="Q199" t="str">
            <v>CONTRATO DE PRESTACION DE SERVICIOS</v>
          </cell>
          <cell r="R199">
            <v>305</v>
          </cell>
          <cell r="S199" t="str">
            <v>VIGENTE</v>
          </cell>
          <cell r="T199">
            <v>56611306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63">
          <cell r="N63">
            <v>141</v>
          </cell>
          <cell r="O63">
            <v>12</v>
          </cell>
          <cell r="P63" t="str">
            <v>yenifer andrea lagos bueno</v>
          </cell>
          <cell r="Q63" t="str">
            <v>CONTRATO DE PRESTACION DE SERVICIOS PROFESIONALES</v>
          </cell>
          <cell r="R63">
            <v>55</v>
          </cell>
          <cell r="S63" t="str">
            <v>VIGENTE</v>
          </cell>
          <cell r="T63">
            <v>3700000</v>
          </cell>
        </row>
        <row r="64">
          <cell r="N64">
            <v>138</v>
          </cell>
          <cell r="O64">
            <v>33</v>
          </cell>
          <cell r="P64" t="str">
            <v>MONICA  COY DE MARQUEZ</v>
          </cell>
          <cell r="Q64" t="str">
            <v>CONTRATO DE PRESTACION DE SERVICIOS PROFESIONALES</v>
          </cell>
          <cell r="R64">
            <v>39</v>
          </cell>
          <cell r="S64" t="str">
            <v>VIGENTE</v>
          </cell>
          <cell r="T64">
            <v>4640000</v>
          </cell>
        </row>
        <row r="65">
          <cell r="N65">
            <v>298</v>
          </cell>
          <cell r="O65">
            <v>308</v>
          </cell>
          <cell r="P65" t="str">
            <v>JULIAN  VALENCIA SANTOYO</v>
          </cell>
          <cell r="Q65" t="str">
            <v>CONTRATO DE PRESTACION DE SERVICIOS DE APOYO A LA GESTION</v>
          </cell>
          <cell r="R65">
            <v>260</v>
          </cell>
          <cell r="S65" t="str">
            <v>VIGENTE</v>
          </cell>
          <cell r="T65">
            <v>2625000</v>
          </cell>
        </row>
        <row r="66">
          <cell r="N66">
            <v>66</v>
          </cell>
          <cell r="O66">
            <v>15</v>
          </cell>
          <cell r="P66" t="str">
            <v>EFRAIN JOSE CANEDO CASTRO</v>
          </cell>
          <cell r="Q66" t="str">
            <v>CONTRATO DE PRESTACION DE SERVICIOS PROFESIONALES</v>
          </cell>
          <cell r="R66">
            <v>61</v>
          </cell>
          <cell r="S66" t="str">
            <v>VIGENTE</v>
          </cell>
          <cell r="T66">
            <v>4120000</v>
          </cell>
        </row>
        <row r="67">
          <cell r="N67">
            <v>280</v>
          </cell>
          <cell r="O67">
            <v>252</v>
          </cell>
          <cell r="P67" t="str">
            <v>CLAUDIA PATRICIA SILVA YEPES</v>
          </cell>
          <cell r="Q67" t="str">
            <v>CONTRATO DE PRESTACION DE SERVICIOS PROFESIONALES</v>
          </cell>
          <cell r="R67">
            <v>230</v>
          </cell>
          <cell r="S67" t="str">
            <v>VIGENTE</v>
          </cell>
          <cell r="T67">
            <v>8000000</v>
          </cell>
        </row>
        <row r="68">
          <cell r="N68">
            <v>52</v>
          </cell>
          <cell r="O68">
            <v>5</v>
          </cell>
          <cell r="P68" t="str">
            <v>DIEGO IVAN MENESES FIGUEROA</v>
          </cell>
          <cell r="Q68" t="str">
            <v>CONTRATO DE PRESTACION DE SERVICIOS PROFESIONALES</v>
          </cell>
          <cell r="R68">
            <v>44</v>
          </cell>
          <cell r="S68" t="str">
            <v>VIGENTE</v>
          </cell>
          <cell r="T68">
            <v>5500000</v>
          </cell>
        </row>
        <row r="69">
          <cell r="N69">
            <v>150</v>
          </cell>
          <cell r="O69">
            <v>7</v>
          </cell>
          <cell r="P69" t="str">
            <v>ANA GABRIELA PINILLA GONZALEZ</v>
          </cell>
          <cell r="Q69" t="str">
            <v>CONTRATO DE PRESTACION DE SERVICIOS PROFESIONALES</v>
          </cell>
          <cell r="R69">
            <v>45</v>
          </cell>
          <cell r="S69" t="str">
            <v>VIGENTE</v>
          </cell>
          <cell r="T69">
            <v>5500000</v>
          </cell>
        </row>
        <row r="70">
          <cell r="N70">
            <v>139</v>
          </cell>
          <cell r="O70">
            <v>17</v>
          </cell>
          <cell r="P70" t="str">
            <v>ANDREA YIZETH CESPEDES VILLAR</v>
          </cell>
          <cell r="Q70" t="str">
            <v>CONTRATO DE PRESTACION DE SERVICIOS PROFESIONALES</v>
          </cell>
          <cell r="R70">
            <v>60</v>
          </cell>
          <cell r="S70" t="str">
            <v>VIGENTE</v>
          </cell>
          <cell r="T70">
            <v>4120000</v>
          </cell>
        </row>
        <row r="71">
          <cell r="N71">
            <v>39</v>
          </cell>
          <cell r="O71">
            <v>16</v>
          </cell>
          <cell r="P71" t="str">
            <v>LAURA ANGELICA MORENO LEMUS</v>
          </cell>
          <cell r="Q71" t="str">
            <v>CONTRATO DE PRESTACION DE SERVICIOS PROFESIONALES</v>
          </cell>
          <cell r="R71">
            <v>49</v>
          </cell>
          <cell r="S71" t="str">
            <v>VIGENTE</v>
          </cell>
          <cell r="T71">
            <v>4120000</v>
          </cell>
        </row>
        <row r="72">
          <cell r="N72">
            <v>77</v>
          </cell>
          <cell r="O72">
            <v>14</v>
          </cell>
          <cell r="P72" t="str">
            <v>JAVIER FERNANDO MATEUS TOVAR</v>
          </cell>
          <cell r="Q72" t="str">
            <v>CONTRATO DE PRESTACION DE SERVICIOS PROFESIONALES</v>
          </cell>
          <cell r="R72">
            <v>52</v>
          </cell>
          <cell r="S72" t="str">
            <v>VIGENTE</v>
          </cell>
          <cell r="T72">
            <v>4120000</v>
          </cell>
        </row>
        <row r="73">
          <cell r="N73">
            <v>45</v>
          </cell>
          <cell r="O73">
            <v>11</v>
          </cell>
          <cell r="P73" t="str">
            <v>johan camilo prieto carreño</v>
          </cell>
          <cell r="Q73" t="str">
            <v>CONTRATO DE PRESTACION DE SERVICIOS PROFESIONALES</v>
          </cell>
          <cell r="R73">
            <v>56</v>
          </cell>
          <cell r="S73" t="str">
            <v>VIGENTE</v>
          </cell>
          <cell r="T73">
            <v>3700000</v>
          </cell>
        </row>
        <row r="74">
          <cell r="N74">
            <v>44</v>
          </cell>
          <cell r="O74">
            <v>9</v>
          </cell>
          <cell r="P74" t="str">
            <v>JUAN PABLO SANCHEZ CHAVES</v>
          </cell>
          <cell r="Q74" t="str">
            <v>CONTRATO DE PRESTACION DE SERVICIOS PROFESIONALES</v>
          </cell>
          <cell r="R74">
            <v>53</v>
          </cell>
          <cell r="S74" t="str">
            <v>VIGENTE</v>
          </cell>
          <cell r="T74">
            <v>3700000</v>
          </cell>
        </row>
        <row r="75">
          <cell r="N75">
            <v>136</v>
          </cell>
          <cell r="O75">
            <v>13</v>
          </cell>
          <cell r="P75" t="str">
            <v>CAMILO ANDRES BECERRA SANCHEZ</v>
          </cell>
          <cell r="Q75" t="str">
            <v>CONTRATO DE PRESTACION DE SERVICIOS PROFESIONALES</v>
          </cell>
          <cell r="R75">
            <v>62</v>
          </cell>
          <cell r="S75" t="str">
            <v>VIGENTE</v>
          </cell>
          <cell r="T75">
            <v>3700000</v>
          </cell>
        </row>
        <row r="76">
          <cell r="N76">
            <v>35</v>
          </cell>
          <cell r="O76">
            <v>10</v>
          </cell>
          <cell r="P76" t="str">
            <v>JUAN JOSE ALVEAR MEJIA</v>
          </cell>
          <cell r="Q76" t="str">
            <v>CONTRATO DE PRESTACION DE SERVICIOS PROFESIONALES</v>
          </cell>
          <cell r="R76">
            <v>48</v>
          </cell>
          <cell r="S76" t="str">
            <v>VIGENTE</v>
          </cell>
          <cell r="T76">
            <v>3700000</v>
          </cell>
        </row>
        <row r="77">
          <cell r="N77">
            <v>67</v>
          </cell>
          <cell r="O77">
            <v>32</v>
          </cell>
          <cell r="P77" t="str">
            <v>NATALIA  ACHIARDI ORTIZ</v>
          </cell>
          <cell r="Q77" t="str">
            <v>CONTRATO DE PRESTACION DE SERVICIOS PROFESIONALES</v>
          </cell>
          <cell r="R77">
            <v>47</v>
          </cell>
          <cell r="S77" t="str">
            <v>VIGENTE</v>
          </cell>
          <cell r="T77">
            <v>3800000</v>
          </cell>
        </row>
        <row r="78">
          <cell r="N78">
            <v>366</v>
          </cell>
          <cell r="O78">
            <v>358</v>
          </cell>
          <cell r="P78" t="str">
            <v>MAGDA FABIOLA ROJAS RAMIREZ</v>
          </cell>
          <cell r="Q78" t="str">
            <v>CONTRATO DE PRESTACION DE SERVICIOS PROFESIONALES</v>
          </cell>
          <cell r="R78">
            <v>294</v>
          </cell>
          <cell r="S78" t="str">
            <v>VIGENTE</v>
          </cell>
          <cell r="T78">
            <v>2153333</v>
          </cell>
        </row>
        <row r="79">
          <cell r="N79">
            <v>137</v>
          </cell>
          <cell r="O79">
            <v>73</v>
          </cell>
          <cell r="P79" t="str">
            <v>PAOLA ALEJANDRA BUITRAGO CORTES</v>
          </cell>
          <cell r="Q79" t="str">
            <v>CONTRATO DE PRESTACION DE SERVICIOS PROFESIONALES</v>
          </cell>
          <cell r="R79">
            <v>79</v>
          </cell>
          <cell r="S79" t="str">
            <v>VIGENTE</v>
          </cell>
          <cell r="T79">
            <v>7000000</v>
          </cell>
        </row>
        <row r="80">
          <cell r="N80">
            <v>43</v>
          </cell>
          <cell r="O80">
            <v>72</v>
          </cell>
          <cell r="P80" t="str">
            <v>SHARON NATHALY BALLESTEROS SUAREZ</v>
          </cell>
          <cell r="Q80" t="str">
            <v>CONTRATO DE PRESTACION DE SERVICIOS PROFESIONALES</v>
          </cell>
          <cell r="R80">
            <v>54</v>
          </cell>
          <cell r="S80" t="str">
            <v>VIGENTE</v>
          </cell>
          <cell r="T80">
            <v>4060000</v>
          </cell>
        </row>
        <row r="81">
          <cell r="N81">
            <v>100</v>
          </cell>
          <cell r="O81">
            <v>30</v>
          </cell>
          <cell r="P81" t="str">
            <v>CARLOS ERNESTO LINCE RODRIGUEZ</v>
          </cell>
          <cell r="Q81" t="str">
            <v>CONTRATO DE PRESTACION DE SERVICIOS PROFESIONALES</v>
          </cell>
          <cell r="R81">
            <v>36</v>
          </cell>
          <cell r="S81" t="str">
            <v>VIGENTE</v>
          </cell>
          <cell r="T81">
            <v>5540000</v>
          </cell>
        </row>
        <row r="82">
          <cell r="N82">
            <v>364</v>
          </cell>
          <cell r="O82">
            <v>364</v>
          </cell>
          <cell r="P82" t="str">
            <v>ANA MARCELA CASTRO GONZALEZ</v>
          </cell>
          <cell r="Q82" t="str">
            <v>CONTRATO DE PRESTACION DE SERVICIOS PROFESIONALES</v>
          </cell>
          <cell r="R82">
            <v>288</v>
          </cell>
          <cell r="S82" t="str">
            <v>VIGENTE</v>
          </cell>
          <cell r="T82">
            <v>2253333</v>
          </cell>
        </row>
        <row r="83">
          <cell r="N83">
            <v>135</v>
          </cell>
          <cell r="O83">
            <v>31</v>
          </cell>
          <cell r="P83" t="str">
            <v>Jorge Eliecer Rodriguez Casallas</v>
          </cell>
          <cell r="Q83" t="str">
            <v>CONTRATO DE PRESTACION DE SERVICIOS PROFESIONALES</v>
          </cell>
          <cell r="R83">
            <v>37</v>
          </cell>
          <cell r="S83" t="str">
            <v>VIGENTE</v>
          </cell>
          <cell r="T83">
            <v>3700000</v>
          </cell>
        </row>
        <row r="84">
          <cell r="N84">
            <v>308</v>
          </cell>
          <cell r="O84">
            <v>270</v>
          </cell>
          <cell r="P84" t="str">
            <v>JUAN DAVID QUINTERO PARRA</v>
          </cell>
          <cell r="Q84" t="str">
            <v>CONTRATO DE PRESTACION DE SERVICIOS DE APOYO A LA GESTION</v>
          </cell>
          <cell r="R84">
            <v>258</v>
          </cell>
          <cell r="S84" t="str">
            <v>VIGENTE</v>
          </cell>
          <cell r="T84">
            <v>2040000</v>
          </cell>
        </row>
        <row r="85">
          <cell r="N85">
            <v>247</v>
          </cell>
          <cell r="O85">
            <v>184</v>
          </cell>
          <cell r="P85" t="str">
            <v>HERNAN DAVID ALDANA CARRASCO</v>
          </cell>
          <cell r="Q85" t="str">
            <v>CONTRATO DE PRESTACION DE SERVICIOS PROFESIONALES</v>
          </cell>
          <cell r="R85">
            <v>163</v>
          </cell>
          <cell r="S85" t="str">
            <v>VIGENTE</v>
          </cell>
          <cell r="T85">
            <v>5080000</v>
          </cell>
        </row>
        <row r="86">
          <cell r="N86">
            <v>217</v>
          </cell>
          <cell r="O86">
            <v>187</v>
          </cell>
          <cell r="P86" t="str">
            <v>MARIA DEL PILAR ZAMBRANO GOMEZ</v>
          </cell>
          <cell r="Q86" t="str">
            <v>CONTRATO DE PRESTACION DE SERVICIOS PROFESIONALES</v>
          </cell>
          <cell r="R86">
            <v>164</v>
          </cell>
          <cell r="S86" t="str">
            <v>VIGENTE</v>
          </cell>
          <cell r="T86">
            <v>8000000</v>
          </cell>
        </row>
        <row r="87">
          <cell r="N87">
            <v>140</v>
          </cell>
          <cell r="O87">
            <v>8</v>
          </cell>
          <cell r="P87" t="str">
            <v>JUAN CARLOS SARMIENTO NOVOA</v>
          </cell>
          <cell r="Q87" t="str">
            <v>CONTRATO DE PRESTACION DE SERVICIOS PROFESIONALES</v>
          </cell>
          <cell r="R87">
            <v>51</v>
          </cell>
          <cell r="S87" t="str">
            <v>VIGENTE</v>
          </cell>
          <cell r="T87">
            <v>3700000</v>
          </cell>
        </row>
        <row r="88">
          <cell r="N88">
            <v>99</v>
          </cell>
          <cell r="O88">
            <v>50</v>
          </cell>
          <cell r="P88" t="str">
            <v>ANA MARIA FLOREZ FLOREZ</v>
          </cell>
          <cell r="Q88" t="str">
            <v>CONTRATO DE PRESTACION DE SERVICIOS PROFESIONALES</v>
          </cell>
          <cell r="R88">
            <v>34</v>
          </cell>
          <cell r="S88" t="str">
            <v>VIGENTE</v>
          </cell>
          <cell r="T88">
            <v>7520000</v>
          </cell>
        </row>
        <row r="89">
          <cell r="N89">
            <v>219</v>
          </cell>
          <cell r="O89">
            <v>235</v>
          </cell>
          <cell r="P89" t="str">
            <v>MARIA CLAUDIA CARRIZOSA RICAURTE</v>
          </cell>
          <cell r="Q89" t="str">
            <v>CONTRATO DE PRESTACION DE SERVICIOS PROFESIONALES</v>
          </cell>
          <cell r="R89">
            <v>190</v>
          </cell>
          <cell r="S89" t="str">
            <v>VIGENTE</v>
          </cell>
          <cell r="T89">
            <v>10200000</v>
          </cell>
        </row>
        <row r="90">
          <cell r="N90">
            <v>47</v>
          </cell>
          <cell r="O90">
            <v>58</v>
          </cell>
          <cell r="P90" t="str">
            <v>MAURICIO  CORTES GARZON</v>
          </cell>
          <cell r="Q90" t="str">
            <v>CONTRATO DE PRESTACION DE SERVICIOS PROFESIONALES</v>
          </cell>
          <cell r="R90">
            <v>46</v>
          </cell>
          <cell r="S90" t="str">
            <v>VIGENTE</v>
          </cell>
          <cell r="T90">
            <v>9200000</v>
          </cell>
        </row>
        <row r="91">
          <cell r="N91">
            <v>46</v>
          </cell>
          <cell r="O91">
            <v>6</v>
          </cell>
          <cell r="P91" t="str">
            <v>LEONOR ISBELIA GOMEZ HERNANDEZ</v>
          </cell>
          <cell r="Q91" t="str">
            <v>CONTRATO DE PRESTACION DE SERVICIOS PROFESIONALES</v>
          </cell>
          <cell r="R91">
            <v>42</v>
          </cell>
          <cell r="S91" t="str">
            <v>VIGENTE</v>
          </cell>
          <cell r="T91">
            <v>6517333</v>
          </cell>
        </row>
        <row r="92">
          <cell r="N92">
            <v>314</v>
          </cell>
          <cell r="O92">
            <v>268</v>
          </cell>
          <cell r="P92" t="str">
            <v>ANGIE MILENA ESPINEL MENESES</v>
          </cell>
          <cell r="Q92" t="str">
            <v>CONTRATO DE PRESTACION DE SERVICIOS PROFESIONALES</v>
          </cell>
          <cell r="R92">
            <v>256</v>
          </cell>
          <cell r="S92" t="str">
            <v>VIGENTE</v>
          </cell>
          <cell r="T92">
            <v>5080000</v>
          </cell>
        </row>
        <row r="93">
          <cell r="N93">
            <v>188</v>
          </cell>
          <cell r="O93">
            <v>183</v>
          </cell>
          <cell r="P93" t="str">
            <v>JOHAN ALBERTO GARZON CASTAÑEDA</v>
          </cell>
          <cell r="Q93" t="str">
            <v>CONTRATO DE PRESTACION DE SERVICIOS PROFESIONALES</v>
          </cell>
          <cell r="R93">
            <v>165</v>
          </cell>
          <cell r="S93" t="str">
            <v>VIGENTE</v>
          </cell>
          <cell r="T93">
            <v>4000000</v>
          </cell>
        </row>
        <row r="94">
          <cell r="N94">
            <v>187</v>
          </cell>
          <cell r="O94">
            <v>165</v>
          </cell>
          <cell r="P94" t="str">
            <v>LINA MARCELA MORENO ROA</v>
          </cell>
          <cell r="Q94" t="str">
            <v>CONTRATO DE PRESTACION DE SERVICIOS PROFESIONALES</v>
          </cell>
          <cell r="R94">
            <v>145</v>
          </cell>
          <cell r="S94" t="str">
            <v>VIGENTE</v>
          </cell>
          <cell r="T94">
            <v>6000000</v>
          </cell>
        </row>
        <row r="95">
          <cell r="N95">
            <v>142</v>
          </cell>
          <cell r="O95">
            <v>51</v>
          </cell>
          <cell r="P95" t="str">
            <v>SERGIO IVAN ROJAS BERRIO</v>
          </cell>
          <cell r="Q95" t="str">
            <v>CONTRATO DE PRESTACION DE SERVICIOS PROFESIONALES</v>
          </cell>
          <cell r="R95">
            <v>38</v>
          </cell>
          <cell r="S95" t="str">
            <v>VIGENTE</v>
          </cell>
          <cell r="T95">
            <v>5700000</v>
          </cell>
        </row>
        <row r="96">
          <cell r="N96">
            <v>284</v>
          </cell>
          <cell r="O96">
            <v>289</v>
          </cell>
          <cell r="P96" t="str">
            <v>ANDRES FELIPE VILLAMIL VILLAMIL</v>
          </cell>
          <cell r="Q96" t="str">
            <v>CONTRATO DE PRESTACION DE SERVICIOS PROFESIONALES</v>
          </cell>
          <cell r="R96">
            <v>248</v>
          </cell>
          <cell r="S96" t="str">
            <v>VIGENTE</v>
          </cell>
          <cell r="T96">
            <v>5400000</v>
          </cell>
        </row>
        <row r="97">
          <cell r="N97">
            <v>148</v>
          </cell>
          <cell r="O97">
            <v>106</v>
          </cell>
          <cell r="P97" t="str">
            <v>PAOLA ANDREA LUNA CORTES</v>
          </cell>
          <cell r="Q97" t="str">
            <v>CONTRATO DE PRESTACION DE SERVICIOS PROFESIONALES</v>
          </cell>
          <cell r="R97">
            <v>90</v>
          </cell>
          <cell r="S97" t="str">
            <v>VIGENTE</v>
          </cell>
          <cell r="T97">
            <v>5000000</v>
          </cell>
        </row>
        <row r="98">
          <cell r="N98">
            <v>249</v>
          </cell>
          <cell r="O98">
            <v>251</v>
          </cell>
          <cell r="P98" t="str">
            <v>ALICIA VICTORIA BELLO DURAN</v>
          </cell>
          <cell r="Q98" t="str">
            <v>CONTRATO DE PRESTACION DE SERVICIOS PROFESIONALES</v>
          </cell>
          <cell r="R98">
            <v>216</v>
          </cell>
          <cell r="S98" t="str">
            <v>VIGENTE</v>
          </cell>
          <cell r="T98">
            <v>4500000</v>
          </cell>
        </row>
        <row r="99">
          <cell r="N99">
            <v>259</v>
          </cell>
          <cell r="O99">
            <v>253</v>
          </cell>
          <cell r="P99" t="str">
            <v>DAVID HUMBERTO DELGADO RODRIGUEZ</v>
          </cell>
          <cell r="Q99" t="str">
            <v>CONTRATO DE PRESTACION DE SERVICIOS PROFESIONALES</v>
          </cell>
          <cell r="R99">
            <v>231</v>
          </cell>
          <cell r="S99" t="str">
            <v>VIGENTE</v>
          </cell>
          <cell r="T99">
            <v>10440000</v>
          </cell>
        </row>
        <row r="100">
          <cell r="N100">
            <v>260</v>
          </cell>
          <cell r="O100">
            <v>186</v>
          </cell>
          <cell r="P100" t="str">
            <v>LAURA CRISTINA BALCAZAR DIAZ</v>
          </cell>
          <cell r="Q100" t="str">
            <v>CONTRATO DE PRESTACION DE SERVICIOS DE APOYO A LA GESTION</v>
          </cell>
          <cell r="R100">
            <v>173</v>
          </cell>
          <cell r="S100" t="str">
            <v>VIGENTE</v>
          </cell>
          <cell r="T100">
            <v>2500000</v>
          </cell>
        </row>
        <row r="101">
          <cell r="N101">
            <v>342</v>
          </cell>
          <cell r="O101">
            <v>306</v>
          </cell>
          <cell r="P101" t="str">
            <v xml:space="preserve">JUAN FELIPE PINILLA &amp; ASOCIADOS DERECHO-URBANO SAS   </v>
          </cell>
          <cell r="Q101" t="str">
            <v>CONTRATO DE PRESTACION DE SERVICIOS PROFESIONALES</v>
          </cell>
          <cell r="R101">
            <v>274</v>
          </cell>
          <cell r="S101" t="str">
            <v>VIGENTE</v>
          </cell>
          <cell r="T101">
            <v>8500000</v>
          </cell>
        </row>
        <row r="102">
          <cell r="N102">
            <v>320</v>
          </cell>
          <cell r="O102">
            <v>305</v>
          </cell>
          <cell r="P102" t="str">
            <v>CRISTIAN ANDRES GUTIERREZ PRIETO</v>
          </cell>
          <cell r="Q102" t="str">
            <v>CONTRATO DE PRESTACION DE SERVICIOS PROFESIONALES</v>
          </cell>
          <cell r="R102">
            <v>269</v>
          </cell>
          <cell r="S102" t="str">
            <v>VIGENTE</v>
          </cell>
          <cell r="T102">
            <v>7000000</v>
          </cell>
        </row>
        <row r="103">
          <cell r="N103">
            <v>303</v>
          </cell>
          <cell r="O103">
            <v>307</v>
          </cell>
          <cell r="P103" t="str">
            <v>JUAN CAMILO GONZALEZ MEDINA</v>
          </cell>
          <cell r="Q103" t="str">
            <v>CONTRATO DE PRESTACION DE SERVICIOS PROFESIONALES</v>
          </cell>
          <cell r="R103">
            <v>259</v>
          </cell>
          <cell r="S103" t="str">
            <v>VIGENTE</v>
          </cell>
          <cell r="T103">
            <v>6900000</v>
          </cell>
        </row>
        <row r="104">
          <cell r="N104">
            <v>264</v>
          </cell>
          <cell r="O104">
            <v>185</v>
          </cell>
          <cell r="P104" t="str">
            <v>VALENTIN ALEJANDRO URBINA PALMERA</v>
          </cell>
          <cell r="Q104" t="str">
            <v>CONTRATO DE PRESTACION DE SERVICIOS PROFESIONALES</v>
          </cell>
          <cell r="R104">
            <v>162</v>
          </cell>
          <cell r="S104" t="str">
            <v>VIGENTE</v>
          </cell>
          <cell r="T104">
            <v>5080000</v>
          </cell>
        </row>
        <row r="105">
          <cell r="N105">
            <v>220</v>
          </cell>
          <cell r="O105">
            <v>188</v>
          </cell>
          <cell r="P105" t="str">
            <v>YOLANDA  OVIEDO ROJAS</v>
          </cell>
          <cell r="Q105" t="str">
            <v>CONTRATO DE PRESTACION DE SERVICIOS PROFESIONALES</v>
          </cell>
          <cell r="R105">
            <v>192</v>
          </cell>
          <cell r="S105" t="str">
            <v>VIGENTE</v>
          </cell>
          <cell r="T105">
            <v>9200000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N2">
            <v>209</v>
          </cell>
          <cell r="O2">
            <v>200</v>
          </cell>
          <cell r="P2" t="str">
            <v>ANGYE CATERYNN PEÑA VARON</v>
          </cell>
          <cell r="Q2" t="str">
            <v>CONTRATO DE PRESTACION DE SERVICIOS PROFESIONALES</v>
          </cell>
          <cell r="R2">
            <v>202</v>
          </cell>
          <cell r="S2" t="str">
            <v>VIGENTE</v>
          </cell>
          <cell r="T2">
            <v>1773000</v>
          </cell>
        </row>
        <row r="3">
          <cell r="N3">
            <v>214</v>
          </cell>
          <cell r="O3">
            <v>199</v>
          </cell>
          <cell r="P3" t="str">
            <v xml:space="preserve">ROMY ERVIN GANOA </v>
          </cell>
          <cell r="Q3" t="str">
            <v>CONTRATO DE PRESTACION DE SERVICIOS DE APOYO A LA GESTION</v>
          </cell>
          <cell r="R3">
            <v>197</v>
          </cell>
          <cell r="S3" t="str">
            <v>VIGENTE</v>
          </cell>
          <cell r="T3">
            <v>2630000</v>
          </cell>
        </row>
        <row r="4">
          <cell r="N4">
            <v>113</v>
          </cell>
          <cell r="O4">
            <v>121</v>
          </cell>
          <cell r="P4" t="str">
            <v xml:space="preserve">ANDREA VIVIANA BRITO </v>
          </cell>
          <cell r="Q4" t="str">
            <v>CONTRATO DE PRESTACION DE SERVICIOS DE APOYO A LA GESTION</v>
          </cell>
          <cell r="R4">
            <v>96</v>
          </cell>
          <cell r="S4" t="str">
            <v>VIGENTE</v>
          </cell>
          <cell r="T4">
            <v>3100000</v>
          </cell>
        </row>
        <row r="5">
          <cell r="N5">
            <v>123</v>
          </cell>
          <cell r="O5">
            <v>138</v>
          </cell>
          <cell r="P5" t="str">
            <v>ARIEL RODRIGO FERNANDEZ BACA</v>
          </cell>
          <cell r="Q5" t="str">
            <v>CONTRATO DE PRESTACION DE SERVICIOS PROFESIONALES</v>
          </cell>
          <cell r="R5">
            <v>127</v>
          </cell>
          <cell r="S5" t="str">
            <v>VIGENTE</v>
          </cell>
          <cell r="T5">
            <v>6620000</v>
          </cell>
        </row>
        <row r="6">
          <cell r="N6">
            <v>125</v>
          </cell>
          <cell r="O6">
            <v>140</v>
          </cell>
          <cell r="P6" t="str">
            <v>juan sebastian robayo castillo</v>
          </cell>
          <cell r="Q6" t="str">
            <v>CONTRATO DE PRESTACION DE SERVICIOS PROFESIONALES</v>
          </cell>
          <cell r="R6">
            <v>111</v>
          </cell>
          <cell r="S6" t="str">
            <v>VIGENTE</v>
          </cell>
          <cell r="T6">
            <v>5440000</v>
          </cell>
        </row>
        <row r="7">
          <cell r="N7">
            <v>63</v>
          </cell>
          <cell r="O7">
            <v>94</v>
          </cell>
          <cell r="P7" t="str">
            <v>WINER ENRIQUE MARTINEZ CUADRADO</v>
          </cell>
          <cell r="Q7" t="str">
            <v>CONTRATO DE PRESTACION DE SERVICIOS DE APOYO A LA GESTION</v>
          </cell>
          <cell r="R7">
            <v>73</v>
          </cell>
          <cell r="S7" t="str">
            <v>VIGENTE</v>
          </cell>
          <cell r="T7">
            <v>3320000</v>
          </cell>
        </row>
        <row r="8">
          <cell r="N8">
            <v>221</v>
          </cell>
          <cell r="O8">
            <v>233</v>
          </cell>
          <cell r="P8" t="str">
            <v>DIEGO  MARTIN ACERO</v>
          </cell>
          <cell r="Q8" t="str">
            <v>CONTRATO DE PRESTACION DE SERVICIOS PROFESIONALES</v>
          </cell>
          <cell r="R8">
            <v>203</v>
          </cell>
          <cell r="S8" t="str">
            <v>VIGENTE</v>
          </cell>
          <cell r="T8">
            <v>3645000</v>
          </cell>
        </row>
        <row r="9">
          <cell r="N9">
            <v>25</v>
          </cell>
          <cell r="O9">
            <v>38</v>
          </cell>
          <cell r="P9" t="str">
            <v>ANA MARIA MONTOYA CORREA</v>
          </cell>
          <cell r="Q9" t="str">
            <v>CONTRATO DE PRESTACION DE SERVICIOS PROFESIONALES</v>
          </cell>
          <cell r="R9">
            <v>18</v>
          </cell>
          <cell r="S9" t="str">
            <v>VIGENTE</v>
          </cell>
          <cell r="T9">
            <v>8500000</v>
          </cell>
        </row>
        <row r="10">
          <cell r="N10">
            <v>16</v>
          </cell>
          <cell r="O10">
            <v>36</v>
          </cell>
          <cell r="P10" t="str">
            <v>MARILUZ  LOAIZA CANTOR</v>
          </cell>
          <cell r="Q10" t="str">
            <v>CONTRATO DE PRESTACION DE SERVICIOS PROFESIONALES</v>
          </cell>
          <cell r="R10">
            <v>21</v>
          </cell>
          <cell r="S10" t="str">
            <v>VIGENTE</v>
          </cell>
          <cell r="T10">
            <v>6600000</v>
          </cell>
        </row>
        <row r="11">
          <cell r="N11">
            <v>108</v>
          </cell>
          <cell r="O11">
            <v>98</v>
          </cell>
          <cell r="P11" t="str">
            <v>LAURA KATHERINE PEREZ ALMANZA</v>
          </cell>
          <cell r="Q11" t="str">
            <v>CONTRATO DE PRESTACION DE SERVICIOS PROFESIONALES</v>
          </cell>
          <cell r="R11">
            <v>77</v>
          </cell>
          <cell r="S11" t="str">
            <v>VIGENTE</v>
          </cell>
          <cell r="T11">
            <v>4050000</v>
          </cell>
        </row>
        <row r="12">
          <cell r="N12">
            <v>74</v>
          </cell>
          <cell r="O12">
            <v>116</v>
          </cell>
          <cell r="P12" t="str">
            <v>FRANK ADRIANO AGUIRRE SALAMANCA</v>
          </cell>
          <cell r="Q12" t="str">
            <v>CONTRATO DE PRESTACION DE SERVICIOS PROFESIONALES</v>
          </cell>
          <cell r="R12">
            <v>105</v>
          </cell>
          <cell r="S12" t="str">
            <v>VIGENTE</v>
          </cell>
          <cell r="T12">
            <v>4800000</v>
          </cell>
        </row>
        <row r="13">
          <cell r="N13">
            <v>29</v>
          </cell>
          <cell r="O13">
            <v>49</v>
          </cell>
          <cell r="P13" t="str">
            <v>Angie Lizeth Murillo Pineda</v>
          </cell>
          <cell r="Q13" t="str">
            <v>CONTRATO DE PRESTACION DE SERVICIOS PROFESIONALES</v>
          </cell>
          <cell r="R13">
            <v>26</v>
          </cell>
          <cell r="S13" t="str">
            <v>VIGENTE</v>
          </cell>
          <cell r="T13">
            <v>4120000</v>
          </cell>
        </row>
        <row r="14">
          <cell r="N14">
            <v>27</v>
          </cell>
          <cell r="O14">
            <v>35</v>
          </cell>
          <cell r="P14" t="str">
            <v>JONATHAN  OLARTE GUANA</v>
          </cell>
          <cell r="Q14" t="str">
            <v>CONTRATO DE PRESTACION DE SERVICIOS DE APOYO A LA GESTION</v>
          </cell>
          <cell r="R14">
            <v>19</v>
          </cell>
          <cell r="S14" t="str">
            <v>VIGENTE</v>
          </cell>
          <cell r="T14">
            <v>3480000</v>
          </cell>
        </row>
        <row r="15">
          <cell r="N15">
            <v>98</v>
          </cell>
          <cell r="O15">
            <v>74</v>
          </cell>
          <cell r="P15" t="str">
            <v>PAOLA RENATA BARRAGAN ZAMORA</v>
          </cell>
          <cell r="Q15" t="str">
            <v>CONTRATO DE PRESTACION DE SERVICIOS PROFESIONALES</v>
          </cell>
          <cell r="R15">
            <v>68</v>
          </cell>
          <cell r="S15" t="str">
            <v>VIGENTE</v>
          </cell>
          <cell r="T15">
            <v>8340000</v>
          </cell>
        </row>
        <row r="16">
          <cell r="N16">
            <v>114</v>
          </cell>
          <cell r="O16">
            <v>107</v>
          </cell>
          <cell r="P16" t="str">
            <v>NATALIA  ORTEGA RENGIFO</v>
          </cell>
          <cell r="Q16" t="str">
            <v>CONTRATO DE PRESTACION DE SERVICIOS PROFESIONALES</v>
          </cell>
          <cell r="R16">
            <v>102</v>
          </cell>
          <cell r="S16" t="str">
            <v>VIGENTE</v>
          </cell>
          <cell r="T16">
            <v>5380000</v>
          </cell>
        </row>
        <row r="17">
          <cell r="N17">
            <v>73</v>
          </cell>
          <cell r="O17">
            <v>117</v>
          </cell>
          <cell r="P17" t="str">
            <v>SANDRA MILENA FORERO BALLESTEROS</v>
          </cell>
          <cell r="Q17" t="str">
            <v>CONTRATO DE PRESTACION DE SERVICIOS PROFESIONALES</v>
          </cell>
          <cell r="R17">
            <v>95</v>
          </cell>
          <cell r="S17" t="str">
            <v>VIGENTE</v>
          </cell>
          <cell r="T17">
            <v>4800000</v>
          </cell>
        </row>
        <row r="18">
          <cell r="N18">
            <v>92</v>
          </cell>
          <cell r="O18">
            <v>118</v>
          </cell>
          <cell r="P18" t="str">
            <v>jhon edwin morales herrera</v>
          </cell>
          <cell r="Q18" t="str">
            <v>CONTRATO DE PRESTACION DE SERVICIOS PROFESIONALES</v>
          </cell>
          <cell r="R18">
            <v>104</v>
          </cell>
          <cell r="S18" t="str">
            <v>VIGENTE</v>
          </cell>
          <cell r="T18">
            <v>4800000</v>
          </cell>
        </row>
        <row r="19">
          <cell r="N19">
            <v>75</v>
          </cell>
          <cell r="O19">
            <v>123</v>
          </cell>
          <cell r="P19" t="str">
            <v>SANDRA PATRICIA MENDOZA VARGAS</v>
          </cell>
          <cell r="Q19" t="str">
            <v>CONTRATO DE PRESTACION DE SERVICIOS PROFESIONALES</v>
          </cell>
          <cell r="R19">
            <v>107</v>
          </cell>
          <cell r="S19" t="str">
            <v>VIGENTE</v>
          </cell>
          <cell r="T19">
            <v>6640000</v>
          </cell>
        </row>
        <row r="20">
          <cell r="N20">
            <v>17</v>
          </cell>
          <cell r="O20">
            <v>34</v>
          </cell>
          <cell r="P20" t="str">
            <v>LUZ MERY BOLIVAR RINCON</v>
          </cell>
          <cell r="Q20" t="str">
            <v>CONTRATO DE PRESTACION DE SERVICIOS PROFESIONALES</v>
          </cell>
          <cell r="R20">
            <v>20</v>
          </cell>
          <cell r="S20" t="str">
            <v>VIGENTE</v>
          </cell>
          <cell r="T20">
            <v>5200000</v>
          </cell>
        </row>
        <row r="21">
          <cell r="N21">
            <v>119</v>
          </cell>
          <cell r="O21">
            <v>139</v>
          </cell>
          <cell r="P21" t="str">
            <v>MARIBEL  CHARRY DIAZ</v>
          </cell>
          <cell r="Q21" t="str">
            <v>CONTRATO DE PRESTACION DE SERVICIOS PROFESIONALES</v>
          </cell>
          <cell r="R21">
            <v>119</v>
          </cell>
          <cell r="S21" t="str">
            <v>VIGENTE</v>
          </cell>
          <cell r="T21">
            <v>8240000</v>
          </cell>
        </row>
        <row r="22">
          <cell r="N22">
            <v>238</v>
          </cell>
          <cell r="O22">
            <v>210</v>
          </cell>
          <cell r="P22" t="str">
            <v>DIANA CAROLINA SHOOL MONTOYA</v>
          </cell>
          <cell r="Q22" t="str">
            <v>CONTRATO DE PRESTACION DE SERVICIOS PROFESIONALES</v>
          </cell>
          <cell r="R22">
            <v>224</v>
          </cell>
          <cell r="S22" t="str">
            <v>VIGENTE</v>
          </cell>
          <cell r="T22">
            <v>5500000</v>
          </cell>
        </row>
        <row r="23">
          <cell r="N23">
            <v>236</v>
          </cell>
          <cell r="O23">
            <v>196</v>
          </cell>
          <cell r="P23" t="str">
            <v xml:space="preserve">ALEXANDER  VALLEJO </v>
          </cell>
          <cell r="Q23" t="str">
            <v>CONTRATO DE PRESTACION DE SERVICIOS PROFESIONALES</v>
          </cell>
          <cell r="R23">
            <v>222</v>
          </cell>
          <cell r="S23" t="str">
            <v>VIGENTE</v>
          </cell>
          <cell r="T23">
            <v>4000000</v>
          </cell>
        </row>
        <row r="24">
          <cell r="N24">
            <v>216</v>
          </cell>
          <cell r="O24">
            <v>234</v>
          </cell>
          <cell r="P24" t="str">
            <v>MARITZA  FORERO HERNANDEZ</v>
          </cell>
          <cell r="Q24" t="str">
            <v>CONTRATO DE PRESTACION DE SERVICIOS PROFESIONALES</v>
          </cell>
          <cell r="R24">
            <v>210</v>
          </cell>
          <cell r="S24" t="str">
            <v>VIGENTE</v>
          </cell>
          <cell r="T24">
            <v>4140000</v>
          </cell>
        </row>
        <row r="25">
          <cell r="N25">
            <v>50</v>
          </cell>
          <cell r="O25">
            <v>43</v>
          </cell>
          <cell r="P25" t="str">
            <v>WILSON ORLANDO DAZA MONTAÑO</v>
          </cell>
          <cell r="Q25" t="str">
            <v>CONTRATO DE PRESTACION DE SERVICIOS DE APOYO A LA GESTION</v>
          </cell>
          <cell r="R25">
            <v>30</v>
          </cell>
          <cell r="S25" t="str">
            <v>VIGENTE</v>
          </cell>
          <cell r="T25">
            <v>2630000</v>
          </cell>
        </row>
        <row r="26">
          <cell r="N26">
            <v>48</v>
          </cell>
          <cell r="O26">
            <v>46</v>
          </cell>
          <cell r="P26" t="str">
            <v>GIOVANNY ANDRES CUBILLOS MORENO</v>
          </cell>
          <cell r="Q26" t="str">
            <v>CONTRATO DE PRESTACION DE SERVICIOS DE APOYO A LA GESTION</v>
          </cell>
          <cell r="R26">
            <v>65</v>
          </cell>
          <cell r="S26" t="str">
            <v>VIGENTE</v>
          </cell>
          <cell r="T26">
            <v>2630000</v>
          </cell>
        </row>
        <row r="27">
          <cell r="N27">
            <v>54</v>
          </cell>
          <cell r="O27">
            <v>45</v>
          </cell>
          <cell r="P27" t="str">
            <v>ANGELA MARIA RUIZ ARAQUE</v>
          </cell>
          <cell r="Q27" t="str">
            <v>CONTRATO DE PRESTACION DE SERVICIOS PROFESIONALES</v>
          </cell>
          <cell r="R27">
            <v>31</v>
          </cell>
          <cell r="S27" t="str">
            <v>VIGENTE</v>
          </cell>
          <cell r="T27">
            <v>4800000</v>
          </cell>
        </row>
        <row r="28">
          <cell r="N28">
            <v>109</v>
          </cell>
          <cell r="O28">
            <v>99</v>
          </cell>
          <cell r="P28" t="str">
            <v>LEONEL  SERRATO VASQUEZ</v>
          </cell>
          <cell r="Q28" t="str">
            <v>CONTRATO DE PRESTACION DE SERVICIOS DE APOYO A LA GESTION</v>
          </cell>
          <cell r="R28">
            <v>78</v>
          </cell>
          <cell r="S28" t="str">
            <v>VIGENTE</v>
          </cell>
          <cell r="T28">
            <v>2630000</v>
          </cell>
        </row>
        <row r="29">
          <cell r="N29">
            <v>88</v>
          </cell>
          <cell r="O29">
            <v>120</v>
          </cell>
          <cell r="P29" t="str">
            <v>RODOLFO ANTONIO PARRA RODRIGUEZ</v>
          </cell>
          <cell r="Q29" t="str">
            <v>CONTRATO DE PRESTACION DE SERVICIOS PROFESIONALES</v>
          </cell>
          <cell r="R29">
            <v>98</v>
          </cell>
          <cell r="S29" t="str">
            <v>VIGENTE</v>
          </cell>
          <cell r="T29">
            <v>6600000</v>
          </cell>
        </row>
        <row r="30">
          <cell r="N30">
            <v>196</v>
          </cell>
          <cell r="O30">
            <v>206</v>
          </cell>
          <cell r="P30" t="str">
            <v>JAIR ALEJANDRO ALVARADO SOTO</v>
          </cell>
          <cell r="Q30" t="str">
            <v>CONTRATO DE PRESTACION DE SERVICIOS PROFESIONALES</v>
          </cell>
          <cell r="R30">
            <v>208</v>
          </cell>
          <cell r="S30" t="str">
            <v>VIGENTE</v>
          </cell>
          <cell r="T30">
            <v>4500000</v>
          </cell>
        </row>
        <row r="31">
          <cell r="N31">
            <v>104</v>
          </cell>
          <cell r="O31">
            <v>93</v>
          </cell>
          <cell r="P31" t="str">
            <v>ALVARO IVAN SALAZAR DAZA</v>
          </cell>
          <cell r="Q31" t="str">
            <v>CONTRATO DE PRESTACION DE SERVICIOS PROFESIONALES</v>
          </cell>
          <cell r="R31">
            <v>64</v>
          </cell>
          <cell r="S31" t="str">
            <v>VIGENTE</v>
          </cell>
          <cell r="T31">
            <v>2950000</v>
          </cell>
        </row>
        <row r="32">
          <cell r="N32">
            <v>64</v>
          </cell>
          <cell r="O32">
            <v>48</v>
          </cell>
          <cell r="P32" t="str">
            <v>NUBIA ALEXANDRA CORTES REINA</v>
          </cell>
          <cell r="Q32" t="str">
            <v>CONTRATO DE PRESTACION DE SERVICIOS DE APOYO A LA GESTION</v>
          </cell>
          <cell r="R32">
            <v>71</v>
          </cell>
          <cell r="S32" t="str">
            <v>VIGENTE</v>
          </cell>
          <cell r="T32">
            <v>2630000</v>
          </cell>
        </row>
        <row r="33">
          <cell r="N33">
            <v>198</v>
          </cell>
          <cell r="O33">
            <v>215</v>
          </cell>
          <cell r="P33" t="str">
            <v>DIEGO ANTONIO RODRIGUEZ CARRILLO</v>
          </cell>
          <cell r="Q33" t="str">
            <v>CONTRATO DE PRESTACION DE SERVICIOS PROFESIONALES</v>
          </cell>
          <cell r="R33">
            <v>200</v>
          </cell>
          <cell r="S33" t="str">
            <v>VIGENTE</v>
          </cell>
          <cell r="T33">
            <v>4500000</v>
          </cell>
        </row>
        <row r="34">
          <cell r="N34">
            <v>208</v>
          </cell>
          <cell r="O34">
            <v>204</v>
          </cell>
          <cell r="P34" t="str">
            <v>JORGE LEONARDO TORRES ROMERO</v>
          </cell>
          <cell r="Q34" t="str">
            <v>CONTRATO DE PRESTACION DE SERVICIOS DE APOYO A LA GESTION</v>
          </cell>
          <cell r="R34">
            <v>204</v>
          </cell>
          <cell r="S34" t="str">
            <v>VIGENTE</v>
          </cell>
          <cell r="T34">
            <v>1773000</v>
          </cell>
        </row>
        <row r="35">
          <cell r="N35">
            <v>62</v>
          </cell>
          <cell r="O35">
            <v>44</v>
          </cell>
          <cell r="P35" t="str">
            <v>OSCAR JAVIER MARTINEZ REYES</v>
          </cell>
          <cell r="Q35" t="str">
            <v>CONTRATO DE PRESTACION DE SERVICIOS DE APOYO A LA GESTION</v>
          </cell>
          <cell r="R35">
            <v>66</v>
          </cell>
          <cell r="S35" t="str">
            <v>VIGENTE</v>
          </cell>
          <cell r="T35">
            <v>2630000</v>
          </cell>
        </row>
        <row r="36">
          <cell r="N36">
            <v>118</v>
          </cell>
          <cell r="O36">
            <v>127</v>
          </cell>
          <cell r="P36" t="str">
            <v>Karem Lizette Cespedes Hernandez</v>
          </cell>
          <cell r="Q36" t="str">
            <v>CONTRATO DE PRESTACION DE SERVICIOS PROFESIONALES</v>
          </cell>
          <cell r="R36">
            <v>117</v>
          </cell>
          <cell r="S36" t="str">
            <v>VIGENTE</v>
          </cell>
          <cell r="T36">
            <v>5380000</v>
          </cell>
        </row>
        <row r="37">
          <cell r="N37">
            <v>235</v>
          </cell>
          <cell r="O37">
            <v>214</v>
          </cell>
          <cell r="P37" t="str">
            <v>KATHERINE AURORA MEJIA LEAL</v>
          </cell>
          <cell r="Q37" t="str">
            <v>CONTRATO DE PRESTACION DE SERVICIOS PROFESIONALES</v>
          </cell>
          <cell r="R37">
            <v>218</v>
          </cell>
          <cell r="S37" t="str">
            <v>VIGENTE</v>
          </cell>
          <cell r="T37">
            <v>4448000</v>
          </cell>
        </row>
        <row r="38">
          <cell r="N38">
            <v>234</v>
          </cell>
          <cell r="O38">
            <v>195</v>
          </cell>
          <cell r="P38" t="str">
            <v>DAVID ERNESTO ARIAS SILVA</v>
          </cell>
          <cell r="Q38" t="str">
            <v>CONTRATO DE PRESTACION DE SERVICIOS PROFESIONALES</v>
          </cell>
          <cell r="R38">
            <v>212</v>
          </cell>
          <cell r="S38" t="str">
            <v>VIGENTE</v>
          </cell>
          <cell r="T38">
            <v>5500000</v>
          </cell>
        </row>
        <row r="39">
          <cell r="N39">
            <v>134</v>
          </cell>
          <cell r="O39">
            <v>131</v>
          </cell>
          <cell r="P39" t="str">
            <v>ALEJANDRO  MENDOZA JARAMILLO</v>
          </cell>
          <cell r="Q39" t="str">
            <v>CONTRATO DE PRESTACION DE SERVICIOS PROFESIONALES</v>
          </cell>
          <cell r="R39">
            <v>122</v>
          </cell>
          <cell r="S39" t="str">
            <v>VIGENTE</v>
          </cell>
          <cell r="T39">
            <v>4800000</v>
          </cell>
        </row>
        <row r="40">
          <cell r="N40">
            <v>90</v>
          </cell>
          <cell r="O40">
            <v>112</v>
          </cell>
          <cell r="P40" t="str">
            <v>OSCAR JAVIER BECERRA MORA</v>
          </cell>
          <cell r="Q40" t="str">
            <v>CONTRATO DE PRESTACION DE SERVICIOS DE APOYO A LA GESTION</v>
          </cell>
          <cell r="R40">
            <v>100</v>
          </cell>
          <cell r="S40" t="str">
            <v>VIGENTE</v>
          </cell>
          <cell r="T40">
            <v>5890000</v>
          </cell>
        </row>
        <row r="41">
          <cell r="N41">
            <v>127</v>
          </cell>
          <cell r="O41">
            <v>115</v>
          </cell>
          <cell r="P41" t="str">
            <v>CHALOT  GAVIRIA VELANDIA</v>
          </cell>
          <cell r="Q41" t="str">
            <v>CONTRATO DE PRESTACION DE SERVICIOS PROFESIONALES</v>
          </cell>
          <cell r="R41">
            <v>97</v>
          </cell>
          <cell r="S41" t="str">
            <v>VIGENTE</v>
          </cell>
          <cell r="T41">
            <v>4800000</v>
          </cell>
        </row>
        <row r="42">
          <cell r="N42">
            <v>206</v>
          </cell>
          <cell r="O42">
            <v>205</v>
          </cell>
          <cell r="P42" t="str">
            <v>giovanny francisco lopez perez</v>
          </cell>
          <cell r="Q42" t="str">
            <v>CONTRATO DE PRESTACION DE SERVICIOS DE APOYO A LA GESTION</v>
          </cell>
          <cell r="R42">
            <v>198</v>
          </cell>
          <cell r="S42" t="str">
            <v>VIGENTE</v>
          </cell>
          <cell r="T42">
            <v>1970000</v>
          </cell>
        </row>
        <row r="43">
          <cell r="N43">
            <v>121</v>
          </cell>
          <cell r="O43">
            <v>132</v>
          </cell>
          <cell r="P43" t="str">
            <v>JUAN SEBASTIAN ORTIZ ROJAS</v>
          </cell>
          <cell r="Q43" t="str">
            <v>CONTRATO DE PRESTACION DE SERVICIOS PROFESIONALES</v>
          </cell>
          <cell r="R43">
            <v>124</v>
          </cell>
          <cell r="S43" t="str">
            <v>VIGENTE</v>
          </cell>
          <cell r="T43">
            <v>6600000</v>
          </cell>
        </row>
        <row r="44">
          <cell r="N44">
            <v>126</v>
          </cell>
          <cell r="O44">
            <v>133</v>
          </cell>
          <cell r="P44" t="str">
            <v>KAREN ROCIO FORERO GARAVITO</v>
          </cell>
          <cell r="Q44" t="str">
            <v>CONTRATO DE PRESTACION DE SERVICIOS PROFESIONALES</v>
          </cell>
          <cell r="R44">
            <v>128</v>
          </cell>
          <cell r="S44" t="str">
            <v>VIGENTE</v>
          </cell>
          <cell r="T44">
            <v>4840000</v>
          </cell>
        </row>
        <row r="45">
          <cell r="N45">
            <v>124</v>
          </cell>
          <cell r="O45">
            <v>135</v>
          </cell>
          <cell r="P45" t="str">
            <v>MARTHA LILIANA TRIGOS PICON</v>
          </cell>
          <cell r="Q45" t="str">
            <v>CONTRATO DE PRESTACION DE SERVICIOS PROFESIONALES</v>
          </cell>
          <cell r="R45">
            <v>110</v>
          </cell>
          <cell r="S45" t="str">
            <v>VIGENTE</v>
          </cell>
          <cell r="T45">
            <v>4800000</v>
          </cell>
        </row>
        <row r="46">
          <cell r="N46">
            <v>89</v>
          </cell>
          <cell r="O46">
            <v>119</v>
          </cell>
          <cell r="P46" t="str">
            <v>HELENA MARIA FERNANDEZ SARMIENTO</v>
          </cell>
          <cell r="Q46" t="str">
            <v>CONTRATO DE PRESTACION DE SERVICIOS PROFESIONALES</v>
          </cell>
          <cell r="R46">
            <v>99</v>
          </cell>
          <cell r="S46" t="str">
            <v>VIGENTE</v>
          </cell>
          <cell r="T46">
            <v>5380000</v>
          </cell>
        </row>
        <row r="47">
          <cell r="N47">
            <v>143</v>
          </cell>
          <cell r="O47">
            <v>134</v>
          </cell>
          <cell r="P47" t="str">
            <v>FERNANDO  SANCHEZ SABOGAL</v>
          </cell>
          <cell r="Q47" t="str">
            <v>CONTRATO DE PRESTACION DE SERVICIOS DE APOYO A LA GESTION</v>
          </cell>
          <cell r="R47">
            <v>118</v>
          </cell>
          <cell r="S47" t="str">
            <v>VIGENTE</v>
          </cell>
          <cell r="T47">
            <v>2920000</v>
          </cell>
        </row>
        <row r="48">
          <cell r="N48">
            <v>201</v>
          </cell>
          <cell r="O48">
            <v>202</v>
          </cell>
          <cell r="P48" t="str">
            <v>SANTIAGO  URREGO GARAY</v>
          </cell>
          <cell r="Q48" t="str">
            <v>CONTRATO DE PRESTACION DE SERVICIOS DE APOYO A LA GESTION</v>
          </cell>
          <cell r="R48">
            <v>207</v>
          </cell>
          <cell r="S48" t="str">
            <v>VIGENTE</v>
          </cell>
          <cell r="T48">
            <v>1970000</v>
          </cell>
        </row>
        <row r="49">
          <cell r="N49">
            <v>257</v>
          </cell>
          <cell r="O49">
            <v>208</v>
          </cell>
          <cell r="P49" t="str">
            <v>SIMON ANDRES ROJAS GUTIERREZ</v>
          </cell>
          <cell r="Q49" t="str">
            <v>CONTRATO DE PRESTACION DE SERVICIOS PROFESIONALES</v>
          </cell>
          <cell r="R49">
            <v>220</v>
          </cell>
          <cell r="S49" t="str">
            <v>VIGENTE</v>
          </cell>
          <cell r="T49">
            <v>3534667</v>
          </cell>
        </row>
        <row r="50">
          <cell r="N50">
            <v>130</v>
          </cell>
          <cell r="O50">
            <v>114</v>
          </cell>
          <cell r="P50" t="str">
            <v>LIDA CONSTANZA MEDRANO RINCON</v>
          </cell>
          <cell r="Q50" t="str">
            <v>CONTRATO DE PRESTACION DE SERVICIOS PROFESIONALES</v>
          </cell>
          <cell r="R50">
            <v>126</v>
          </cell>
          <cell r="S50" t="str">
            <v>VIGENTE</v>
          </cell>
          <cell r="T50">
            <v>6606000</v>
          </cell>
        </row>
        <row r="51">
          <cell r="N51">
            <v>197</v>
          </cell>
          <cell r="O51">
            <v>198</v>
          </cell>
          <cell r="P51" t="str">
            <v>JOSE NICOLAS MARTINEZ ARENAS</v>
          </cell>
          <cell r="Q51" t="str">
            <v>CONTRATO DE PRESTACION DE SERVICIOS PROFESIONALES</v>
          </cell>
          <cell r="R51">
            <v>191</v>
          </cell>
          <cell r="S51" t="str">
            <v>VIGENTE</v>
          </cell>
          <cell r="T51">
            <v>2630000</v>
          </cell>
        </row>
        <row r="52">
          <cell r="N52">
            <v>28</v>
          </cell>
          <cell r="O52">
            <v>37</v>
          </cell>
          <cell r="P52" t="str">
            <v>INGRID JOHANA PARADA MENDIVELSO</v>
          </cell>
          <cell r="Q52" t="str">
            <v>CONTRATO DE PRESTACION DE SERVICIOS DE APOYO A LA GESTION</v>
          </cell>
          <cell r="R52">
            <v>17</v>
          </cell>
          <cell r="S52" t="str">
            <v>VIGENTE</v>
          </cell>
          <cell r="T52">
            <v>3600000</v>
          </cell>
        </row>
        <row r="53">
          <cell r="N53">
            <v>87</v>
          </cell>
          <cell r="O53">
            <v>122</v>
          </cell>
          <cell r="P53" t="str">
            <v>OSWALDO JAVIER URREGO VARGAS</v>
          </cell>
          <cell r="Q53" t="str">
            <v>CONTRATO DE PRESTACION DE SERVICIOS PROFESIONALES</v>
          </cell>
          <cell r="R53">
            <v>94</v>
          </cell>
          <cell r="S53" t="str">
            <v>VIGENTE</v>
          </cell>
          <cell r="T53">
            <v>4910000</v>
          </cell>
        </row>
        <row r="54">
          <cell r="N54">
            <v>311</v>
          </cell>
          <cell r="O54">
            <v>310</v>
          </cell>
          <cell r="P54" t="str">
            <v>NUBIA MARCELA RINCON BUENHOMBRE</v>
          </cell>
          <cell r="Q54" t="str">
            <v>CONTRATO DE PRESTACION DE SERVICIOS PROFESIONALES</v>
          </cell>
          <cell r="R54">
            <v>265</v>
          </cell>
          <cell r="S54" t="str">
            <v>VIGENTE</v>
          </cell>
          <cell r="T54">
            <v>1320000</v>
          </cell>
        </row>
        <row r="55">
          <cell r="N55">
            <v>211</v>
          </cell>
          <cell r="O55">
            <v>213</v>
          </cell>
          <cell r="P55" t="str">
            <v>DIEGO JAVIER PARRA CORTES</v>
          </cell>
          <cell r="Q55" t="str">
            <v>CONTRATO DE PRESTACION DE SERVICIOS PROFESIONALES</v>
          </cell>
          <cell r="R55">
            <v>209</v>
          </cell>
          <cell r="S55" t="str">
            <v>VIGENTE</v>
          </cell>
          <cell r="T55">
            <v>7200000</v>
          </cell>
        </row>
        <row r="56">
          <cell r="N56">
            <v>72</v>
          </cell>
          <cell r="O56">
            <v>113</v>
          </cell>
          <cell r="P56" t="str">
            <v>ANDRES JULIAN JIMENEZ DURAN</v>
          </cell>
          <cell r="Q56" t="str">
            <v>CONTRATO DE PRESTACION DE SERVICIOS PROFESIONALES</v>
          </cell>
          <cell r="R56">
            <v>101</v>
          </cell>
          <cell r="S56" t="str">
            <v>VIGENTE</v>
          </cell>
          <cell r="T56">
            <v>5890000</v>
          </cell>
        </row>
        <row r="57">
          <cell r="N57">
            <v>91</v>
          </cell>
          <cell r="O57">
            <v>108</v>
          </cell>
          <cell r="P57" t="str">
            <v>LIZETH PAOLA LOPEZ BARRERA</v>
          </cell>
          <cell r="Q57" t="str">
            <v>CONTRATO DE PRESTACION DE SERVICIOS PROFESIONALES</v>
          </cell>
          <cell r="R57">
            <v>103</v>
          </cell>
          <cell r="S57" t="str">
            <v>VIGENTE</v>
          </cell>
          <cell r="T57">
            <v>5380000</v>
          </cell>
        </row>
        <row r="58">
          <cell r="N58">
            <v>120</v>
          </cell>
          <cell r="O58">
            <v>128</v>
          </cell>
          <cell r="P58" t="str">
            <v>SANDRA JINNETH SABOGAL BERNAL</v>
          </cell>
          <cell r="Q58" t="str">
            <v>CONTRATO DE PRESTACION DE SERVICIOS PROFESIONALES</v>
          </cell>
          <cell r="R58">
            <v>123</v>
          </cell>
          <cell r="S58" t="str">
            <v>VIGENTE</v>
          </cell>
          <cell r="T58">
            <v>5380000</v>
          </cell>
        </row>
        <row r="59">
          <cell r="N59">
            <v>85</v>
          </cell>
          <cell r="O59">
            <v>111</v>
          </cell>
          <cell r="P59" t="str">
            <v>JULIETH GEORYANNA RODRIGUEZ JAIMES</v>
          </cell>
          <cell r="Q59" t="str">
            <v>CONTRATO DE PRESTACION DE SERVICIOS PROFESIONALES</v>
          </cell>
          <cell r="R59">
            <v>92</v>
          </cell>
          <cell r="S59" t="str">
            <v>VIGENTE</v>
          </cell>
          <cell r="T59">
            <v>5380000</v>
          </cell>
        </row>
        <row r="60">
          <cell r="N60">
            <v>101</v>
          </cell>
          <cell r="O60">
            <v>109</v>
          </cell>
          <cell r="P60" t="str">
            <v>PAULA ANDREA AYALA BARON</v>
          </cell>
          <cell r="Q60" t="str">
            <v>CONTRATO DE PRESTACION DE SERVICIOS PROFESIONALES</v>
          </cell>
          <cell r="R60">
            <v>93</v>
          </cell>
          <cell r="S60" t="str">
            <v>VIGENTE</v>
          </cell>
          <cell r="T60">
            <v>5380000</v>
          </cell>
        </row>
        <row r="61">
          <cell r="N61">
            <v>76</v>
          </cell>
          <cell r="O61">
            <v>110</v>
          </cell>
          <cell r="P61" t="str">
            <v>CAROLINA  ORTIZ PEDRAZA</v>
          </cell>
          <cell r="Q61" t="str">
            <v>CONTRATO DE PRESTACION DE SERVICIOS PROFESIONALES</v>
          </cell>
          <cell r="R61">
            <v>120</v>
          </cell>
          <cell r="S61" t="str">
            <v>VIGENTE</v>
          </cell>
          <cell r="T61">
            <v>5380000</v>
          </cell>
        </row>
        <row r="62">
          <cell r="N62">
            <v>250</v>
          </cell>
          <cell r="O62">
            <v>212</v>
          </cell>
          <cell r="P62" t="str">
            <v>DIANA PAOLA BEDOYA GARCIA</v>
          </cell>
          <cell r="Q62" t="str">
            <v>CONTRATO DE PRESTACION DE SERVICIOS PROFESIONALES</v>
          </cell>
          <cell r="R62">
            <v>223</v>
          </cell>
          <cell r="S62" t="str">
            <v>VIGENTE</v>
          </cell>
          <cell r="T62">
            <v>4515667</v>
          </cell>
        </row>
        <row r="63">
          <cell r="N63">
            <v>117</v>
          </cell>
          <cell r="O63">
            <v>137</v>
          </cell>
          <cell r="P63" t="str">
            <v>JAVIER ENRIQUE MOTTA MORALES</v>
          </cell>
          <cell r="Q63" t="str">
            <v>CONTRATO DE PRESTACION DE SERVICIOS DE APOYO A LA GESTION</v>
          </cell>
          <cell r="R63">
            <v>116</v>
          </cell>
          <cell r="S63" t="str">
            <v>VIGENTE</v>
          </cell>
          <cell r="T63">
            <v>3480000</v>
          </cell>
        </row>
        <row r="64">
          <cell r="N64">
            <v>210</v>
          </cell>
          <cell r="O64">
            <v>201</v>
          </cell>
          <cell r="P64" t="str">
            <v>CESAR FERSEN ANDERY PADILLA RODRIGUEZ</v>
          </cell>
          <cell r="Q64" t="str">
            <v>CONTRATO DE PRESTACION DE SERVICIOS DE APOYO A LA GESTION</v>
          </cell>
          <cell r="R64">
            <v>206</v>
          </cell>
          <cell r="S64" t="str">
            <v>VIGENTE</v>
          </cell>
          <cell r="T64">
            <v>1970000</v>
          </cell>
        </row>
        <row r="65">
          <cell r="N65">
            <v>122</v>
          </cell>
          <cell r="O65">
            <v>136</v>
          </cell>
          <cell r="P65" t="str">
            <v>HELLEN  QUIROGA MORA</v>
          </cell>
          <cell r="Q65" t="str">
            <v>CONTRATO DE PRESTACION DE SERVICIOS PROFESIONALES</v>
          </cell>
          <cell r="R65">
            <v>125</v>
          </cell>
          <cell r="S65" t="str">
            <v>VIGENTE</v>
          </cell>
          <cell r="T65">
            <v>5282044</v>
          </cell>
        </row>
        <row r="66">
          <cell r="N66">
            <v>78</v>
          </cell>
          <cell r="O66">
            <v>130</v>
          </cell>
          <cell r="P66" t="str">
            <v>ANDRES IVAN ALBARRACIN SALAMANCA</v>
          </cell>
          <cell r="Q66" t="str">
            <v>CONTRATO DE PRESTACION DE SERVICIOS PROFESIONALES</v>
          </cell>
          <cell r="R66">
            <v>115</v>
          </cell>
          <cell r="S66" t="str">
            <v>VIGENTE</v>
          </cell>
          <cell r="T66">
            <v>4800000</v>
          </cell>
        </row>
        <row r="67">
          <cell r="N67">
            <v>200</v>
          </cell>
          <cell r="O67">
            <v>203</v>
          </cell>
          <cell r="P67" t="str">
            <v>JOSE LUIS ORTIZ CARDENAS</v>
          </cell>
          <cell r="Q67" t="str">
            <v>CONTRATO DE PRESTACION DE SERVICIOS DE APOYO A LA GESTION</v>
          </cell>
          <cell r="R67">
            <v>201</v>
          </cell>
          <cell r="S67" t="str">
            <v>VIGENTE</v>
          </cell>
          <cell r="T67">
            <v>1970000</v>
          </cell>
        </row>
        <row r="68">
          <cell r="N68">
            <v>49</v>
          </cell>
          <cell r="O68">
            <v>47</v>
          </cell>
          <cell r="P68" t="str">
            <v>LAURA RENNEE DEL PINO BUSTOS</v>
          </cell>
          <cell r="Q68" t="str">
            <v>CONTRATO DE PRESTACION DE SERVICIOS PROFESIONALES</v>
          </cell>
          <cell r="R68">
            <v>70</v>
          </cell>
          <cell r="S68" t="str">
            <v>VIGENTE</v>
          </cell>
          <cell r="T68">
            <v>4820000</v>
          </cell>
        </row>
        <row r="69">
          <cell r="N69">
            <v>237</v>
          </cell>
          <cell r="O69">
            <v>207</v>
          </cell>
          <cell r="P69" t="str">
            <v xml:space="preserve">JHOAN SEBASTIAN SANCHEZ </v>
          </cell>
          <cell r="Q69" t="str">
            <v>CONTRATO DE PRESTACION DE SERVICIOS DE APOYO A LA GESTION</v>
          </cell>
          <cell r="R69">
            <v>221</v>
          </cell>
          <cell r="S69" t="str">
            <v>VIGENTE</v>
          </cell>
          <cell r="T69">
            <v>2104000</v>
          </cell>
        </row>
        <row r="70">
          <cell r="N70">
            <v>69</v>
          </cell>
          <cell r="O70">
            <v>129</v>
          </cell>
          <cell r="P70" t="str">
            <v>MELVA SAHIDY PASTRANA MORALES</v>
          </cell>
          <cell r="Q70" t="str">
            <v>CONTRATO DE PRESTACION DE SERVICIOS PROFESIONALES</v>
          </cell>
          <cell r="R70">
            <v>108</v>
          </cell>
          <cell r="S70" t="str">
            <v>VIGENTE</v>
          </cell>
          <cell r="T70">
            <v>5280000</v>
          </cell>
        </row>
        <row r="71">
          <cell r="N71">
            <v>106</v>
          </cell>
          <cell r="O71">
            <v>95</v>
          </cell>
          <cell r="P71" t="str">
            <v>JUAN PABLO LOPEZ PENAGOS</v>
          </cell>
          <cell r="Q71" t="str">
            <v>CONTRATO DE PRESTACION DE SERVICIOS PROFESIONALES</v>
          </cell>
          <cell r="R71">
            <v>74</v>
          </cell>
          <cell r="S71" t="str">
            <v>VIGENTE</v>
          </cell>
          <cell r="T71">
            <v>4800000</v>
          </cell>
        </row>
        <row r="72">
          <cell r="N72">
            <v>65</v>
          </cell>
          <cell r="O72">
            <v>97</v>
          </cell>
          <cell r="P72" t="str">
            <v>ARMANDO  LOZANO REYES</v>
          </cell>
          <cell r="Q72" t="str">
            <v>CONTRATO DE PRESTACION DE SERVICIOS PROFESIONALES</v>
          </cell>
          <cell r="R72">
            <v>72</v>
          </cell>
          <cell r="S72" t="str">
            <v>VIGENTE</v>
          </cell>
          <cell r="T72">
            <v>8750000</v>
          </cell>
        </row>
        <row r="73">
          <cell r="N73">
            <v>97</v>
          </cell>
          <cell r="O73">
            <v>52</v>
          </cell>
          <cell r="P73" t="str">
            <v>JULIANA ANDREA SANCHEZ RODRIGUEZ</v>
          </cell>
          <cell r="Q73" t="str">
            <v>CONTRATO DE PRESTACION DE SERVICIOS PROFESIONALES</v>
          </cell>
          <cell r="R73">
            <v>67</v>
          </cell>
          <cell r="S73" t="str">
            <v>VIGENTE</v>
          </cell>
          <cell r="T73">
            <v>5150000</v>
          </cell>
        </row>
        <row r="74">
          <cell r="N74">
            <v>296</v>
          </cell>
          <cell r="O74">
            <v>309</v>
          </cell>
          <cell r="P74" t="str">
            <v>ANA MARIA CADENA TOBON</v>
          </cell>
          <cell r="Q74" t="str">
            <v>OFICIO</v>
          </cell>
          <cell r="R74">
            <v>16493</v>
          </cell>
          <cell r="S74" t="str">
            <v>VIGENTE</v>
          </cell>
          <cell r="T74">
            <v>985458</v>
          </cell>
        </row>
        <row r="75">
          <cell r="N75">
            <v>248</v>
          </cell>
          <cell r="O75">
            <v>211</v>
          </cell>
          <cell r="P75" t="str">
            <v>MILDRED TATIANA MORENO CASTRO</v>
          </cell>
          <cell r="Q75" t="str">
            <v>CONTRATO DE PRESTACION DE SERVICIOS PROFESIONALES</v>
          </cell>
          <cell r="R75">
            <v>219</v>
          </cell>
          <cell r="S75" t="str">
            <v>VIGENTE</v>
          </cell>
          <cell r="T75">
            <v>5075333</v>
          </cell>
        </row>
        <row r="76">
          <cell r="N76">
            <v>199</v>
          </cell>
          <cell r="O76">
            <v>197</v>
          </cell>
          <cell r="P76" t="str">
            <v>CARLOS GUILLERMO VALENCIA MALDONADO</v>
          </cell>
          <cell r="Q76" t="str">
            <v>CONTRATO DE PRESTACION DE SERVICIOS PROFESIONALES</v>
          </cell>
          <cell r="R76">
            <v>199</v>
          </cell>
          <cell r="S76" t="str">
            <v>VIGENTE</v>
          </cell>
          <cell r="T76">
            <v>3240000</v>
          </cell>
        </row>
        <row r="77">
          <cell r="N77">
            <v>203</v>
          </cell>
          <cell r="O77">
            <v>209</v>
          </cell>
          <cell r="P77" t="str">
            <v>PABLO ANDRES ANGEL PEREZ</v>
          </cell>
          <cell r="Q77" t="str">
            <v>CONTRATO DE PRESTACION DE SERVICIOS PROFESIONALES</v>
          </cell>
          <cell r="R77">
            <v>205</v>
          </cell>
          <cell r="S77" t="str">
            <v>VIGENTE</v>
          </cell>
          <cell r="T77">
            <v>7700000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M92"/>
  <sheetViews>
    <sheetView tabSelected="1" zoomScale="84" zoomScaleNormal="84" workbookViewId="0">
      <selection activeCell="F38" sqref="F38"/>
    </sheetView>
  </sheetViews>
  <sheetFormatPr baseColWidth="10" defaultRowHeight="12.75"/>
  <cols>
    <col min="1" max="1" width="28.42578125" customWidth="1"/>
    <col min="2" max="2" width="15.42578125" style="114" customWidth="1"/>
    <col min="3" max="3" width="20" customWidth="1"/>
    <col min="4" max="4" width="23.7109375" customWidth="1"/>
    <col min="5" max="5" width="30.85546875" customWidth="1"/>
    <col min="6" max="6" width="32.7109375" customWidth="1"/>
    <col min="7" max="8" width="23.7109375" customWidth="1"/>
    <col min="9" max="9" width="10.85546875" style="936" customWidth="1"/>
    <col min="10" max="10" width="11" style="133" customWidth="1"/>
    <col min="11" max="11" width="10.85546875" style="165" customWidth="1"/>
    <col min="12" max="12" width="9" style="134" customWidth="1"/>
    <col min="13" max="13" width="15" style="114" customWidth="1"/>
    <col min="14" max="14" width="15" style="505" customWidth="1"/>
    <col min="15" max="15" width="15" style="114" customWidth="1"/>
    <col min="16" max="16" width="13.5703125" style="70" customWidth="1"/>
    <col min="17" max="18" width="11.42578125" style="116" customWidth="1"/>
    <col min="19" max="23" width="12.7109375" style="116" customWidth="1"/>
    <col min="24" max="24" width="14.28515625" style="116" customWidth="1"/>
    <col min="25" max="25" width="13.42578125" style="116" customWidth="1"/>
    <col min="26" max="26" width="14.42578125" style="116" customWidth="1"/>
    <col min="27" max="27" width="13.42578125" style="116" customWidth="1"/>
    <col min="28" max="28" width="16.42578125" style="116" bestFit="1" customWidth="1"/>
    <col min="29" max="29" width="13.85546875" style="403" customWidth="1"/>
    <col min="30" max="30" width="13.85546875" style="116" bestFit="1" customWidth="1"/>
    <col min="31" max="31" width="5.5703125" style="1427" customWidth="1"/>
    <col min="32" max="32" width="8.28515625" style="116" hidden="1" customWidth="1"/>
    <col min="33" max="33" width="28" style="129" hidden="1" customWidth="1"/>
    <col min="34" max="34" width="13.28515625" style="129" hidden="1" customWidth="1"/>
    <col min="35" max="35" width="12.140625" style="534" hidden="1" customWidth="1"/>
    <col min="36" max="36" width="17.28515625" style="114" hidden="1" customWidth="1"/>
    <col min="37" max="37" width="14.28515625" hidden="1" customWidth="1"/>
    <col min="38" max="38" width="11.42578125" style="917" hidden="1" customWidth="1"/>
    <col min="39" max="39" width="0" hidden="1" customWidth="1"/>
  </cols>
  <sheetData>
    <row r="1" spans="1:38" ht="42.75" customHeight="1" thickBot="1">
      <c r="A1" s="2180"/>
      <c r="B1" s="2177" t="s">
        <v>619</v>
      </c>
      <c r="C1" s="2178"/>
      <c r="D1" s="2178"/>
      <c r="E1" s="2178"/>
      <c r="F1" s="2178"/>
      <c r="G1" s="2178"/>
      <c r="H1" s="2178"/>
      <c r="I1" s="2178"/>
      <c r="J1" s="2178"/>
      <c r="K1" s="2178"/>
      <c r="L1" s="2178"/>
      <c r="M1" s="2178"/>
      <c r="N1" s="2178"/>
      <c r="O1" s="2178"/>
      <c r="P1" s="2178"/>
      <c r="Q1" s="2178"/>
      <c r="R1" s="2178"/>
      <c r="S1" s="2178"/>
      <c r="T1" s="2178"/>
      <c r="U1" s="2178"/>
      <c r="V1" s="2178"/>
      <c r="W1" s="2178"/>
      <c r="X1" s="2178"/>
      <c r="Y1" s="2178"/>
      <c r="Z1" s="2178"/>
      <c r="AA1" s="2178"/>
      <c r="AB1" s="2178"/>
      <c r="AC1" s="2178"/>
      <c r="AD1" s="2179"/>
      <c r="AE1" s="1418"/>
      <c r="AF1" s="300"/>
      <c r="AG1" s="1"/>
    </row>
    <row r="2" spans="1:38" ht="42.75" customHeight="1" thickBot="1">
      <c r="A2" s="2181"/>
      <c r="B2" s="2177" t="s">
        <v>1161</v>
      </c>
      <c r="C2" s="2178"/>
      <c r="D2" s="2178"/>
      <c r="E2" s="2178"/>
      <c r="F2" s="2178"/>
      <c r="G2" s="2178"/>
      <c r="H2" s="2178"/>
      <c r="I2" s="2178"/>
      <c r="J2" s="2178"/>
      <c r="K2" s="2178"/>
      <c r="L2" s="2178"/>
      <c r="M2" s="2178"/>
      <c r="N2" s="2178"/>
      <c r="O2" s="2178"/>
      <c r="P2" s="2178"/>
      <c r="Q2" s="2178"/>
      <c r="R2" s="2178"/>
      <c r="S2" s="2178"/>
      <c r="T2" s="2178"/>
      <c r="U2" s="2178"/>
      <c r="V2" s="2178"/>
      <c r="W2" s="2178"/>
      <c r="X2" s="2178"/>
      <c r="Y2" s="2178"/>
      <c r="Z2" s="2178"/>
      <c r="AA2" s="2178"/>
      <c r="AB2" s="2178"/>
      <c r="AC2" s="2178"/>
      <c r="AD2" s="2179"/>
      <c r="AE2" s="1418"/>
      <c r="AF2" s="300"/>
      <c r="AG2" s="2"/>
    </row>
    <row r="3" spans="1:38" ht="42.75" customHeight="1" thickBot="1">
      <c r="A3" s="2182"/>
      <c r="B3" s="2177" t="s">
        <v>1146</v>
      </c>
      <c r="C3" s="2178"/>
      <c r="D3" s="2178"/>
      <c r="E3" s="2178"/>
      <c r="F3" s="2178"/>
      <c r="G3" s="2178"/>
      <c r="H3" s="2178"/>
      <c r="I3" s="2178"/>
      <c r="J3" s="2178"/>
      <c r="K3" s="2178"/>
      <c r="L3" s="2178"/>
      <c r="M3" s="2178"/>
      <c r="N3" s="2178"/>
      <c r="O3" s="2178"/>
      <c r="P3" s="2178"/>
      <c r="Q3" s="2178"/>
      <c r="R3" s="2178"/>
      <c r="S3" s="2178"/>
      <c r="T3" s="2178"/>
      <c r="U3" s="2178"/>
      <c r="V3" s="2178"/>
      <c r="W3" s="2178"/>
      <c r="X3" s="2178"/>
      <c r="Y3" s="2178"/>
      <c r="Z3" s="2178"/>
      <c r="AA3" s="2178"/>
      <c r="AB3" s="2178"/>
      <c r="AC3" s="2178"/>
      <c r="AD3" s="2179"/>
      <c r="AE3" s="1418"/>
      <c r="AF3" s="300"/>
      <c r="AG3" s="2"/>
    </row>
    <row r="4" spans="1:38" s="279" customFormat="1" ht="12" customHeight="1">
      <c r="A4" s="731" t="s">
        <v>0</v>
      </c>
      <c r="B4" s="540"/>
      <c r="C4" s="540"/>
      <c r="D4" s="540"/>
      <c r="E4" s="540"/>
      <c r="F4" s="540"/>
      <c r="G4" s="540"/>
      <c r="H4" s="2036"/>
      <c r="I4" s="937"/>
      <c r="J4" s="38"/>
      <c r="K4" s="472"/>
      <c r="L4" s="960"/>
      <c r="M4" s="472"/>
      <c r="N4" s="960"/>
      <c r="O4" s="472"/>
      <c r="P4" s="39"/>
      <c r="Q4" s="39"/>
      <c r="R4" s="39"/>
      <c r="S4" s="39"/>
      <c r="T4" s="39"/>
      <c r="U4" s="39"/>
      <c r="V4" s="39"/>
      <c r="W4" s="39"/>
      <c r="X4" s="39"/>
      <c r="Y4" s="39"/>
      <c r="Z4" s="39"/>
      <c r="AA4" s="39"/>
      <c r="AB4" s="39"/>
      <c r="AC4" s="39"/>
      <c r="AD4" s="1416"/>
      <c r="AE4" s="1418"/>
      <c r="AF4" s="39"/>
      <c r="AI4" s="1022"/>
      <c r="AJ4" s="315"/>
      <c r="AL4" s="1179"/>
    </row>
    <row r="5" spans="1:38" s="279" customFormat="1">
      <c r="A5" s="2174" t="s">
        <v>408</v>
      </c>
      <c r="B5" s="2173"/>
      <c r="C5" s="2173"/>
      <c r="D5" s="2173"/>
      <c r="E5" s="2173"/>
      <c r="F5" s="2173"/>
      <c r="G5" s="2173"/>
      <c r="H5" s="2036"/>
      <c r="I5" s="926"/>
      <c r="J5" s="280"/>
      <c r="K5" s="481"/>
      <c r="L5" s="920"/>
      <c r="M5" s="481"/>
      <c r="N5" s="920"/>
      <c r="O5" s="481"/>
      <c r="P5" s="285"/>
      <c r="Q5" s="285"/>
      <c r="R5" s="285"/>
      <c r="S5" s="285"/>
      <c r="T5" s="285"/>
      <c r="U5" s="285"/>
      <c r="V5" s="285"/>
      <c r="W5" s="285"/>
      <c r="X5" s="285"/>
      <c r="Y5" s="285"/>
      <c r="Z5" s="285"/>
      <c r="AA5" s="285"/>
      <c r="AB5" s="285"/>
      <c r="AC5" s="441"/>
      <c r="AD5" s="544"/>
      <c r="AE5" s="1419"/>
      <c r="AF5" s="285"/>
      <c r="AI5" s="1022"/>
      <c r="AJ5" s="315"/>
      <c r="AL5" s="1179"/>
    </row>
    <row r="6" spans="1:38" s="279" customFormat="1">
      <c r="A6" s="2174" t="s">
        <v>145</v>
      </c>
      <c r="B6" s="2173"/>
      <c r="C6" s="2173"/>
      <c r="D6" s="2173"/>
      <c r="E6" s="2173"/>
      <c r="F6" s="2173"/>
      <c r="G6" s="2173"/>
      <c r="H6" s="2036"/>
      <c r="I6" s="926"/>
      <c r="J6" s="280"/>
      <c r="K6" s="481"/>
      <c r="L6" s="920"/>
      <c r="M6" s="481"/>
      <c r="N6" s="920"/>
      <c r="O6" s="481"/>
      <c r="P6" s="285"/>
      <c r="Q6" s="285"/>
      <c r="R6" s="285"/>
      <c r="S6" s="285"/>
      <c r="T6" s="285"/>
      <c r="U6" s="285"/>
      <c r="V6" s="285"/>
      <c r="W6" s="285"/>
      <c r="X6" s="285"/>
      <c r="Y6" s="285"/>
      <c r="Z6" s="285"/>
      <c r="AA6" s="285"/>
      <c r="AB6" s="285"/>
      <c r="AC6" s="441"/>
      <c r="AD6" s="544"/>
      <c r="AE6" s="1419"/>
      <c r="AF6" s="285"/>
      <c r="AI6" s="1022"/>
      <c r="AJ6" s="315"/>
      <c r="AL6" s="1179"/>
    </row>
    <row r="7" spans="1:38" s="279" customFormat="1">
      <c r="A7" s="2174" t="s">
        <v>144</v>
      </c>
      <c r="B7" s="2173"/>
      <c r="C7" s="2173"/>
      <c r="D7" s="2173"/>
      <c r="E7" s="2173"/>
      <c r="F7" s="2173"/>
      <c r="G7" s="2173"/>
      <c r="H7" s="2036"/>
      <c r="I7" s="926"/>
      <c r="J7" s="280"/>
      <c r="K7" s="481"/>
      <c r="L7" s="920"/>
      <c r="M7" s="481"/>
      <c r="N7" s="920"/>
      <c r="O7" s="481"/>
      <c r="P7" s="285"/>
      <c r="Q7" s="285"/>
      <c r="R7" s="285"/>
      <c r="S7" s="285"/>
      <c r="T7" s="285"/>
      <c r="U7" s="285"/>
      <c r="V7" s="285"/>
      <c r="W7" s="285"/>
      <c r="X7" s="285"/>
      <c r="Y7" s="285"/>
      <c r="Z7" s="285"/>
      <c r="AA7" s="285"/>
      <c r="AB7" s="285"/>
      <c r="AC7" s="441"/>
      <c r="AD7" s="544"/>
      <c r="AE7" s="1419"/>
      <c r="AF7" s="285"/>
      <c r="AI7" s="1022"/>
      <c r="AJ7" s="315"/>
      <c r="AL7" s="1179"/>
    </row>
    <row r="8" spans="1:38" s="279" customFormat="1">
      <c r="A8" s="2174" t="s">
        <v>143</v>
      </c>
      <c r="B8" s="2173"/>
      <c r="C8" s="2173"/>
      <c r="D8" s="2173"/>
      <c r="E8" s="2173"/>
      <c r="F8" s="2173"/>
      <c r="G8" s="2173"/>
      <c r="H8" s="2036"/>
      <c r="I8" s="926"/>
      <c r="J8" s="280"/>
      <c r="K8" s="481"/>
      <c r="L8" s="920"/>
      <c r="M8" s="481"/>
      <c r="N8" s="920"/>
      <c r="O8" s="481"/>
      <c r="P8" s="285"/>
      <c r="Q8" s="285"/>
      <c r="R8" s="285"/>
      <c r="S8" s="285"/>
      <c r="T8" s="285"/>
      <c r="U8" s="285"/>
      <c r="V8" s="285"/>
      <c r="W8" s="285"/>
      <c r="X8" s="285"/>
      <c r="Y8" s="285"/>
      <c r="Z8" s="285"/>
      <c r="AA8" s="285"/>
      <c r="AB8" s="285"/>
      <c r="AC8" s="441"/>
      <c r="AD8" s="544"/>
      <c r="AE8" s="1419"/>
      <c r="AF8" s="285"/>
      <c r="AI8" s="1022"/>
      <c r="AJ8" s="315"/>
      <c r="AL8" s="1179"/>
    </row>
    <row r="9" spans="1:38" s="279" customFormat="1">
      <c r="A9" s="2175" t="s">
        <v>1</v>
      </c>
      <c r="B9" s="2176"/>
      <c r="C9" s="2176"/>
      <c r="D9" s="2176"/>
      <c r="E9" s="2176"/>
      <c r="F9" s="2176"/>
      <c r="G9" s="2176"/>
      <c r="H9" s="2037"/>
      <c r="I9" s="926"/>
      <c r="J9" s="280"/>
      <c r="K9" s="481"/>
      <c r="L9" s="920"/>
      <c r="M9" s="481"/>
      <c r="N9" s="920"/>
      <c r="O9" s="481"/>
      <c r="P9" s="285"/>
      <c r="Q9" s="285"/>
      <c r="R9" s="285"/>
      <c r="S9" s="285"/>
      <c r="T9" s="285"/>
      <c r="U9" s="285"/>
      <c r="V9" s="285"/>
      <c r="W9" s="285"/>
      <c r="X9" s="285"/>
      <c r="Y9" s="285"/>
      <c r="Z9" s="285"/>
      <c r="AA9" s="285"/>
      <c r="AB9" s="285"/>
      <c r="AC9" s="441"/>
      <c r="AD9" s="544"/>
      <c r="AE9" s="1419"/>
      <c r="AF9" s="285"/>
      <c r="AI9" s="1022"/>
      <c r="AJ9" s="315"/>
      <c r="AL9" s="1179"/>
    </row>
    <row r="10" spans="1:38" s="281" customFormat="1">
      <c r="A10" s="730" t="s">
        <v>2</v>
      </c>
      <c r="B10" s="2173" t="s">
        <v>3</v>
      </c>
      <c r="C10" s="2173"/>
      <c r="D10" s="2173"/>
      <c r="E10" s="291"/>
      <c r="F10" s="291"/>
      <c r="G10" s="291"/>
      <c r="H10" s="291"/>
      <c r="I10" s="926"/>
      <c r="J10" s="280"/>
      <c r="K10" s="481"/>
      <c r="L10" s="920"/>
      <c r="M10" s="481"/>
      <c r="N10" s="920"/>
      <c r="O10" s="481"/>
      <c r="P10" s="285"/>
      <c r="Q10" s="285"/>
      <c r="R10" s="285"/>
      <c r="S10" s="285"/>
      <c r="T10" s="285"/>
      <c r="U10" s="285"/>
      <c r="V10" s="285"/>
      <c r="W10" s="285"/>
      <c r="X10" s="285"/>
      <c r="Y10" s="285"/>
      <c r="Z10" s="285"/>
      <c r="AA10" s="285"/>
      <c r="AB10" s="285"/>
      <c r="AC10" s="441"/>
      <c r="AD10" s="544"/>
      <c r="AE10" s="1419"/>
      <c r="AF10" s="285"/>
      <c r="AI10" s="1023"/>
      <c r="AJ10" s="282"/>
      <c r="AL10" s="1180"/>
    </row>
    <row r="11" spans="1:38" s="281" customFormat="1">
      <c r="A11" s="730" t="s">
        <v>4</v>
      </c>
      <c r="B11" s="2173" t="s">
        <v>5</v>
      </c>
      <c r="C11" s="2173"/>
      <c r="D11" s="2173"/>
      <c r="E11" s="2173"/>
      <c r="F11" s="2173"/>
      <c r="G11" s="2173"/>
      <c r="H11" s="2036"/>
      <c r="I11" s="926"/>
      <c r="J11" s="280"/>
      <c r="K11" s="481"/>
      <c r="L11" s="920"/>
      <c r="M11" s="481"/>
      <c r="N11" s="920"/>
      <c r="O11" s="481"/>
      <c r="P11" s="285"/>
      <c r="Q11" s="285"/>
      <c r="R11" s="285"/>
      <c r="S11" s="285"/>
      <c r="T11" s="285"/>
      <c r="U11" s="285"/>
      <c r="V11" s="285"/>
      <c r="W11" s="285"/>
      <c r="X11" s="285"/>
      <c r="Y11" s="285"/>
      <c r="Z11" s="285"/>
      <c r="AA11" s="285"/>
      <c r="AB11" s="285"/>
      <c r="AC11" s="441"/>
      <c r="AD11" s="544"/>
      <c r="AE11" s="1419"/>
      <c r="AF11" s="285"/>
      <c r="AI11" s="1023"/>
      <c r="AJ11" s="282"/>
      <c r="AL11" s="1180"/>
    </row>
    <row r="12" spans="1:38" s="281" customFormat="1">
      <c r="A12" s="545" t="s">
        <v>6</v>
      </c>
      <c r="B12" s="2173" t="s">
        <v>7</v>
      </c>
      <c r="C12" s="2173"/>
      <c r="D12" s="2173"/>
      <c r="E12" s="2173"/>
      <c r="F12" s="2173"/>
      <c r="G12" s="2173"/>
      <c r="H12" s="2036"/>
      <c r="I12" s="926"/>
      <c r="J12" s="280"/>
      <c r="K12" s="481"/>
      <c r="L12" s="920"/>
      <c r="M12" s="481"/>
      <c r="N12" s="920"/>
      <c r="O12" s="481"/>
      <c r="P12" s="285"/>
      <c r="Q12" s="285"/>
      <c r="R12" s="285"/>
      <c r="S12" s="285"/>
      <c r="T12" s="285"/>
      <c r="U12" s="285"/>
      <c r="V12" s="285"/>
      <c r="W12" s="285"/>
      <c r="X12" s="285"/>
      <c r="Y12" s="285"/>
      <c r="Z12" s="285"/>
      <c r="AA12" s="285"/>
      <c r="AB12" s="285"/>
      <c r="AC12" s="441"/>
      <c r="AD12" s="544"/>
      <c r="AE12" s="1419"/>
      <c r="AF12" s="285"/>
      <c r="AI12" s="1023"/>
      <c r="AJ12" s="282"/>
      <c r="AL12" s="1180"/>
    </row>
    <row r="13" spans="1:38" s="281" customFormat="1">
      <c r="A13" s="546" t="s">
        <v>8</v>
      </c>
      <c r="B13" s="292">
        <v>43796</v>
      </c>
      <c r="C13" s="540"/>
      <c r="D13" s="293"/>
      <c r="E13" s="293"/>
      <c r="F13" s="293"/>
      <c r="G13" s="293"/>
      <c r="H13" s="293"/>
      <c r="I13" s="926"/>
      <c r="J13" s="280"/>
      <c r="K13" s="481"/>
      <c r="L13" s="920"/>
      <c r="M13" s="481"/>
      <c r="N13" s="920"/>
      <c r="O13" s="481"/>
      <c r="P13" s="285"/>
      <c r="Q13" s="285"/>
      <c r="R13" s="285"/>
      <c r="S13" s="285"/>
      <c r="T13" s="285"/>
      <c r="U13" s="285"/>
      <c r="V13" s="285"/>
      <c r="W13" s="285"/>
      <c r="X13" s="285"/>
      <c r="Y13" s="285"/>
      <c r="Z13" s="285"/>
      <c r="AA13" s="285"/>
      <c r="AB13" s="285"/>
      <c r="AC13" s="441"/>
      <c r="AD13" s="544"/>
      <c r="AE13" s="1419"/>
      <c r="AF13" s="285"/>
      <c r="AI13" s="1023"/>
      <c r="AJ13" s="282"/>
      <c r="AL13" s="1180"/>
    </row>
    <row r="14" spans="1:38" s="281" customFormat="1">
      <c r="A14" s="547" t="s">
        <v>9</v>
      </c>
      <c r="B14" s="306">
        <f>D15-E15</f>
        <v>0</v>
      </c>
      <c r="C14" s="1345" t="s">
        <v>135</v>
      </c>
      <c r="D14" s="1345" t="s">
        <v>990</v>
      </c>
      <c r="E14" s="1345" t="s">
        <v>991</v>
      </c>
      <c r="F14" s="313"/>
      <c r="G14" s="313"/>
      <c r="H14" s="2051"/>
      <c r="I14" s="927"/>
      <c r="J14" s="283"/>
      <c r="K14" s="482"/>
      <c r="L14" s="921"/>
      <c r="M14" s="482"/>
      <c r="N14" s="921"/>
      <c r="O14" s="482"/>
      <c r="P14" s="286"/>
      <c r="Q14" s="286"/>
      <c r="R14" s="286"/>
      <c r="S14" s="286"/>
      <c r="T14" s="286"/>
      <c r="U14" s="286"/>
      <c r="V14" s="286"/>
      <c r="W14" s="286"/>
      <c r="X14" s="286"/>
      <c r="Y14" s="286"/>
      <c r="Z14" s="286"/>
      <c r="AA14" s="286"/>
      <c r="AB14" s="286"/>
      <c r="AC14" s="442"/>
      <c r="AD14" s="548"/>
      <c r="AE14" s="1419"/>
      <c r="AF14" s="285"/>
      <c r="AI14" s="1023"/>
      <c r="AJ14" s="282"/>
      <c r="AL14" s="1180"/>
    </row>
    <row r="15" spans="1:38" s="281" customFormat="1" ht="13.5" thickBot="1">
      <c r="A15" s="549" t="s">
        <v>10</v>
      </c>
      <c r="B15" s="294">
        <f>C15+B14</f>
        <v>740000000</v>
      </c>
      <c r="C15" s="294">
        <v>740000000</v>
      </c>
      <c r="D15" s="1417">
        <v>0</v>
      </c>
      <c r="E15" s="1417">
        <v>0</v>
      </c>
      <c r="F15" s="540"/>
      <c r="G15" s="540"/>
      <c r="H15" s="2036"/>
      <c r="I15" s="928"/>
      <c r="J15" s="189"/>
      <c r="K15" s="473"/>
      <c r="L15" s="922"/>
      <c r="M15" s="924"/>
      <c r="N15" s="922"/>
      <c r="O15" s="925"/>
      <c r="P15" s="284"/>
      <c r="Q15" s="284"/>
      <c r="R15" s="284"/>
      <c r="S15" s="284"/>
      <c r="T15" s="284"/>
      <c r="U15" s="284"/>
      <c r="V15" s="284"/>
      <c r="W15" s="284"/>
      <c r="X15" s="284"/>
      <c r="Y15" s="284"/>
      <c r="Z15" s="284"/>
      <c r="AA15" s="284"/>
      <c r="AB15" s="284"/>
      <c r="AC15" s="443"/>
      <c r="AD15" s="550"/>
      <c r="AE15" s="1420"/>
      <c r="AF15" s="314"/>
      <c r="AI15" s="1023"/>
      <c r="AJ15" s="282"/>
      <c r="AL15" s="1180"/>
    </row>
    <row r="16" spans="1:38" ht="25.5">
      <c r="A16" s="551" t="s">
        <v>11</v>
      </c>
      <c r="B16" s="119" t="s">
        <v>12</v>
      </c>
      <c r="C16" s="119" t="s">
        <v>13</v>
      </c>
      <c r="D16" s="3" t="s">
        <v>14</v>
      </c>
      <c r="E16" s="3" t="s">
        <v>15</v>
      </c>
      <c r="F16" s="3" t="s">
        <v>409</v>
      </c>
      <c r="G16" s="3" t="s">
        <v>16</v>
      </c>
      <c r="H16" s="2089" t="s">
        <v>1637</v>
      </c>
      <c r="I16" s="2083" t="s">
        <v>500</v>
      </c>
      <c r="J16" s="4" t="s">
        <v>94</v>
      </c>
      <c r="K16" s="267" t="s">
        <v>129</v>
      </c>
      <c r="L16" s="106" t="s">
        <v>95</v>
      </c>
      <c r="M16" s="5" t="s">
        <v>17</v>
      </c>
      <c r="N16" s="98" t="s">
        <v>96</v>
      </c>
      <c r="O16" s="5" t="s">
        <v>18</v>
      </c>
      <c r="P16" s="246" t="s">
        <v>97</v>
      </c>
      <c r="Q16" s="704" t="s">
        <v>98</v>
      </c>
      <c r="R16" s="705" t="s">
        <v>99</v>
      </c>
      <c r="S16" s="705" t="s">
        <v>100</v>
      </c>
      <c r="T16" s="705" t="s">
        <v>101</v>
      </c>
      <c r="U16" s="705" t="s">
        <v>102</v>
      </c>
      <c r="V16" s="705" t="s">
        <v>103</v>
      </c>
      <c r="W16" s="705" t="s">
        <v>104</v>
      </c>
      <c r="X16" s="705" t="s">
        <v>105</v>
      </c>
      <c r="Y16" s="705" t="s">
        <v>106</v>
      </c>
      <c r="Z16" s="705" t="s">
        <v>107</v>
      </c>
      <c r="AA16" s="705" t="s">
        <v>108</v>
      </c>
      <c r="AB16" s="705" t="s">
        <v>109</v>
      </c>
      <c r="AC16" s="732" t="s">
        <v>110</v>
      </c>
      <c r="AD16" s="733" t="s">
        <v>111</v>
      </c>
      <c r="AE16" s="1421"/>
      <c r="AF16" s="859" t="s">
        <v>133</v>
      </c>
      <c r="AG16" s="862" t="s">
        <v>113</v>
      </c>
      <c r="AH16" s="862" t="s">
        <v>114</v>
      </c>
      <c r="AI16" s="1024" t="s">
        <v>118</v>
      </c>
      <c r="AJ16" s="862" t="s">
        <v>121</v>
      </c>
      <c r="AK16" s="863" t="s">
        <v>134</v>
      </c>
    </row>
    <row r="17" spans="1:39" s="6" customFormat="1" ht="34.5" customHeight="1">
      <c r="A17" s="716" t="s">
        <v>23</v>
      </c>
      <c r="B17" s="120">
        <f>637000000-15400000-3266344</f>
        <v>618333656</v>
      </c>
      <c r="C17" s="1249" t="s">
        <v>20</v>
      </c>
      <c r="D17" s="1249" t="s">
        <v>21</v>
      </c>
      <c r="E17" s="1247" t="s">
        <v>139</v>
      </c>
      <c r="F17" s="1247" t="s">
        <v>1646</v>
      </c>
      <c r="G17" s="1247" t="s">
        <v>22</v>
      </c>
      <c r="H17" s="2090" t="s">
        <v>1634</v>
      </c>
      <c r="I17" s="2084"/>
      <c r="J17" s="319"/>
      <c r="K17" s="483"/>
      <c r="L17" s="320"/>
      <c r="M17" s="321"/>
      <c r="N17" s="322"/>
      <c r="O17" s="321"/>
      <c r="P17" s="323"/>
      <c r="Q17" s="324"/>
      <c r="R17" s="325"/>
      <c r="S17" s="325"/>
      <c r="T17" s="325"/>
      <c r="U17" s="325"/>
      <c r="V17" s="325"/>
      <c r="W17" s="325"/>
      <c r="X17" s="325"/>
      <c r="Y17" s="325"/>
      <c r="Z17" s="325"/>
      <c r="AA17" s="325"/>
      <c r="AB17" s="325"/>
      <c r="AC17" s="444"/>
      <c r="AD17" s="438"/>
      <c r="AE17" s="1422"/>
      <c r="AF17" s="905"/>
      <c r="AG17" s="326"/>
      <c r="AH17" s="326"/>
      <c r="AI17" s="1025"/>
      <c r="AJ17" s="327"/>
      <c r="AK17" s="906"/>
      <c r="AL17" s="918"/>
    </row>
    <row r="18" spans="1:39" s="610" customFormat="1">
      <c r="A18" s="605" t="s">
        <v>23</v>
      </c>
      <c r="B18" s="154">
        <f>M18</f>
        <v>28119000</v>
      </c>
      <c r="C18" s="78" t="s">
        <v>20</v>
      </c>
      <c r="D18" s="78" t="s">
        <v>21</v>
      </c>
      <c r="E18" s="78" t="s">
        <v>139</v>
      </c>
      <c r="F18" s="78" t="s">
        <v>1646</v>
      </c>
      <c r="G18" s="78" t="s">
        <v>22</v>
      </c>
      <c r="H18" s="2063" t="s">
        <v>1634</v>
      </c>
      <c r="I18" s="806">
        <v>1</v>
      </c>
      <c r="J18" s="588"/>
      <c r="K18" s="154"/>
      <c r="L18" s="606">
        <v>254</v>
      </c>
      <c r="M18" s="1245">
        <v>28119000</v>
      </c>
      <c r="N18" s="607">
        <v>261</v>
      </c>
      <c r="O18" s="608">
        <v>28119000</v>
      </c>
      <c r="P18" s="247">
        <v>226</v>
      </c>
      <c r="Q18" s="233"/>
      <c r="R18" s="153"/>
      <c r="S18" s="153">
        <f>VLOOKUP(N18,[2]Hoja2!N$2:T$15,7,0)</f>
        <v>1963867</v>
      </c>
      <c r="T18" s="153">
        <v>2678000</v>
      </c>
      <c r="U18" s="153">
        <v>2678000</v>
      </c>
      <c r="V18" s="153">
        <v>2678000</v>
      </c>
      <c r="W18" s="153">
        <v>2678000</v>
      </c>
      <c r="X18" s="153">
        <v>2678000</v>
      </c>
      <c r="Y18" s="153">
        <v>2678000</v>
      </c>
      <c r="Z18" s="153">
        <v>2678000</v>
      </c>
      <c r="AA18" s="153">
        <v>2678000</v>
      </c>
      <c r="AB18" s="153">
        <f>2678000+2053133</f>
        <v>4731133</v>
      </c>
      <c r="AC18" s="416">
        <f>SUM(Q18:AB18)</f>
        <v>28119000</v>
      </c>
      <c r="AD18" s="391">
        <f>O18-AC18</f>
        <v>0</v>
      </c>
      <c r="AE18" s="343"/>
      <c r="AF18" s="907">
        <v>1</v>
      </c>
      <c r="AG18" s="310" t="s">
        <v>281</v>
      </c>
      <c r="AH18" s="316" t="s">
        <v>1147</v>
      </c>
      <c r="AI18" s="992">
        <f>P18</f>
        <v>226</v>
      </c>
      <c r="AJ18" s="609">
        <v>28119000</v>
      </c>
      <c r="AK18" s="871">
        <f t="shared" ref="AK18:AK36" si="0">AJ18-O18</f>
        <v>0</v>
      </c>
      <c r="AL18" s="918"/>
      <c r="AM18" s="1519">
        <f>AJ18-M18</f>
        <v>0</v>
      </c>
    </row>
    <row r="19" spans="1:39" s="8" customFormat="1">
      <c r="A19" s="82" t="s">
        <v>23</v>
      </c>
      <c r="B19" s="154">
        <f t="shared" ref="B19:B36" si="1">M19</f>
        <v>53460000</v>
      </c>
      <c r="C19" s="78" t="s">
        <v>20</v>
      </c>
      <c r="D19" s="78" t="s">
        <v>21</v>
      </c>
      <c r="E19" s="78" t="s">
        <v>139</v>
      </c>
      <c r="F19" s="78" t="s">
        <v>1646</v>
      </c>
      <c r="G19" s="78" t="s">
        <v>22</v>
      </c>
      <c r="H19" s="2063" t="s">
        <v>1634</v>
      </c>
      <c r="I19" s="205">
        <v>2</v>
      </c>
      <c r="J19" s="97"/>
      <c r="K19" s="131"/>
      <c r="L19" s="606">
        <v>237</v>
      </c>
      <c r="M19" s="105">
        <v>53460000</v>
      </c>
      <c r="N19" s="607">
        <v>213</v>
      </c>
      <c r="O19" s="608">
        <v>53460000</v>
      </c>
      <c r="P19" s="247">
        <v>196</v>
      </c>
      <c r="Q19" s="233"/>
      <c r="R19" s="153"/>
      <c r="S19" s="153">
        <f>VLOOKUP(N19,[2]Hoja2!N$2:T$15,7,0)</f>
        <v>4860000</v>
      </c>
      <c r="T19" s="153">
        <v>4860000</v>
      </c>
      <c r="U19" s="153">
        <v>4860000</v>
      </c>
      <c r="V19" s="153">
        <v>4860000</v>
      </c>
      <c r="W19" s="153">
        <v>4860000</v>
      </c>
      <c r="X19" s="153">
        <v>4860000</v>
      </c>
      <c r="Y19" s="153">
        <v>4860000</v>
      </c>
      <c r="Z19" s="153">
        <v>3726000</v>
      </c>
      <c r="AA19" s="153">
        <v>2430000</v>
      </c>
      <c r="AB19" s="153">
        <f>4860000+4860000</f>
        <v>9720000</v>
      </c>
      <c r="AC19" s="416">
        <f t="shared" ref="AC19:AC35" si="2">SUM(Q19:AB19)</f>
        <v>49896000</v>
      </c>
      <c r="AD19" s="391">
        <f t="shared" ref="AD19:AD35" si="3">O19-AC19</f>
        <v>3564000</v>
      </c>
      <c r="AE19" s="343"/>
      <c r="AF19" s="907">
        <v>2</v>
      </c>
      <c r="AG19" s="310" t="s">
        <v>282</v>
      </c>
      <c r="AH19" s="316" t="s">
        <v>1148</v>
      </c>
      <c r="AI19" s="992">
        <f t="shared" ref="AI19:AI36" si="4">P19</f>
        <v>196</v>
      </c>
      <c r="AJ19" s="304">
        <v>53460000</v>
      </c>
      <c r="AK19" s="871">
        <f t="shared" si="0"/>
        <v>0</v>
      </c>
      <c r="AL19" s="918"/>
      <c r="AM19" s="1519">
        <f t="shared" ref="AM19:AM36" si="5">AJ19-M19</f>
        <v>0</v>
      </c>
    </row>
    <row r="20" spans="1:39" s="8" customFormat="1">
      <c r="A20" s="82" t="s">
        <v>23</v>
      </c>
      <c r="B20" s="154">
        <f t="shared" si="1"/>
        <v>13063600</v>
      </c>
      <c r="C20" s="78" t="s">
        <v>20</v>
      </c>
      <c r="D20" s="78" t="s">
        <v>21</v>
      </c>
      <c r="E20" s="78" t="s">
        <v>139</v>
      </c>
      <c r="F20" s="78" t="s">
        <v>1646</v>
      </c>
      <c r="G20" s="78" t="s">
        <v>22</v>
      </c>
      <c r="H20" s="2063" t="s">
        <v>1634</v>
      </c>
      <c r="I20" s="205" t="s">
        <v>148</v>
      </c>
      <c r="J20" s="588" t="s">
        <v>1592</v>
      </c>
      <c r="K20" s="131">
        <f>1003000+1003000+971400+976100+1003000+878916-878916+879501</f>
        <v>5836001</v>
      </c>
      <c r="L20" s="1067" t="s">
        <v>1606</v>
      </c>
      <c r="M20" s="105">
        <f>451600+1647400+2119600+1003000+1003000+1003000+1003000+1003000+971400+976100+1003000+879500</f>
        <v>13063600</v>
      </c>
      <c r="N20" s="607" t="s">
        <v>1607</v>
      </c>
      <c r="O20" s="105">
        <f>451600+1647400+2119600+1003000+1003000+1003000+1003000+1003000+971400+976100+1003000+879500</f>
        <v>13063600</v>
      </c>
      <c r="P20" s="1153" t="s">
        <v>618</v>
      </c>
      <c r="Q20" s="233"/>
      <c r="R20" s="153">
        <v>451600</v>
      </c>
      <c r="S20" s="153">
        <v>1647400</v>
      </c>
      <c r="T20" s="153">
        <v>2119600</v>
      </c>
      <c r="U20" s="153">
        <v>1003000</v>
      </c>
      <c r="V20" s="153">
        <v>1003000</v>
      </c>
      <c r="W20" s="153">
        <v>1003000</v>
      </c>
      <c r="X20" s="153">
        <v>1003000</v>
      </c>
      <c r="Y20" s="153">
        <v>1003000</v>
      </c>
      <c r="Z20" s="153">
        <v>971400</v>
      </c>
      <c r="AA20" s="153">
        <v>976100</v>
      </c>
      <c r="AB20" s="153">
        <f>1003000+879500</f>
        <v>1882500</v>
      </c>
      <c r="AC20" s="416">
        <f t="shared" si="2"/>
        <v>13063600</v>
      </c>
      <c r="AD20" s="391">
        <f t="shared" si="3"/>
        <v>0</v>
      </c>
      <c r="AE20" s="343"/>
      <c r="AF20" s="907" t="s">
        <v>148</v>
      </c>
      <c r="AG20" s="310" t="s">
        <v>283</v>
      </c>
      <c r="AH20" s="316" t="s">
        <v>619</v>
      </c>
      <c r="AI20" s="992" t="str">
        <f t="shared" si="4"/>
        <v>ARL POSITIVA</v>
      </c>
      <c r="AJ20" s="304">
        <f>11000000+2400000</f>
        <v>13400000</v>
      </c>
      <c r="AK20" s="871">
        <f t="shared" si="0"/>
        <v>336400</v>
      </c>
      <c r="AL20" s="918"/>
      <c r="AM20" s="1519">
        <f t="shared" si="5"/>
        <v>336400</v>
      </c>
    </row>
    <row r="21" spans="1:39" s="8" customFormat="1">
      <c r="A21" s="82" t="s">
        <v>23</v>
      </c>
      <c r="B21" s="154">
        <f t="shared" si="1"/>
        <v>28119000</v>
      </c>
      <c r="C21" s="78" t="s">
        <v>20</v>
      </c>
      <c r="D21" s="78" t="s">
        <v>21</v>
      </c>
      <c r="E21" s="78" t="s">
        <v>139</v>
      </c>
      <c r="F21" s="78" t="s">
        <v>1646</v>
      </c>
      <c r="G21" s="78" t="s">
        <v>22</v>
      </c>
      <c r="H21" s="2063" t="s">
        <v>1634</v>
      </c>
      <c r="I21" s="205">
        <v>3</v>
      </c>
      <c r="J21" s="97"/>
      <c r="K21" s="131"/>
      <c r="L21" s="606">
        <v>246</v>
      </c>
      <c r="M21" s="105">
        <v>28119000</v>
      </c>
      <c r="N21" s="607">
        <v>241</v>
      </c>
      <c r="O21" s="608">
        <v>28119000</v>
      </c>
      <c r="P21" s="247">
        <v>213</v>
      </c>
      <c r="Q21" s="233"/>
      <c r="R21" s="153"/>
      <c r="S21" s="153">
        <f>VLOOKUP(N21,[2]Hoja2!N$2:T$15,7,0)</f>
        <v>1785333</v>
      </c>
      <c r="T21" s="153">
        <v>2678000</v>
      </c>
      <c r="U21" s="153">
        <v>2678000</v>
      </c>
      <c r="V21" s="153">
        <v>2678000</v>
      </c>
      <c r="W21" s="153">
        <v>2678000</v>
      </c>
      <c r="X21" s="153">
        <v>2678000</v>
      </c>
      <c r="Y21" s="153">
        <v>2678000</v>
      </c>
      <c r="Z21" s="153">
        <v>2678000</v>
      </c>
      <c r="AA21" s="153">
        <v>2678000</v>
      </c>
      <c r="AB21" s="153">
        <f>2678000+2231667</f>
        <v>4909667</v>
      </c>
      <c r="AC21" s="416">
        <f t="shared" si="2"/>
        <v>28119000</v>
      </c>
      <c r="AD21" s="391">
        <f t="shared" si="3"/>
        <v>0</v>
      </c>
      <c r="AE21" s="343"/>
      <c r="AF21" s="907">
        <v>3</v>
      </c>
      <c r="AG21" s="310" t="s">
        <v>281</v>
      </c>
      <c r="AH21" s="316" t="s">
        <v>620</v>
      </c>
      <c r="AI21" s="992">
        <f t="shared" si="4"/>
        <v>213</v>
      </c>
      <c r="AJ21" s="304">
        <v>28119000</v>
      </c>
      <c r="AK21" s="871">
        <f t="shared" si="0"/>
        <v>0</v>
      </c>
      <c r="AL21" s="918"/>
      <c r="AM21" s="1519">
        <f t="shared" si="5"/>
        <v>0</v>
      </c>
    </row>
    <row r="22" spans="1:39" s="8" customFormat="1">
      <c r="A22" s="82" t="s">
        <v>23</v>
      </c>
      <c r="B22" s="154">
        <f t="shared" si="1"/>
        <v>59400000</v>
      </c>
      <c r="C22" s="78" t="s">
        <v>20</v>
      </c>
      <c r="D22" s="78" t="s">
        <v>21</v>
      </c>
      <c r="E22" s="78" t="s">
        <v>139</v>
      </c>
      <c r="F22" s="78" t="s">
        <v>1646</v>
      </c>
      <c r="G22" s="78" t="s">
        <v>22</v>
      </c>
      <c r="H22" s="2063" t="s">
        <v>1634</v>
      </c>
      <c r="I22" s="205">
        <v>5</v>
      </c>
      <c r="J22" s="97"/>
      <c r="K22" s="131"/>
      <c r="L22" s="606">
        <v>370</v>
      </c>
      <c r="M22" s="105">
        <v>59400000</v>
      </c>
      <c r="N22" s="607">
        <v>388</v>
      </c>
      <c r="O22" s="608">
        <v>59400000</v>
      </c>
      <c r="P22" s="247">
        <v>305</v>
      </c>
      <c r="Q22" s="233"/>
      <c r="R22" s="153"/>
      <c r="S22" s="153"/>
      <c r="T22" s="153"/>
      <c r="U22" s="153"/>
      <c r="V22" s="153"/>
      <c r="W22" s="153"/>
      <c r="X22" s="153"/>
      <c r="Y22" s="153"/>
      <c r="Z22" s="153">
        <v>33935856</v>
      </c>
      <c r="AA22" s="153">
        <v>1511205</v>
      </c>
      <c r="AB22" s="153">
        <v>23952939</v>
      </c>
      <c r="AC22" s="416">
        <f t="shared" si="2"/>
        <v>59400000</v>
      </c>
      <c r="AD22" s="391">
        <f t="shared" si="3"/>
        <v>0</v>
      </c>
      <c r="AE22" s="343"/>
      <c r="AF22" s="907">
        <v>5</v>
      </c>
      <c r="AG22" s="310" t="s">
        <v>284</v>
      </c>
      <c r="AH22" s="316" t="s">
        <v>816</v>
      </c>
      <c r="AI22" s="992">
        <f t="shared" si="4"/>
        <v>305</v>
      </c>
      <c r="AJ22" s="304">
        <v>59400000</v>
      </c>
      <c r="AK22" s="871">
        <f t="shared" si="0"/>
        <v>0</v>
      </c>
      <c r="AL22" s="918"/>
      <c r="AM22" s="1519">
        <f t="shared" si="5"/>
        <v>0</v>
      </c>
    </row>
    <row r="23" spans="1:39" s="8" customFormat="1">
      <c r="A23" s="82" t="s">
        <v>23</v>
      </c>
      <c r="B23" s="154">
        <f t="shared" si="1"/>
        <v>48280000</v>
      </c>
      <c r="C23" s="78" t="s">
        <v>20</v>
      </c>
      <c r="D23" s="78" t="s">
        <v>21</v>
      </c>
      <c r="E23" s="78" t="s">
        <v>139</v>
      </c>
      <c r="F23" s="78" t="s">
        <v>1646</v>
      </c>
      <c r="G23" s="78" t="s">
        <v>22</v>
      </c>
      <c r="H23" s="2063" t="s">
        <v>1634</v>
      </c>
      <c r="I23" s="205">
        <v>6</v>
      </c>
      <c r="J23" s="97"/>
      <c r="K23" s="131"/>
      <c r="L23" s="606">
        <v>167</v>
      </c>
      <c r="M23" s="105">
        <v>48280000</v>
      </c>
      <c r="N23" s="99">
        <v>161</v>
      </c>
      <c r="O23" s="105">
        <v>48280000</v>
      </c>
      <c r="P23" s="247">
        <v>142</v>
      </c>
      <c r="Q23" s="233"/>
      <c r="R23" s="153"/>
      <c r="S23" s="153">
        <v>4504000</v>
      </c>
      <c r="T23" s="153">
        <v>4342000</v>
      </c>
      <c r="U23" s="153">
        <v>4342000</v>
      </c>
      <c r="V23" s="153">
        <v>4342000</v>
      </c>
      <c r="W23" s="153">
        <v>4342000</v>
      </c>
      <c r="X23" s="153">
        <v>4342000</v>
      </c>
      <c r="Y23" s="153">
        <v>4342000</v>
      </c>
      <c r="Z23" s="153">
        <v>4342000</v>
      </c>
      <c r="AA23" s="153">
        <v>4342000</v>
      </c>
      <c r="AB23" s="153">
        <f>4342000+4698000</f>
        <v>9040000</v>
      </c>
      <c r="AC23" s="416">
        <f t="shared" si="2"/>
        <v>48280000</v>
      </c>
      <c r="AD23" s="391">
        <f t="shared" si="3"/>
        <v>0</v>
      </c>
      <c r="AE23" s="343"/>
      <c r="AF23" s="907">
        <v>6</v>
      </c>
      <c r="AG23" s="310" t="s">
        <v>285</v>
      </c>
      <c r="AH23" s="316" t="s">
        <v>1149</v>
      </c>
      <c r="AI23" s="992">
        <f t="shared" si="4"/>
        <v>142</v>
      </c>
      <c r="AJ23" s="304">
        <v>48280000</v>
      </c>
      <c r="AK23" s="871">
        <f t="shared" si="0"/>
        <v>0</v>
      </c>
      <c r="AL23" s="918"/>
      <c r="AM23" s="1519">
        <f t="shared" si="5"/>
        <v>0</v>
      </c>
    </row>
    <row r="24" spans="1:39" s="8" customFormat="1">
      <c r="A24" s="82" t="s">
        <v>23</v>
      </c>
      <c r="B24" s="154">
        <f t="shared" si="1"/>
        <v>0</v>
      </c>
      <c r="C24" s="78" t="s">
        <v>20</v>
      </c>
      <c r="D24" s="78" t="s">
        <v>21</v>
      </c>
      <c r="E24" s="78" t="s">
        <v>139</v>
      </c>
      <c r="F24" s="78" t="s">
        <v>1646</v>
      </c>
      <c r="G24" s="78" t="s">
        <v>22</v>
      </c>
      <c r="H24" s="2063" t="s">
        <v>1634</v>
      </c>
      <c r="I24" s="205">
        <v>8</v>
      </c>
      <c r="J24" s="97"/>
      <c r="K24" s="131"/>
      <c r="L24" s="606"/>
      <c r="M24" s="105"/>
      <c r="N24" s="607"/>
      <c r="O24" s="608"/>
      <c r="P24" s="247"/>
      <c r="Q24" s="233"/>
      <c r="R24" s="153"/>
      <c r="S24" s="153"/>
      <c r="T24" s="153"/>
      <c r="U24" s="153"/>
      <c r="V24" s="153"/>
      <c r="W24" s="153"/>
      <c r="X24" s="153"/>
      <c r="Y24" s="153"/>
      <c r="Z24" s="153"/>
      <c r="AA24" s="153"/>
      <c r="AB24" s="153"/>
      <c r="AC24" s="416">
        <f t="shared" si="2"/>
        <v>0</v>
      </c>
      <c r="AD24" s="391">
        <f t="shared" si="3"/>
        <v>0</v>
      </c>
      <c r="AE24" s="343"/>
      <c r="AF24" s="907">
        <v>8</v>
      </c>
      <c r="AG24" s="310" t="s">
        <v>286</v>
      </c>
      <c r="AH24" s="316" t="s">
        <v>173</v>
      </c>
      <c r="AI24" s="992">
        <f t="shared" si="4"/>
        <v>0</v>
      </c>
      <c r="AJ24" s="304">
        <f>29528000-29528000</f>
        <v>0</v>
      </c>
      <c r="AK24" s="871">
        <f t="shared" si="0"/>
        <v>0</v>
      </c>
      <c r="AL24" s="918"/>
      <c r="AM24" s="1519">
        <f t="shared" si="5"/>
        <v>0</v>
      </c>
    </row>
    <row r="25" spans="1:39" s="8" customFormat="1">
      <c r="A25" s="82" t="s">
        <v>23</v>
      </c>
      <c r="B25" s="154">
        <f t="shared" si="1"/>
        <v>28119000</v>
      </c>
      <c r="C25" s="78" t="s">
        <v>20</v>
      </c>
      <c r="D25" s="78" t="s">
        <v>21</v>
      </c>
      <c r="E25" s="78" t="s">
        <v>139</v>
      </c>
      <c r="F25" s="78" t="s">
        <v>1646</v>
      </c>
      <c r="G25" s="78" t="s">
        <v>22</v>
      </c>
      <c r="H25" s="2063" t="s">
        <v>1634</v>
      </c>
      <c r="I25" s="205">
        <v>9</v>
      </c>
      <c r="J25" s="97"/>
      <c r="K25" s="131"/>
      <c r="L25" s="606">
        <v>255</v>
      </c>
      <c r="M25" s="105">
        <v>28119000</v>
      </c>
      <c r="N25" s="607">
        <v>262</v>
      </c>
      <c r="O25" s="608">
        <v>28119000</v>
      </c>
      <c r="P25" s="247">
        <v>225</v>
      </c>
      <c r="Q25" s="233"/>
      <c r="R25" s="153"/>
      <c r="S25" s="153">
        <f>VLOOKUP(N25,[2]Hoja2!N$2:T$15,7,0)</f>
        <v>1963867</v>
      </c>
      <c r="T25" s="153">
        <v>2678000</v>
      </c>
      <c r="U25" s="153">
        <v>2678000</v>
      </c>
      <c r="V25" s="153">
        <v>2678000</v>
      </c>
      <c r="W25" s="153">
        <v>2678000</v>
      </c>
      <c r="X25" s="153">
        <v>2678000</v>
      </c>
      <c r="Y25" s="153">
        <v>2678000</v>
      </c>
      <c r="Z25" s="153">
        <v>2678000</v>
      </c>
      <c r="AA25" s="153">
        <v>2678000</v>
      </c>
      <c r="AB25" s="153">
        <f>2678000+2053133</f>
        <v>4731133</v>
      </c>
      <c r="AC25" s="416">
        <f t="shared" si="2"/>
        <v>28119000</v>
      </c>
      <c r="AD25" s="391">
        <f t="shared" si="3"/>
        <v>0</v>
      </c>
      <c r="AE25" s="343"/>
      <c r="AF25" s="907">
        <v>9</v>
      </c>
      <c r="AG25" s="310" t="s">
        <v>281</v>
      </c>
      <c r="AH25" s="316" t="s">
        <v>1150</v>
      </c>
      <c r="AI25" s="992">
        <f t="shared" si="4"/>
        <v>225</v>
      </c>
      <c r="AJ25" s="304">
        <v>28119000</v>
      </c>
      <c r="AK25" s="871">
        <f t="shared" si="0"/>
        <v>0</v>
      </c>
      <c r="AL25" s="918"/>
      <c r="AM25" s="1519">
        <f t="shared" si="5"/>
        <v>0</v>
      </c>
    </row>
    <row r="26" spans="1:39" s="8" customFormat="1">
      <c r="A26" s="82" t="s">
        <v>23</v>
      </c>
      <c r="B26" s="154">
        <f t="shared" si="1"/>
        <v>28119000</v>
      </c>
      <c r="C26" s="78" t="s">
        <v>20</v>
      </c>
      <c r="D26" s="78" t="s">
        <v>21</v>
      </c>
      <c r="E26" s="78" t="s">
        <v>139</v>
      </c>
      <c r="F26" s="78" t="s">
        <v>1646</v>
      </c>
      <c r="G26" s="78" t="s">
        <v>22</v>
      </c>
      <c r="H26" s="2063" t="s">
        <v>1634</v>
      </c>
      <c r="I26" s="205">
        <v>10</v>
      </c>
      <c r="J26" s="97"/>
      <c r="K26" s="131"/>
      <c r="L26" s="606">
        <v>256</v>
      </c>
      <c r="M26" s="105">
        <v>28119000</v>
      </c>
      <c r="N26" s="607">
        <v>252</v>
      </c>
      <c r="O26" s="608">
        <v>28119000</v>
      </c>
      <c r="P26" s="247">
        <v>227</v>
      </c>
      <c r="Q26" s="233"/>
      <c r="R26" s="153"/>
      <c r="S26" s="153">
        <f>VLOOKUP(N26,[2]Hoja2!N$2:T$15,7,0)</f>
        <v>1963867</v>
      </c>
      <c r="T26" s="153">
        <v>2678000</v>
      </c>
      <c r="U26" s="153">
        <v>2678000</v>
      </c>
      <c r="V26" s="153">
        <v>2678000</v>
      </c>
      <c r="W26" s="153">
        <v>2678000</v>
      </c>
      <c r="X26" s="153">
        <v>2678000</v>
      </c>
      <c r="Y26" s="153">
        <v>2678000</v>
      </c>
      <c r="Z26" s="153">
        <v>2678000</v>
      </c>
      <c r="AA26" s="153">
        <f>2053133+624867</f>
        <v>2678000</v>
      </c>
      <c r="AB26" s="153">
        <f>2678000+2053133</f>
        <v>4731133</v>
      </c>
      <c r="AC26" s="416">
        <f t="shared" si="2"/>
        <v>28119000</v>
      </c>
      <c r="AD26" s="391">
        <f t="shared" si="3"/>
        <v>0</v>
      </c>
      <c r="AE26" s="343"/>
      <c r="AF26" s="907">
        <v>10</v>
      </c>
      <c r="AG26" s="310" t="s">
        <v>281</v>
      </c>
      <c r="AH26" s="316" t="s">
        <v>1151</v>
      </c>
      <c r="AI26" s="992">
        <f t="shared" si="4"/>
        <v>227</v>
      </c>
      <c r="AJ26" s="304">
        <v>28119000</v>
      </c>
      <c r="AK26" s="871">
        <f t="shared" si="0"/>
        <v>0</v>
      </c>
      <c r="AL26" s="918"/>
      <c r="AM26" s="1519">
        <f t="shared" si="5"/>
        <v>0</v>
      </c>
    </row>
    <row r="27" spans="1:39" s="8" customFormat="1">
      <c r="A27" s="82" t="s">
        <v>23</v>
      </c>
      <c r="B27" s="154">
        <f t="shared" si="1"/>
        <v>28119000</v>
      </c>
      <c r="C27" s="78" t="s">
        <v>20</v>
      </c>
      <c r="D27" s="78" t="s">
        <v>21</v>
      </c>
      <c r="E27" s="78" t="s">
        <v>139</v>
      </c>
      <c r="F27" s="78" t="s">
        <v>1646</v>
      </c>
      <c r="G27" s="78" t="s">
        <v>22</v>
      </c>
      <c r="H27" s="2063" t="s">
        <v>1634</v>
      </c>
      <c r="I27" s="205">
        <v>11</v>
      </c>
      <c r="J27" s="97"/>
      <c r="K27" s="131"/>
      <c r="L27" s="606">
        <v>257</v>
      </c>
      <c r="M27" s="105">
        <v>28119000</v>
      </c>
      <c r="N27" s="607">
        <v>276</v>
      </c>
      <c r="O27" s="608">
        <v>28119000</v>
      </c>
      <c r="P27" s="247">
        <v>241</v>
      </c>
      <c r="Q27" s="233"/>
      <c r="R27" s="153"/>
      <c r="S27" s="153">
        <f>VLOOKUP(N27,[2]Hoja2!N$2:T$15,7,0)</f>
        <v>1606800</v>
      </c>
      <c r="T27" s="153">
        <v>2678000</v>
      </c>
      <c r="U27" s="153">
        <v>2678000</v>
      </c>
      <c r="V27" s="153">
        <v>2678000</v>
      </c>
      <c r="W27" s="153">
        <v>2678000</v>
      </c>
      <c r="X27" s="153">
        <v>2678000</v>
      </c>
      <c r="Y27" s="153">
        <v>2678000</v>
      </c>
      <c r="Z27" s="153">
        <v>2678000</v>
      </c>
      <c r="AA27" s="153">
        <v>2678000</v>
      </c>
      <c r="AB27" s="153">
        <f>2678000+2410200</f>
        <v>5088200</v>
      </c>
      <c r="AC27" s="416">
        <f t="shared" si="2"/>
        <v>28119000</v>
      </c>
      <c r="AD27" s="391">
        <f t="shared" si="3"/>
        <v>0</v>
      </c>
      <c r="AE27" s="343"/>
      <c r="AF27" s="907">
        <v>11</v>
      </c>
      <c r="AG27" s="310" t="s">
        <v>281</v>
      </c>
      <c r="AH27" s="316" t="s">
        <v>1152</v>
      </c>
      <c r="AI27" s="992">
        <f t="shared" si="4"/>
        <v>241</v>
      </c>
      <c r="AJ27" s="304">
        <v>28119000</v>
      </c>
      <c r="AK27" s="871">
        <f t="shared" si="0"/>
        <v>0</v>
      </c>
      <c r="AL27" s="918"/>
      <c r="AM27" s="1519">
        <f t="shared" si="5"/>
        <v>0</v>
      </c>
    </row>
    <row r="28" spans="1:39" s="8" customFormat="1">
      <c r="A28" s="82" t="s">
        <v>23</v>
      </c>
      <c r="B28" s="154">
        <f t="shared" si="1"/>
        <v>28119000</v>
      </c>
      <c r="C28" s="78" t="s">
        <v>20</v>
      </c>
      <c r="D28" s="78" t="s">
        <v>21</v>
      </c>
      <c r="E28" s="78" t="s">
        <v>139</v>
      </c>
      <c r="F28" s="78" t="s">
        <v>1646</v>
      </c>
      <c r="G28" s="78" t="s">
        <v>22</v>
      </c>
      <c r="H28" s="2063" t="s">
        <v>1634</v>
      </c>
      <c r="I28" s="205">
        <v>12</v>
      </c>
      <c r="J28" s="97"/>
      <c r="K28" s="131"/>
      <c r="L28" s="606">
        <v>258</v>
      </c>
      <c r="M28" s="105">
        <v>28119000</v>
      </c>
      <c r="N28" s="607">
        <v>275</v>
      </c>
      <c r="O28" s="608">
        <v>28119000</v>
      </c>
      <c r="P28" s="247">
        <v>242</v>
      </c>
      <c r="Q28" s="233"/>
      <c r="R28" s="153"/>
      <c r="S28" s="153">
        <f>VLOOKUP(N28,[2]Hoja2!N$2:T$15,7,0)</f>
        <v>1696067</v>
      </c>
      <c r="T28" s="153">
        <v>2678000</v>
      </c>
      <c r="U28" s="153">
        <v>2678000</v>
      </c>
      <c r="V28" s="153">
        <v>2678000</v>
      </c>
      <c r="W28" s="153">
        <v>2678000</v>
      </c>
      <c r="X28" s="153">
        <v>2678000</v>
      </c>
      <c r="Y28" s="153">
        <v>2678000</v>
      </c>
      <c r="Z28" s="153">
        <v>2678000</v>
      </c>
      <c r="AA28" s="153">
        <v>2678000</v>
      </c>
      <c r="AB28" s="153">
        <f>2678000+2320933</f>
        <v>4998933</v>
      </c>
      <c r="AC28" s="416">
        <f t="shared" si="2"/>
        <v>28119000</v>
      </c>
      <c r="AD28" s="391">
        <f t="shared" si="3"/>
        <v>0</v>
      </c>
      <c r="AE28" s="343"/>
      <c r="AF28" s="907">
        <v>12</v>
      </c>
      <c r="AG28" s="310" t="s">
        <v>281</v>
      </c>
      <c r="AH28" s="316" t="s">
        <v>1153</v>
      </c>
      <c r="AI28" s="992">
        <f t="shared" si="4"/>
        <v>242</v>
      </c>
      <c r="AJ28" s="304">
        <v>28119000</v>
      </c>
      <c r="AK28" s="871">
        <f t="shared" si="0"/>
        <v>0</v>
      </c>
      <c r="AL28" s="918"/>
      <c r="AM28" s="1519">
        <f t="shared" si="5"/>
        <v>0</v>
      </c>
    </row>
    <row r="29" spans="1:39" s="8" customFormat="1">
      <c r="A29" s="82" t="s">
        <v>23</v>
      </c>
      <c r="B29" s="154">
        <f t="shared" si="1"/>
        <v>21975166</v>
      </c>
      <c r="C29" s="78" t="s">
        <v>20</v>
      </c>
      <c r="D29" s="78" t="s">
        <v>21</v>
      </c>
      <c r="E29" s="78" t="s">
        <v>139</v>
      </c>
      <c r="F29" s="78" t="s">
        <v>1646</v>
      </c>
      <c r="G29" s="78" t="s">
        <v>22</v>
      </c>
      <c r="H29" s="2063" t="s">
        <v>1634</v>
      </c>
      <c r="I29" s="205">
        <v>13</v>
      </c>
      <c r="J29" s="97"/>
      <c r="K29" s="131"/>
      <c r="L29" s="606">
        <v>378</v>
      </c>
      <c r="M29" s="105">
        <v>21975166</v>
      </c>
      <c r="N29" s="607">
        <v>465</v>
      </c>
      <c r="O29" s="608">
        <v>21975166</v>
      </c>
      <c r="P29" s="247">
        <v>322</v>
      </c>
      <c r="Q29" s="233"/>
      <c r="R29" s="153"/>
      <c r="S29" s="153"/>
      <c r="T29" s="153"/>
      <c r="U29" s="153"/>
      <c r="V29" s="153"/>
      <c r="W29" s="153"/>
      <c r="X29" s="153"/>
      <c r="Y29" s="153"/>
      <c r="Z29" s="153"/>
      <c r="AA29" s="153"/>
      <c r="AB29" s="153">
        <v>13720124</v>
      </c>
      <c r="AC29" s="416">
        <f t="shared" si="2"/>
        <v>13720124</v>
      </c>
      <c r="AD29" s="391">
        <f t="shared" si="3"/>
        <v>8255042</v>
      </c>
      <c r="AE29" s="343"/>
      <c r="AF29" s="910">
        <v>13</v>
      </c>
      <c r="AG29" s="310" t="s">
        <v>287</v>
      </c>
      <c r="AH29" s="316" t="s">
        <v>1154</v>
      </c>
      <c r="AI29" s="992">
        <f t="shared" si="4"/>
        <v>322</v>
      </c>
      <c r="AJ29" s="1913">
        <f>30000000-8000000-24834</f>
        <v>21975166</v>
      </c>
      <c r="AK29" s="871">
        <f t="shared" si="0"/>
        <v>0</v>
      </c>
      <c r="AL29" s="918"/>
      <c r="AM29" s="1519">
        <f t="shared" si="5"/>
        <v>0</v>
      </c>
    </row>
    <row r="30" spans="1:39" s="8" customFormat="1">
      <c r="A30" s="82" t="s">
        <v>23</v>
      </c>
      <c r="B30" s="154">
        <f t="shared" si="1"/>
        <v>53460000</v>
      </c>
      <c r="C30" s="78" t="s">
        <v>20</v>
      </c>
      <c r="D30" s="78" t="s">
        <v>21</v>
      </c>
      <c r="E30" s="78" t="s">
        <v>139</v>
      </c>
      <c r="F30" s="78" t="s">
        <v>1646</v>
      </c>
      <c r="G30" s="78" t="s">
        <v>22</v>
      </c>
      <c r="H30" s="2063" t="s">
        <v>1634</v>
      </c>
      <c r="I30" s="205">
        <v>14</v>
      </c>
      <c r="J30" s="97"/>
      <c r="K30" s="131"/>
      <c r="L30" s="606">
        <v>219</v>
      </c>
      <c r="M30" s="105">
        <v>53460000</v>
      </c>
      <c r="N30" s="99">
        <v>177</v>
      </c>
      <c r="O30" s="139">
        <v>53460000</v>
      </c>
      <c r="P30" s="247">
        <v>171</v>
      </c>
      <c r="Q30" s="233"/>
      <c r="R30" s="153"/>
      <c r="S30" s="153">
        <f>VLOOKUP(N30,[2]Hoja2!N$2:T$15,7,0)</f>
        <v>5022000</v>
      </c>
      <c r="T30" s="153">
        <v>4860000</v>
      </c>
      <c r="U30" s="153">
        <v>4860000</v>
      </c>
      <c r="V30" s="153">
        <v>4860000</v>
      </c>
      <c r="W30" s="153">
        <v>4860000</v>
      </c>
      <c r="X30" s="153">
        <v>4860000</v>
      </c>
      <c r="Y30" s="153">
        <v>4860000</v>
      </c>
      <c r="Z30" s="153">
        <v>4860000</v>
      </c>
      <c r="AA30" s="153">
        <v>4860000</v>
      </c>
      <c r="AB30" s="153">
        <f>4860000+4698000</f>
        <v>9558000</v>
      </c>
      <c r="AC30" s="416">
        <f t="shared" si="2"/>
        <v>53460000</v>
      </c>
      <c r="AD30" s="391">
        <f t="shared" si="3"/>
        <v>0</v>
      </c>
      <c r="AE30" s="343"/>
      <c r="AF30" s="907">
        <v>14</v>
      </c>
      <c r="AG30" s="310" t="s">
        <v>288</v>
      </c>
      <c r="AH30" s="316" t="s">
        <v>502</v>
      </c>
      <c r="AI30" s="992">
        <f t="shared" si="4"/>
        <v>171</v>
      </c>
      <c r="AJ30" s="304">
        <v>53460000</v>
      </c>
      <c r="AK30" s="871">
        <f t="shared" si="0"/>
        <v>0</v>
      </c>
      <c r="AL30" s="918"/>
      <c r="AM30" s="1519">
        <f t="shared" si="5"/>
        <v>0</v>
      </c>
    </row>
    <row r="31" spans="1:39" s="8" customFormat="1">
      <c r="A31" s="82" t="s">
        <v>23</v>
      </c>
      <c r="B31" s="154">
        <f t="shared" si="1"/>
        <v>36486490</v>
      </c>
      <c r="C31" s="78" t="s">
        <v>20</v>
      </c>
      <c r="D31" s="78" t="s">
        <v>21</v>
      </c>
      <c r="E31" s="78" t="s">
        <v>139</v>
      </c>
      <c r="F31" s="78" t="s">
        <v>1646</v>
      </c>
      <c r="G31" s="78" t="s">
        <v>22</v>
      </c>
      <c r="H31" s="2063" t="s">
        <v>1634</v>
      </c>
      <c r="I31" s="205">
        <v>15</v>
      </c>
      <c r="J31" s="97"/>
      <c r="K31" s="131"/>
      <c r="L31" s="606">
        <v>483</v>
      </c>
      <c r="M31" s="105">
        <f>41858383-5371893</f>
        <v>36486490</v>
      </c>
      <c r="N31" s="607">
        <v>701</v>
      </c>
      <c r="O31" s="608">
        <v>36486490</v>
      </c>
      <c r="P31" s="247">
        <v>425</v>
      </c>
      <c r="Q31" s="233"/>
      <c r="R31" s="153"/>
      <c r="S31" s="153"/>
      <c r="T31" s="153"/>
      <c r="U31" s="153"/>
      <c r="V31" s="153"/>
      <c r="W31" s="153"/>
      <c r="X31" s="153"/>
      <c r="Y31" s="153"/>
      <c r="Z31" s="153"/>
      <c r="AA31" s="153"/>
      <c r="AB31" s="153">
        <v>16337480</v>
      </c>
      <c r="AC31" s="416">
        <f t="shared" si="2"/>
        <v>16337480</v>
      </c>
      <c r="AD31" s="391">
        <f t="shared" si="3"/>
        <v>20149010</v>
      </c>
      <c r="AE31" s="343"/>
      <c r="AF31" s="910">
        <v>15</v>
      </c>
      <c r="AG31" s="310" t="s">
        <v>269</v>
      </c>
      <c r="AH31" s="316" t="s">
        <v>1107</v>
      </c>
      <c r="AI31" s="992">
        <f t="shared" si="4"/>
        <v>425</v>
      </c>
      <c r="AJ31" s="1913">
        <f>20000000-7400000+29528000-5371893-269617</f>
        <v>36486490</v>
      </c>
      <c r="AK31" s="871">
        <f t="shared" si="0"/>
        <v>0</v>
      </c>
      <c r="AL31" s="918"/>
      <c r="AM31" s="1519">
        <f t="shared" si="5"/>
        <v>0</v>
      </c>
    </row>
    <row r="32" spans="1:39" s="8" customFormat="1">
      <c r="A32" s="82" t="s">
        <v>23</v>
      </c>
      <c r="B32" s="154">
        <f t="shared" si="1"/>
        <v>53460000</v>
      </c>
      <c r="C32" s="78" t="s">
        <v>20</v>
      </c>
      <c r="D32" s="78" t="s">
        <v>21</v>
      </c>
      <c r="E32" s="78" t="s">
        <v>139</v>
      </c>
      <c r="F32" s="78" t="s">
        <v>1646</v>
      </c>
      <c r="G32" s="78" t="s">
        <v>22</v>
      </c>
      <c r="H32" s="2063" t="s">
        <v>1634</v>
      </c>
      <c r="I32" s="205">
        <v>16</v>
      </c>
      <c r="J32" s="97"/>
      <c r="K32" s="131"/>
      <c r="L32" s="606">
        <v>220</v>
      </c>
      <c r="M32" s="105">
        <v>53460000</v>
      </c>
      <c r="N32" s="99">
        <v>175</v>
      </c>
      <c r="O32" s="139">
        <v>53460000</v>
      </c>
      <c r="P32" s="247">
        <v>169</v>
      </c>
      <c r="Q32" s="233"/>
      <c r="R32" s="153"/>
      <c r="S32" s="153">
        <f>VLOOKUP(N32,[2]Hoja2!N$2:T$15,7,0)</f>
        <v>5022000</v>
      </c>
      <c r="T32" s="153">
        <v>4860000</v>
      </c>
      <c r="U32" s="153">
        <v>4860000</v>
      </c>
      <c r="V32" s="153">
        <v>4860000</v>
      </c>
      <c r="W32" s="153">
        <v>4860000</v>
      </c>
      <c r="X32" s="153">
        <v>4860000</v>
      </c>
      <c r="Y32" s="153">
        <v>4860000</v>
      </c>
      <c r="Z32" s="153">
        <v>4860000</v>
      </c>
      <c r="AA32" s="153">
        <v>4860000</v>
      </c>
      <c r="AB32" s="153">
        <f>4860000+4698000</f>
        <v>9558000</v>
      </c>
      <c r="AC32" s="416">
        <f t="shared" si="2"/>
        <v>53460000</v>
      </c>
      <c r="AD32" s="391">
        <f t="shared" si="3"/>
        <v>0</v>
      </c>
      <c r="AE32" s="343"/>
      <c r="AF32" s="907">
        <v>16</v>
      </c>
      <c r="AG32" s="310" t="s">
        <v>289</v>
      </c>
      <c r="AH32" s="316" t="s">
        <v>1155</v>
      </c>
      <c r="AI32" s="992">
        <f t="shared" si="4"/>
        <v>169</v>
      </c>
      <c r="AJ32" s="304">
        <v>53460000</v>
      </c>
      <c r="AK32" s="871">
        <f t="shared" si="0"/>
        <v>0</v>
      </c>
      <c r="AL32" s="918"/>
      <c r="AM32" s="1519">
        <f t="shared" si="5"/>
        <v>0</v>
      </c>
    </row>
    <row r="33" spans="1:39" s="8" customFormat="1">
      <c r="A33" s="82" t="s">
        <v>23</v>
      </c>
      <c r="B33" s="154">
        <f t="shared" si="1"/>
        <v>53460000</v>
      </c>
      <c r="C33" s="78" t="s">
        <v>20</v>
      </c>
      <c r="D33" s="78" t="s">
        <v>21</v>
      </c>
      <c r="E33" s="78" t="s">
        <v>139</v>
      </c>
      <c r="F33" s="78" t="s">
        <v>1646</v>
      </c>
      <c r="G33" s="78" t="s">
        <v>22</v>
      </c>
      <c r="H33" s="2063" t="s">
        <v>1634</v>
      </c>
      <c r="I33" s="205">
        <v>18</v>
      </c>
      <c r="J33" s="97"/>
      <c r="K33" s="131"/>
      <c r="L33" s="606">
        <v>168</v>
      </c>
      <c r="M33" s="105">
        <v>53460000</v>
      </c>
      <c r="N33" s="99">
        <v>166</v>
      </c>
      <c r="O33" s="139">
        <v>53460000</v>
      </c>
      <c r="P33" s="247">
        <v>147</v>
      </c>
      <c r="Q33" s="233"/>
      <c r="R33" s="153"/>
      <c r="S33" s="153">
        <f>VLOOKUP(N33,[2]Hoja2!N$2:T$15,7,0)</f>
        <v>5022000</v>
      </c>
      <c r="T33" s="153">
        <v>4860000</v>
      </c>
      <c r="U33" s="153">
        <v>4860000</v>
      </c>
      <c r="V33" s="153">
        <v>4860000</v>
      </c>
      <c r="W33" s="153">
        <v>4860000</v>
      </c>
      <c r="X33" s="153">
        <v>4860000</v>
      </c>
      <c r="Y33" s="153">
        <v>4860000</v>
      </c>
      <c r="Z33" s="153">
        <v>4860000</v>
      </c>
      <c r="AA33" s="153">
        <v>4860000</v>
      </c>
      <c r="AB33" s="153">
        <f>4860000+4698000</f>
        <v>9558000</v>
      </c>
      <c r="AC33" s="416">
        <f t="shared" si="2"/>
        <v>53460000</v>
      </c>
      <c r="AD33" s="391">
        <f t="shared" si="3"/>
        <v>0</v>
      </c>
      <c r="AE33" s="343"/>
      <c r="AF33" s="907">
        <v>18</v>
      </c>
      <c r="AG33" s="310" t="s">
        <v>1156</v>
      </c>
      <c r="AH33" s="316" t="s">
        <v>1157</v>
      </c>
      <c r="AI33" s="992">
        <f t="shared" si="4"/>
        <v>147</v>
      </c>
      <c r="AJ33" s="304">
        <v>53460000</v>
      </c>
      <c r="AK33" s="871">
        <f t="shared" si="0"/>
        <v>0</v>
      </c>
      <c r="AL33" s="918"/>
      <c r="AM33" s="1519">
        <f t="shared" si="5"/>
        <v>0</v>
      </c>
    </row>
    <row r="34" spans="1:39" s="8" customFormat="1">
      <c r="A34" s="82" t="s">
        <v>23</v>
      </c>
      <c r="B34" s="154">
        <f t="shared" si="1"/>
        <v>28119000</v>
      </c>
      <c r="C34" s="78" t="s">
        <v>20</v>
      </c>
      <c r="D34" s="78" t="s">
        <v>21</v>
      </c>
      <c r="E34" s="78" t="s">
        <v>139</v>
      </c>
      <c r="F34" s="78" t="s">
        <v>1646</v>
      </c>
      <c r="G34" s="78" t="s">
        <v>22</v>
      </c>
      <c r="H34" s="2063" t="s">
        <v>1634</v>
      </c>
      <c r="I34" s="205">
        <v>19</v>
      </c>
      <c r="J34" s="97"/>
      <c r="K34" s="131"/>
      <c r="L34" s="606">
        <v>241</v>
      </c>
      <c r="M34" s="105">
        <v>28119000</v>
      </c>
      <c r="N34" s="607">
        <v>258</v>
      </c>
      <c r="O34" s="608">
        <v>28119000</v>
      </c>
      <c r="P34" s="247">
        <v>232</v>
      </c>
      <c r="Q34" s="233"/>
      <c r="R34" s="153"/>
      <c r="S34" s="153">
        <f>VLOOKUP(N34,[2]Hoja2!N$2:T$15,7,0)</f>
        <v>1696067</v>
      </c>
      <c r="T34" s="153">
        <v>2678000</v>
      </c>
      <c r="U34" s="153">
        <v>2678000</v>
      </c>
      <c r="V34" s="153">
        <v>2678000</v>
      </c>
      <c r="W34" s="153">
        <v>2678000</v>
      </c>
      <c r="X34" s="153">
        <v>2678000</v>
      </c>
      <c r="Y34" s="153">
        <v>2678000</v>
      </c>
      <c r="Z34" s="153">
        <v>2678000</v>
      </c>
      <c r="AA34" s="153">
        <v>2678000</v>
      </c>
      <c r="AB34" s="153">
        <f>2678000+2320933</f>
        <v>4998933</v>
      </c>
      <c r="AC34" s="416">
        <f t="shared" si="2"/>
        <v>28119000</v>
      </c>
      <c r="AD34" s="391">
        <f t="shared" si="3"/>
        <v>0</v>
      </c>
      <c r="AE34" s="343"/>
      <c r="AF34" s="907">
        <v>19</v>
      </c>
      <c r="AG34" s="310" t="s">
        <v>281</v>
      </c>
      <c r="AH34" s="316" t="s">
        <v>1158</v>
      </c>
      <c r="AI34" s="992">
        <f t="shared" si="4"/>
        <v>232</v>
      </c>
      <c r="AJ34" s="304">
        <v>28119000</v>
      </c>
      <c r="AK34" s="871">
        <f t="shared" si="0"/>
        <v>0</v>
      </c>
      <c r="AL34" s="918"/>
      <c r="AM34" s="1519">
        <f t="shared" si="5"/>
        <v>0</v>
      </c>
    </row>
    <row r="35" spans="1:39" s="8" customFormat="1">
      <c r="A35" s="82" t="s">
        <v>23</v>
      </c>
      <c r="B35" s="154">
        <f t="shared" si="1"/>
        <v>28119000</v>
      </c>
      <c r="C35" s="78" t="s">
        <v>20</v>
      </c>
      <c r="D35" s="78" t="s">
        <v>21</v>
      </c>
      <c r="E35" s="78" t="s">
        <v>139</v>
      </c>
      <c r="F35" s="78" t="s">
        <v>1646</v>
      </c>
      <c r="G35" s="78" t="s">
        <v>22</v>
      </c>
      <c r="H35" s="2063" t="s">
        <v>1634</v>
      </c>
      <c r="I35" s="205">
        <v>20</v>
      </c>
      <c r="J35" s="97"/>
      <c r="K35" s="131"/>
      <c r="L35" s="606">
        <v>242</v>
      </c>
      <c r="M35" s="105">
        <v>28119000</v>
      </c>
      <c r="N35" s="607">
        <v>240</v>
      </c>
      <c r="O35" s="608">
        <v>28119000</v>
      </c>
      <c r="P35" s="247">
        <v>215</v>
      </c>
      <c r="Q35" s="233"/>
      <c r="R35" s="153"/>
      <c r="S35" s="153">
        <f>VLOOKUP(N35,[2]Hoja2!N$2:T$15,7,0)</f>
        <v>2053133</v>
      </c>
      <c r="T35" s="153">
        <v>2678000</v>
      </c>
      <c r="U35" s="153">
        <v>2678000</v>
      </c>
      <c r="V35" s="153">
        <v>2678000</v>
      </c>
      <c r="W35" s="153">
        <v>2678000</v>
      </c>
      <c r="X35" s="153">
        <v>2678000</v>
      </c>
      <c r="Y35" s="153">
        <v>2678000</v>
      </c>
      <c r="Z35" s="153">
        <v>2678000</v>
      </c>
      <c r="AA35" s="153">
        <v>2678000</v>
      </c>
      <c r="AB35" s="153">
        <f>2678000+1963867</f>
        <v>4641867</v>
      </c>
      <c r="AC35" s="416">
        <f t="shared" si="2"/>
        <v>28119000</v>
      </c>
      <c r="AD35" s="391">
        <f t="shared" si="3"/>
        <v>0</v>
      </c>
      <c r="AE35" s="343"/>
      <c r="AF35" s="907">
        <v>20</v>
      </c>
      <c r="AG35" s="310" t="s">
        <v>281</v>
      </c>
      <c r="AH35" s="316" t="s">
        <v>1159</v>
      </c>
      <c r="AI35" s="992">
        <f t="shared" si="4"/>
        <v>215</v>
      </c>
      <c r="AJ35" s="304">
        <v>28119000</v>
      </c>
      <c r="AK35" s="871">
        <f t="shared" si="0"/>
        <v>0</v>
      </c>
      <c r="AL35" s="918"/>
      <c r="AM35" s="1519">
        <f t="shared" si="5"/>
        <v>0</v>
      </c>
    </row>
    <row r="36" spans="1:39" s="8" customFormat="1">
      <c r="A36" s="82" t="s">
        <v>23</v>
      </c>
      <c r="B36" s="154">
        <f t="shared" si="1"/>
        <v>0</v>
      </c>
      <c r="C36" s="78" t="s">
        <v>20</v>
      </c>
      <c r="D36" s="78" t="s">
        <v>21</v>
      </c>
      <c r="E36" s="78" t="s">
        <v>139</v>
      </c>
      <c r="F36" s="78" t="s">
        <v>1646</v>
      </c>
      <c r="G36" s="78" t="s">
        <v>22</v>
      </c>
      <c r="H36" s="2063" t="s">
        <v>1634</v>
      </c>
      <c r="I36" s="205" t="s">
        <v>173</v>
      </c>
      <c r="J36" s="97"/>
      <c r="K36" s="131"/>
      <c r="L36" s="606"/>
      <c r="M36" s="105"/>
      <c r="N36" s="607"/>
      <c r="O36" s="608"/>
      <c r="P36" s="247"/>
      <c r="Q36" s="233"/>
      <c r="R36" s="153"/>
      <c r="S36" s="153"/>
      <c r="T36" s="153"/>
      <c r="U36" s="153"/>
      <c r="V36" s="153"/>
      <c r="W36" s="153"/>
      <c r="X36" s="153"/>
      <c r="Y36" s="153"/>
      <c r="Z36" s="153"/>
      <c r="AA36" s="153"/>
      <c r="AB36" s="153"/>
      <c r="AC36" s="416"/>
      <c r="AD36" s="391"/>
      <c r="AE36" s="343"/>
      <c r="AF36" s="910" t="s">
        <v>325</v>
      </c>
      <c r="AG36" s="310" t="s">
        <v>493</v>
      </c>
      <c r="AH36" s="316"/>
      <c r="AI36" s="992">
        <f t="shared" si="4"/>
        <v>0</v>
      </c>
      <c r="AJ36" s="1913">
        <f>5371893-2400000-2971893</f>
        <v>0</v>
      </c>
      <c r="AK36" s="871">
        <f t="shared" si="0"/>
        <v>0</v>
      </c>
      <c r="AL36" s="918"/>
      <c r="AM36" s="1519">
        <f t="shared" si="5"/>
        <v>0</v>
      </c>
    </row>
    <row r="37" spans="1:39" s="118" customFormat="1">
      <c r="A37" s="552" t="s">
        <v>24</v>
      </c>
      <c r="B37" s="121">
        <f>B17-SUM(B18:B36)</f>
        <v>336400</v>
      </c>
      <c r="C37" s="9"/>
      <c r="D37" s="11"/>
      <c r="E37" s="11"/>
      <c r="F37" s="11"/>
      <c r="G37" s="11"/>
      <c r="H37" s="2091"/>
      <c r="I37" s="2085"/>
      <c r="J37" s="13"/>
      <c r="K37" s="121"/>
      <c r="L37" s="135"/>
      <c r="M37" s="115">
        <f>SUM(M18:M36)</f>
        <v>617997256</v>
      </c>
      <c r="N37" s="117"/>
      <c r="O37" s="115">
        <f>SUM(O18:O36)</f>
        <v>617997256</v>
      </c>
      <c r="P37" s="248"/>
      <c r="Q37" s="115">
        <f>SUM(Q18:Q36)</f>
        <v>0</v>
      </c>
      <c r="R37" s="115">
        <f t="shared" ref="R37:AB37" si="6">SUM(R18:R36)</f>
        <v>451600</v>
      </c>
      <c r="S37" s="115">
        <f t="shared" si="6"/>
        <v>40806401</v>
      </c>
      <c r="T37" s="115">
        <f t="shared" si="6"/>
        <v>47325600</v>
      </c>
      <c r="U37" s="115">
        <f t="shared" si="6"/>
        <v>46209000</v>
      </c>
      <c r="V37" s="115">
        <f t="shared" si="6"/>
        <v>46209000</v>
      </c>
      <c r="W37" s="115">
        <f t="shared" si="6"/>
        <v>46209000</v>
      </c>
      <c r="X37" s="115">
        <f t="shared" si="6"/>
        <v>46209000</v>
      </c>
      <c r="Y37" s="115">
        <f t="shared" si="6"/>
        <v>46209000</v>
      </c>
      <c r="Z37" s="115">
        <f t="shared" si="6"/>
        <v>78979256</v>
      </c>
      <c r="AA37" s="115">
        <f t="shared" si="6"/>
        <v>45263305</v>
      </c>
      <c r="AB37" s="115">
        <f t="shared" si="6"/>
        <v>142158042</v>
      </c>
      <c r="AC37" s="115">
        <f>SUM(AC18:AC36)</f>
        <v>586029204</v>
      </c>
      <c r="AD37" s="115">
        <f>SUM(AD18:AD36)</f>
        <v>31968052</v>
      </c>
      <c r="AE37" s="1423"/>
      <c r="AF37" s="908"/>
      <c r="AG37" s="317"/>
      <c r="AH37" s="317"/>
      <c r="AI37" s="1026"/>
      <c r="AJ37" s="115">
        <f>SUM(AJ18:AJ36)</f>
        <v>618333656</v>
      </c>
      <c r="AK37" s="115">
        <f>SUM(AK18:AK36)</f>
        <v>336400</v>
      </c>
      <c r="AL37" s="820">
        <f>B17-AJ37</f>
        <v>0</v>
      </c>
    </row>
    <row r="38" spans="1:39" s="6" customFormat="1" ht="30" customHeight="1">
      <c r="A38" s="553" t="s">
        <v>112</v>
      </c>
      <c r="B38" s="122">
        <f>78000000+15400000+5000000+4871401</f>
        <v>103271401</v>
      </c>
      <c r="C38" s="1272" t="s">
        <v>20</v>
      </c>
      <c r="D38" s="1272" t="s">
        <v>21</v>
      </c>
      <c r="E38" s="1271" t="s">
        <v>25</v>
      </c>
      <c r="F38" s="1271" t="s">
        <v>1647</v>
      </c>
      <c r="G38" s="1271" t="s">
        <v>22</v>
      </c>
      <c r="H38" s="2092" t="s">
        <v>1635</v>
      </c>
      <c r="I38" s="2086"/>
      <c r="J38" s="611"/>
      <c r="K38" s="12"/>
      <c r="L38" s="923"/>
      <c r="M38" s="12"/>
      <c r="N38" s="1030"/>
      <c r="O38" s="12"/>
      <c r="P38" s="734"/>
      <c r="Q38" s="339"/>
      <c r="R38" s="12"/>
      <c r="S38" s="12"/>
      <c r="T38" s="12"/>
      <c r="U38" s="12"/>
      <c r="V38" s="12"/>
      <c r="W38" s="12"/>
      <c r="X38" s="12"/>
      <c r="Y38" s="12"/>
      <c r="Z38" s="12"/>
      <c r="AA38" s="12"/>
      <c r="AB38" s="12"/>
      <c r="AC38" s="445"/>
      <c r="AD38" s="440"/>
      <c r="AE38" s="1424"/>
      <c r="AF38" s="909"/>
      <c r="AG38" s="12"/>
      <c r="AH38" s="12"/>
      <c r="AI38" s="923"/>
      <c r="AJ38" s="12"/>
      <c r="AK38" s="906"/>
      <c r="AL38" s="918"/>
    </row>
    <row r="39" spans="1:39" s="6" customFormat="1">
      <c r="A39" s="554" t="s">
        <v>26</v>
      </c>
      <c r="B39" s="123">
        <f>M39</f>
        <v>5180000</v>
      </c>
      <c r="C39" s="80" t="s">
        <v>20</v>
      </c>
      <c r="D39" s="80" t="s">
        <v>21</v>
      </c>
      <c r="E39" s="80" t="s">
        <v>25</v>
      </c>
      <c r="F39" s="80" t="s">
        <v>1647</v>
      </c>
      <c r="G39" s="80" t="s">
        <v>22</v>
      </c>
      <c r="H39" s="1362" t="s">
        <v>1635</v>
      </c>
      <c r="I39" s="205">
        <v>6</v>
      </c>
      <c r="J39" s="97"/>
      <c r="K39" s="131"/>
      <c r="L39" s="606">
        <v>167</v>
      </c>
      <c r="M39" s="108">
        <v>5180000</v>
      </c>
      <c r="N39" s="105">
        <v>161</v>
      </c>
      <c r="O39" s="105">
        <v>5180000</v>
      </c>
      <c r="P39" s="232">
        <v>142</v>
      </c>
      <c r="Q39" s="234"/>
      <c r="R39" s="154"/>
      <c r="S39" s="153">
        <v>518000</v>
      </c>
      <c r="T39" s="153">
        <v>518000</v>
      </c>
      <c r="U39" s="153">
        <v>518000</v>
      </c>
      <c r="V39" s="153">
        <v>518000</v>
      </c>
      <c r="W39" s="153">
        <v>518000</v>
      </c>
      <c r="X39" s="153">
        <v>518000</v>
      </c>
      <c r="Y39" s="153">
        <v>518000</v>
      </c>
      <c r="Z39" s="153">
        <v>518000</v>
      </c>
      <c r="AA39" s="153">
        <v>518000</v>
      </c>
      <c r="AB39" s="153">
        <v>518000</v>
      </c>
      <c r="AC39" s="416">
        <f>SUM(Q39:AB39)</f>
        <v>5180000</v>
      </c>
      <c r="AD39" s="391">
        <f>O39-AC39</f>
        <v>0</v>
      </c>
      <c r="AE39" s="343"/>
      <c r="AF39" s="907">
        <v>6</v>
      </c>
      <c r="AG39" s="316" t="s">
        <v>285</v>
      </c>
      <c r="AH39" s="316" t="s">
        <v>1149</v>
      </c>
      <c r="AI39" s="992">
        <f>P39</f>
        <v>142</v>
      </c>
      <c r="AJ39" s="303">
        <v>5180000</v>
      </c>
      <c r="AK39" s="871">
        <f>AJ39-O39</f>
        <v>0</v>
      </c>
      <c r="AL39" s="918"/>
      <c r="AM39" s="1519">
        <f>AJ39-M39</f>
        <v>0</v>
      </c>
    </row>
    <row r="40" spans="1:39" s="6" customFormat="1">
      <c r="A40" s="554" t="s">
        <v>26</v>
      </c>
      <c r="B40" s="123">
        <f>M40</f>
        <v>72820000</v>
      </c>
      <c r="C40" s="80" t="s">
        <v>20</v>
      </c>
      <c r="D40" s="80" t="s">
        <v>21</v>
      </c>
      <c r="E40" s="80" t="s">
        <v>25</v>
      </c>
      <c r="F40" s="80" t="s">
        <v>1647</v>
      </c>
      <c r="G40" s="80" t="s">
        <v>22</v>
      </c>
      <c r="H40" s="1362" t="s">
        <v>1635</v>
      </c>
      <c r="I40" s="205">
        <v>7</v>
      </c>
      <c r="J40" s="97"/>
      <c r="K40" s="131"/>
      <c r="L40" s="606">
        <v>174</v>
      </c>
      <c r="M40" s="108">
        <v>72820000</v>
      </c>
      <c r="N40" s="100">
        <v>172</v>
      </c>
      <c r="O40" s="105">
        <v>72820000</v>
      </c>
      <c r="P40" s="232">
        <v>159</v>
      </c>
      <c r="Q40" s="234"/>
      <c r="R40" s="154"/>
      <c r="S40" s="153">
        <f>VLOOKUP(N40,[2]Hoja2!N$2:T$15,7,0)</f>
        <v>6840667</v>
      </c>
      <c r="T40" s="153">
        <v>6960000</v>
      </c>
      <c r="U40" s="153">
        <f>VLOOKUP(N40,[3]Hoja2!N$33:T$47,7,0)</f>
        <v>8660000</v>
      </c>
      <c r="V40" s="153">
        <v>8660000</v>
      </c>
      <c r="W40" s="153">
        <v>8660000</v>
      </c>
      <c r="X40" s="153">
        <v>8660000</v>
      </c>
      <c r="Y40" s="153">
        <v>8660000</v>
      </c>
      <c r="Z40" s="153">
        <v>8660000</v>
      </c>
      <c r="AA40" s="153">
        <v>7059333</v>
      </c>
      <c r="AB40" s="153"/>
      <c r="AC40" s="416">
        <f t="shared" ref="AC40:AC41" si="7">SUM(Q40:AB40)</f>
        <v>72820000</v>
      </c>
      <c r="AD40" s="391">
        <f t="shared" ref="AD40" si="8">O40-AC40</f>
        <v>0</v>
      </c>
      <c r="AE40" s="343"/>
      <c r="AF40" s="907">
        <v>7</v>
      </c>
      <c r="AG40" s="316" t="s">
        <v>290</v>
      </c>
      <c r="AH40" s="316" t="s">
        <v>1160</v>
      </c>
      <c r="AI40" s="992">
        <f>P40</f>
        <v>159</v>
      </c>
      <c r="AJ40" s="303">
        <v>72820000</v>
      </c>
      <c r="AK40" s="871">
        <f>AJ40-O40</f>
        <v>0</v>
      </c>
      <c r="AL40" s="918"/>
      <c r="AM40" s="1519">
        <f>AJ40-M40</f>
        <v>0</v>
      </c>
    </row>
    <row r="41" spans="1:39" s="6" customFormat="1">
      <c r="A41" s="554" t="s">
        <v>26</v>
      </c>
      <c r="B41" s="123">
        <f>M41</f>
        <v>20400000</v>
      </c>
      <c r="C41" s="80" t="s">
        <v>20</v>
      </c>
      <c r="D41" s="80" t="s">
        <v>21</v>
      </c>
      <c r="E41" s="80" t="s">
        <v>25</v>
      </c>
      <c r="F41" s="80" t="s">
        <v>1647</v>
      </c>
      <c r="G41" s="80" t="s">
        <v>22</v>
      </c>
      <c r="H41" s="1362" t="s">
        <v>1635</v>
      </c>
      <c r="I41" s="205">
        <v>0</v>
      </c>
      <c r="J41" s="97"/>
      <c r="K41" s="131"/>
      <c r="L41" s="606">
        <v>344</v>
      </c>
      <c r="M41" s="1234">
        <v>20400000</v>
      </c>
      <c r="N41" s="100">
        <v>399</v>
      </c>
      <c r="O41" s="141">
        <v>20400000</v>
      </c>
      <c r="P41" s="1193">
        <v>159</v>
      </c>
      <c r="Q41" s="234"/>
      <c r="R41" s="154"/>
      <c r="S41" s="154"/>
      <c r="T41" s="153"/>
      <c r="U41" s="154"/>
      <c r="V41" s="153"/>
      <c r="W41" s="154"/>
      <c r="X41" s="153"/>
      <c r="Y41" s="153"/>
      <c r="Z41" s="153"/>
      <c r="AA41" s="153">
        <v>1600667</v>
      </c>
      <c r="AB41" s="153">
        <f>8660000+8660000</f>
        <v>17320000</v>
      </c>
      <c r="AC41" s="416">
        <f t="shared" si="7"/>
        <v>18920667</v>
      </c>
      <c r="AD41" s="391">
        <f>O41-AC41</f>
        <v>1479333</v>
      </c>
      <c r="AE41" s="343"/>
      <c r="AF41" s="907" t="s">
        <v>325</v>
      </c>
      <c r="AG41" s="316" t="s">
        <v>751</v>
      </c>
      <c r="AH41" s="316" t="s">
        <v>1160</v>
      </c>
      <c r="AI41" s="992">
        <f>P41</f>
        <v>159</v>
      </c>
      <c r="AJ41" s="303">
        <v>20400000</v>
      </c>
      <c r="AK41" s="871">
        <f>AJ41-O41</f>
        <v>0</v>
      </c>
      <c r="AL41" s="918"/>
      <c r="AM41" s="1519">
        <f>AJ41-M41</f>
        <v>0</v>
      </c>
    </row>
    <row r="42" spans="1:39" s="6" customFormat="1">
      <c r="A42" s="554" t="s">
        <v>26</v>
      </c>
      <c r="B42" s="123">
        <f>M42</f>
        <v>4618666</v>
      </c>
      <c r="C42" s="80" t="s">
        <v>20</v>
      </c>
      <c r="D42" s="80" t="s">
        <v>21</v>
      </c>
      <c r="E42" s="80" t="s">
        <v>25</v>
      </c>
      <c r="F42" s="80" t="s">
        <v>1647</v>
      </c>
      <c r="G42" s="80" t="s">
        <v>22</v>
      </c>
      <c r="H42" s="1362" t="s">
        <v>1635</v>
      </c>
      <c r="I42" s="205">
        <v>0</v>
      </c>
      <c r="J42" s="97">
        <v>768</v>
      </c>
      <c r="K42" s="131">
        <v>4871401</v>
      </c>
      <c r="L42" s="606">
        <v>888</v>
      </c>
      <c r="M42" s="109">
        <f>4871401-252735</f>
        <v>4618666</v>
      </c>
      <c r="N42" s="100">
        <v>1109</v>
      </c>
      <c r="O42" s="141">
        <v>4618666</v>
      </c>
      <c r="P42" s="1193">
        <v>159</v>
      </c>
      <c r="Q42" s="234"/>
      <c r="R42" s="154"/>
      <c r="S42" s="154"/>
      <c r="T42" s="154"/>
      <c r="U42" s="154"/>
      <c r="V42" s="154"/>
      <c r="W42" s="154"/>
      <c r="X42" s="154"/>
      <c r="Y42" s="154"/>
      <c r="Z42" s="154"/>
      <c r="AA42" s="154"/>
      <c r="AB42" s="154"/>
      <c r="AC42" s="416">
        <f>SUM(Q42:AB42)</f>
        <v>0</v>
      </c>
      <c r="AD42" s="391">
        <f>O42-AC42</f>
        <v>4618666</v>
      </c>
      <c r="AE42" s="343"/>
      <c r="AF42" s="1919" t="s">
        <v>325</v>
      </c>
      <c r="AG42" s="316" t="s">
        <v>1527</v>
      </c>
      <c r="AH42" s="316" t="s">
        <v>1160</v>
      </c>
      <c r="AI42" s="992">
        <f>P42</f>
        <v>159</v>
      </c>
      <c r="AJ42" s="303">
        <v>4871401</v>
      </c>
      <c r="AK42" s="871">
        <f>AJ42-O42</f>
        <v>252735</v>
      </c>
      <c r="AL42" s="918"/>
      <c r="AM42" s="1519">
        <f>AJ42-M42</f>
        <v>252735</v>
      </c>
    </row>
    <row r="43" spans="1:39" s="118" customFormat="1">
      <c r="A43" s="555" t="s">
        <v>24</v>
      </c>
      <c r="B43" s="121">
        <f>B38-SUM(B39:B42)</f>
        <v>252735</v>
      </c>
      <c r="C43" s="9"/>
      <c r="D43" s="11"/>
      <c r="E43" s="11"/>
      <c r="F43" s="11"/>
      <c r="G43" s="11"/>
      <c r="H43" s="2091"/>
      <c r="I43" s="2085"/>
      <c r="J43" s="13"/>
      <c r="K43" s="121"/>
      <c r="L43" s="135"/>
      <c r="M43" s="115">
        <f>SUM(M39:M42)</f>
        <v>103018666</v>
      </c>
      <c r="N43" s="117"/>
      <c r="O43" s="140">
        <f>SUM(O39:O42)</f>
        <v>103018666</v>
      </c>
      <c r="P43" s="248"/>
      <c r="Q43" s="242">
        <f t="shared" ref="Q43:AB43" si="9">SUM(Q39:Q42)</f>
        <v>0</v>
      </c>
      <c r="R43" s="115">
        <f t="shared" si="9"/>
        <v>0</v>
      </c>
      <c r="S43" s="115">
        <f>SUM(S39:S42)</f>
        <v>7358667</v>
      </c>
      <c r="T43" s="115">
        <f t="shared" si="9"/>
        <v>7478000</v>
      </c>
      <c r="U43" s="115">
        <f t="shared" si="9"/>
        <v>9178000</v>
      </c>
      <c r="V43" s="115">
        <f t="shared" si="9"/>
        <v>9178000</v>
      </c>
      <c r="W43" s="115">
        <f t="shared" si="9"/>
        <v>9178000</v>
      </c>
      <c r="X43" s="115">
        <f t="shared" si="9"/>
        <v>9178000</v>
      </c>
      <c r="Y43" s="115">
        <f t="shared" si="9"/>
        <v>9178000</v>
      </c>
      <c r="Z43" s="115">
        <f t="shared" si="9"/>
        <v>9178000</v>
      </c>
      <c r="AA43" s="115">
        <f t="shared" si="9"/>
        <v>9178000</v>
      </c>
      <c r="AB43" s="115">
        <f t="shared" si="9"/>
        <v>17838000</v>
      </c>
      <c r="AC43" s="341">
        <f>SUM(AC39:AC42)</f>
        <v>96920667</v>
      </c>
      <c r="AD43" s="439">
        <f>SUM(AD39:AD42)</f>
        <v>6097999</v>
      </c>
      <c r="AE43" s="1423"/>
      <c r="AF43" s="908"/>
      <c r="AG43" s="317"/>
      <c r="AH43" s="317"/>
      <c r="AI43" s="1026"/>
      <c r="AJ43" s="115">
        <f>SUM(AJ39:AJ42)</f>
        <v>103271401</v>
      </c>
      <c r="AK43" s="341">
        <f>SUM(AK39:AK42)</f>
        <v>252735</v>
      </c>
      <c r="AL43" s="820">
        <f>B38-AJ43</f>
        <v>0</v>
      </c>
    </row>
    <row r="44" spans="1:39" s="6" customFormat="1" ht="32.25" customHeight="1">
      <c r="A44" s="691" t="s">
        <v>29</v>
      </c>
      <c r="B44" s="122">
        <f>25000000-5000000-1605057</f>
        <v>18394943</v>
      </c>
      <c r="C44" s="1274" t="s">
        <v>20</v>
      </c>
      <c r="D44" s="1274" t="s">
        <v>21</v>
      </c>
      <c r="E44" s="1273" t="s">
        <v>27</v>
      </c>
      <c r="F44" s="1273" t="s">
        <v>28</v>
      </c>
      <c r="G44" s="1273" t="s">
        <v>22</v>
      </c>
      <c r="H44" s="2093" t="s">
        <v>1636</v>
      </c>
      <c r="I44" s="2087"/>
      <c r="J44" s="328"/>
      <c r="K44" s="484"/>
      <c r="L44" s="329"/>
      <c r="M44" s="330"/>
      <c r="N44" s="331"/>
      <c r="O44" s="332"/>
      <c r="P44" s="333"/>
      <c r="Q44" s="334"/>
      <c r="R44" s="335"/>
      <c r="S44" s="335"/>
      <c r="T44" s="335"/>
      <c r="U44" s="335"/>
      <c r="V44" s="335"/>
      <c r="W44" s="335"/>
      <c r="X44" s="335"/>
      <c r="Y44" s="335"/>
      <c r="Z44" s="335"/>
      <c r="AA44" s="335"/>
      <c r="AB44" s="335"/>
      <c r="AC44" s="446"/>
      <c r="AD44" s="393"/>
      <c r="AE44" s="343"/>
      <c r="AF44" s="910"/>
      <c r="AG44" s="337"/>
      <c r="AH44" s="337"/>
      <c r="AI44" s="1027"/>
      <c r="AJ44" s="338"/>
      <c r="AK44" s="906"/>
      <c r="AL44" s="918"/>
    </row>
    <row r="45" spans="1:39" s="8" customFormat="1">
      <c r="A45" s="575" t="s">
        <v>29</v>
      </c>
      <c r="B45" s="143">
        <f>M45</f>
        <v>3397443</v>
      </c>
      <c r="C45" s="81" t="s">
        <v>20</v>
      </c>
      <c r="D45" s="81" t="s">
        <v>21</v>
      </c>
      <c r="E45" s="81" t="s">
        <v>27</v>
      </c>
      <c r="F45" s="81" t="s">
        <v>28</v>
      </c>
      <c r="G45" s="81" t="s">
        <v>22</v>
      </c>
      <c r="H45" s="2094" t="s">
        <v>1636</v>
      </c>
      <c r="I45" s="929">
        <v>4</v>
      </c>
      <c r="J45" s="233"/>
      <c r="K45" s="131"/>
      <c r="L45" s="606">
        <v>408</v>
      </c>
      <c r="M45" s="109">
        <f>5000000-1602557</f>
        <v>3397443</v>
      </c>
      <c r="N45" s="100">
        <v>578</v>
      </c>
      <c r="O45" s="141">
        <v>3397443</v>
      </c>
      <c r="P45" s="232">
        <v>371</v>
      </c>
      <c r="Q45" s="243"/>
      <c r="R45" s="153"/>
      <c r="S45" s="153"/>
      <c r="T45" s="153"/>
      <c r="U45" s="153"/>
      <c r="V45" s="153"/>
      <c r="W45" s="153"/>
      <c r="X45" s="153">
        <v>3397443</v>
      </c>
      <c r="Y45" s="153"/>
      <c r="Z45" s="153"/>
      <c r="AA45" s="153"/>
      <c r="AB45" s="153"/>
      <c r="AC45" s="416">
        <f>SUM(Q45:AB45)</f>
        <v>3397443</v>
      </c>
      <c r="AD45" s="391">
        <f>O45-AC45</f>
        <v>0</v>
      </c>
      <c r="AE45" s="343"/>
      <c r="AF45" s="910">
        <v>4</v>
      </c>
      <c r="AG45" s="316" t="s">
        <v>291</v>
      </c>
      <c r="AH45" s="316" t="s">
        <v>817</v>
      </c>
      <c r="AI45" s="992">
        <f>P45</f>
        <v>371</v>
      </c>
      <c r="AJ45" s="1913">
        <f>10000000-5000000-1602557</f>
        <v>3397443</v>
      </c>
      <c r="AK45" s="871">
        <f>AJ45-O45</f>
        <v>0</v>
      </c>
      <c r="AL45" s="918"/>
      <c r="AM45" s="1519">
        <f>AJ45-M45</f>
        <v>0</v>
      </c>
    </row>
    <row r="46" spans="1:39" s="8" customFormat="1">
      <c r="A46" s="575" t="s">
        <v>29</v>
      </c>
      <c r="B46" s="143">
        <f>M46</f>
        <v>0</v>
      </c>
      <c r="C46" s="81" t="s">
        <v>20</v>
      </c>
      <c r="D46" s="81" t="s">
        <v>21</v>
      </c>
      <c r="E46" s="81" t="s">
        <v>27</v>
      </c>
      <c r="F46" s="81" t="s">
        <v>28</v>
      </c>
      <c r="G46" s="81" t="s">
        <v>22</v>
      </c>
      <c r="H46" s="2094" t="s">
        <v>1636</v>
      </c>
      <c r="I46" s="929">
        <v>17</v>
      </c>
      <c r="J46" s="233"/>
      <c r="K46" s="131"/>
      <c r="L46" s="606"/>
      <c r="M46" s="109"/>
      <c r="N46" s="100"/>
      <c r="O46" s="141"/>
      <c r="P46" s="232"/>
      <c r="Q46" s="243"/>
      <c r="R46" s="153"/>
      <c r="S46" s="153"/>
      <c r="T46" s="153"/>
      <c r="U46" s="153"/>
      <c r="V46" s="153"/>
      <c r="W46" s="153"/>
      <c r="X46" s="153"/>
      <c r="Y46" s="153"/>
      <c r="Z46" s="153"/>
      <c r="AA46" s="153"/>
      <c r="AB46" s="153"/>
      <c r="AC46" s="416">
        <f t="shared" ref="AC46:AC47" si="10">SUM(Q46:AB46)</f>
        <v>0</v>
      </c>
      <c r="AD46" s="391">
        <f t="shared" ref="AD46:AD47" si="11">O46-AC46</f>
        <v>0</v>
      </c>
      <c r="AE46" s="343"/>
      <c r="AF46" s="907">
        <v>17</v>
      </c>
      <c r="AG46" s="316" t="s">
        <v>270</v>
      </c>
      <c r="AH46" s="316" t="s">
        <v>173</v>
      </c>
      <c r="AI46" s="992">
        <f>P46</f>
        <v>0</v>
      </c>
      <c r="AJ46" s="304">
        <f>15000000-15000000</f>
        <v>0</v>
      </c>
      <c r="AK46" s="871">
        <f>AJ46-O46</f>
        <v>0</v>
      </c>
      <c r="AL46" s="918"/>
      <c r="AM46" s="1519">
        <f>AJ46-M46</f>
        <v>0</v>
      </c>
    </row>
    <row r="47" spans="1:39" s="8" customFormat="1">
      <c r="A47" s="557" t="s">
        <v>29</v>
      </c>
      <c r="B47" s="143">
        <f>M47</f>
        <v>14997500</v>
      </c>
      <c r="C47" s="81" t="s">
        <v>20</v>
      </c>
      <c r="D47" s="81" t="s">
        <v>21</v>
      </c>
      <c r="E47" s="81" t="s">
        <v>27</v>
      </c>
      <c r="F47" s="81" t="s">
        <v>28</v>
      </c>
      <c r="G47" s="81" t="s">
        <v>22</v>
      </c>
      <c r="H47" s="2094" t="s">
        <v>1636</v>
      </c>
      <c r="I47" s="2088">
        <v>567</v>
      </c>
      <c r="J47" s="97"/>
      <c r="K47" s="131"/>
      <c r="L47" s="107">
        <v>640</v>
      </c>
      <c r="M47" s="109">
        <f>15000000-2500</f>
        <v>14997500</v>
      </c>
      <c r="N47" s="100">
        <v>803</v>
      </c>
      <c r="O47" s="141">
        <v>14997500</v>
      </c>
      <c r="P47" s="232">
        <v>447</v>
      </c>
      <c r="Q47" s="243"/>
      <c r="R47" s="558"/>
      <c r="S47" s="558"/>
      <c r="T47" s="558"/>
      <c r="U47" s="558"/>
      <c r="V47" s="153"/>
      <c r="W47" s="153"/>
      <c r="X47" s="153"/>
      <c r="Y47" s="153"/>
      <c r="Z47" s="153">
        <v>4427834</v>
      </c>
      <c r="AA47" s="153">
        <v>4285000</v>
      </c>
      <c r="AB47" s="153">
        <f>4285000+1999666</f>
        <v>6284666</v>
      </c>
      <c r="AC47" s="416">
        <f t="shared" si="10"/>
        <v>14997500</v>
      </c>
      <c r="AD47" s="391">
        <f t="shared" si="11"/>
        <v>0</v>
      </c>
      <c r="AE47" s="343"/>
      <c r="AF47" s="910">
        <v>567</v>
      </c>
      <c r="AG47" s="268" t="s">
        <v>1166</v>
      </c>
      <c r="AH47" s="316" t="s">
        <v>1230</v>
      </c>
      <c r="AI47" s="992">
        <f>P47</f>
        <v>447</v>
      </c>
      <c r="AJ47" s="1913">
        <f>15000000-2500</f>
        <v>14997500</v>
      </c>
      <c r="AK47" s="871">
        <f>AJ47-O47</f>
        <v>0</v>
      </c>
      <c r="AL47" s="918"/>
      <c r="AM47" s="1519">
        <f>AJ47-M47</f>
        <v>0</v>
      </c>
    </row>
    <row r="48" spans="1:39" s="8" customFormat="1">
      <c r="A48" s="555" t="s">
        <v>24</v>
      </c>
      <c r="B48" s="121">
        <f>B44-SUM(B45:B47)</f>
        <v>0</v>
      </c>
      <c r="C48" s="13"/>
      <c r="D48" s="13"/>
      <c r="E48" s="13"/>
      <c r="F48" s="13"/>
      <c r="G48" s="13"/>
      <c r="H48" s="13"/>
      <c r="I48" s="930"/>
      <c r="J48" s="13"/>
      <c r="K48" s="121"/>
      <c r="L48" s="135"/>
      <c r="M48" s="14">
        <f>SUM(M45:M47)</f>
        <v>18394943</v>
      </c>
      <c r="N48" s="101"/>
      <c r="O48" s="14">
        <f>SUM(O45:O47)</f>
        <v>18394943</v>
      </c>
      <c r="P48" s="499"/>
      <c r="Q48" s="14">
        <f>SUM(Q45:Q47)</f>
        <v>0</v>
      </c>
      <c r="R48" s="14">
        <f t="shared" ref="R48:AC48" si="12">SUM(R45:R47)</f>
        <v>0</v>
      </c>
      <c r="S48" s="14">
        <f t="shared" si="12"/>
        <v>0</v>
      </c>
      <c r="T48" s="14">
        <f t="shared" si="12"/>
        <v>0</v>
      </c>
      <c r="U48" s="14">
        <f t="shared" si="12"/>
        <v>0</v>
      </c>
      <c r="V48" s="14">
        <f t="shared" si="12"/>
        <v>0</v>
      </c>
      <c r="W48" s="14">
        <f t="shared" si="12"/>
        <v>0</v>
      </c>
      <c r="X48" s="14">
        <f t="shared" si="12"/>
        <v>3397443</v>
      </c>
      <c r="Y48" s="14">
        <f t="shared" si="12"/>
        <v>0</v>
      </c>
      <c r="Z48" s="14">
        <f t="shared" si="12"/>
        <v>4427834</v>
      </c>
      <c r="AA48" s="14">
        <f t="shared" si="12"/>
        <v>4285000</v>
      </c>
      <c r="AB48" s="14">
        <f t="shared" si="12"/>
        <v>6284666</v>
      </c>
      <c r="AC48" s="14">
        <f t="shared" si="12"/>
        <v>18394943</v>
      </c>
      <c r="AD48" s="14">
        <f>SUM(AD45:AD47)</f>
        <v>0</v>
      </c>
      <c r="AE48" s="229"/>
      <c r="AF48" s="911"/>
      <c r="AG48" s="318"/>
      <c r="AH48" s="318"/>
      <c r="AI48" s="1028"/>
      <c r="AJ48" s="14">
        <f>SUM(AJ45:AJ47)</f>
        <v>18394943</v>
      </c>
      <c r="AK48" s="181">
        <f>SUM(AK45:AK47)</f>
        <v>0</v>
      </c>
      <c r="AL48" s="820">
        <f>B44-AJ48</f>
        <v>0</v>
      </c>
    </row>
    <row r="49" spans="1:38" s="8" customFormat="1">
      <c r="A49" s="559"/>
      <c r="B49" s="144"/>
      <c r="C49" s="145"/>
      <c r="D49" s="146"/>
      <c r="E49" s="145"/>
      <c r="F49" s="145"/>
      <c r="G49" s="147"/>
      <c r="H49" s="75"/>
      <c r="I49" s="209"/>
      <c r="J49" s="146"/>
      <c r="K49" s="477"/>
      <c r="L49" s="148"/>
      <c r="M49" s="149"/>
      <c r="N49" s="150"/>
      <c r="O49" s="151"/>
      <c r="P49" s="183"/>
      <c r="Q49" s="244"/>
      <c r="R49" s="7"/>
      <c r="S49" s="7"/>
      <c r="T49" s="7"/>
      <c r="U49" s="7"/>
      <c r="V49" s="7"/>
      <c r="W49" s="7"/>
      <c r="X49" s="7"/>
      <c r="Y49" s="7"/>
      <c r="Z49" s="7"/>
      <c r="AA49" s="7"/>
      <c r="AB49" s="7"/>
      <c r="AC49" s="183"/>
      <c r="AD49" s="415"/>
      <c r="AE49" s="229"/>
      <c r="AF49" s="890"/>
      <c r="AG49" s="310"/>
      <c r="AH49" s="310"/>
      <c r="AI49" s="992"/>
      <c r="AJ49" s="304"/>
      <c r="AK49" s="902"/>
      <c r="AL49" s="918"/>
    </row>
    <row r="50" spans="1:38" s="132" customFormat="1" ht="15.75" thickBot="1">
      <c r="A50" s="560" t="s">
        <v>171</v>
      </c>
      <c r="B50" s="124">
        <f>B17+B38+B44</f>
        <v>740000000</v>
      </c>
      <c r="C50" s="15"/>
      <c r="D50" s="16"/>
      <c r="E50" s="15"/>
      <c r="F50" s="15"/>
      <c r="G50" s="17"/>
      <c r="H50" s="2052"/>
      <c r="I50" s="931"/>
      <c r="J50" s="16"/>
      <c r="K50" s="485"/>
      <c r="L50" s="136"/>
      <c r="M50" s="110">
        <f>M37+M43+M48</f>
        <v>739410865</v>
      </c>
      <c r="N50" s="102"/>
      <c r="O50" s="110">
        <f>O37+O43+O48</f>
        <v>739410865</v>
      </c>
      <c r="P50" s="249"/>
      <c r="Q50" s="245">
        <f t="shared" ref="Q50:AC50" si="13">Q37+Q43+Q48</f>
        <v>0</v>
      </c>
      <c r="R50" s="188">
        <f t="shared" si="13"/>
        <v>451600</v>
      </c>
      <c r="S50" s="188">
        <f t="shared" si="13"/>
        <v>48165068</v>
      </c>
      <c r="T50" s="188">
        <f t="shared" si="13"/>
        <v>54803600</v>
      </c>
      <c r="U50" s="188">
        <f t="shared" si="13"/>
        <v>55387000</v>
      </c>
      <c r="V50" s="188">
        <f t="shared" si="13"/>
        <v>55387000</v>
      </c>
      <c r="W50" s="188">
        <f t="shared" si="13"/>
        <v>55387000</v>
      </c>
      <c r="X50" s="188">
        <f t="shared" si="13"/>
        <v>58784443</v>
      </c>
      <c r="Y50" s="188">
        <f t="shared" si="13"/>
        <v>55387000</v>
      </c>
      <c r="Z50" s="188">
        <f t="shared" si="13"/>
        <v>92585090</v>
      </c>
      <c r="AA50" s="188">
        <f t="shared" si="13"/>
        <v>58726305</v>
      </c>
      <c r="AB50" s="188">
        <f t="shared" si="13"/>
        <v>166280708</v>
      </c>
      <c r="AC50" s="1412">
        <f t="shared" si="13"/>
        <v>701344814</v>
      </c>
      <c r="AD50" s="1413">
        <f>AD37+AD43+AD48</f>
        <v>38066051</v>
      </c>
      <c r="AE50" s="1425"/>
      <c r="AF50" s="912"/>
      <c r="AG50" s="913"/>
      <c r="AH50" s="913"/>
      <c r="AI50" s="1029"/>
      <c r="AJ50" s="914">
        <f>AJ37+AJ43+AJ48</f>
        <v>740000000</v>
      </c>
      <c r="AK50" s="915">
        <f>AK37+AK43+AK48</f>
        <v>589135</v>
      </c>
      <c r="AL50" s="1178">
        <f>AL37+AL43+AL48</f>
        <v>0</v>
      </c>
    </row>
    <row r="51" spans="1:38">
      <c r="A51" s="18"/>
      <c r="B51" s="125"/>
      <c r="C51" s="20"/>
      <c r="D51" s="20"/>
      <c r="E51" s="20"/>
      <c r="F51" s="20"/>
      <c r="G51" s="20"/>
      <c r="H51" s="2043"/>
      <c r="I51" s="210"/>
      <c r="J51" s="20"/>
      <c r="K51" s="125"/>
      <c r="L51" s="137"/>
      <c r="M51" s="111"/>
      <c r="N51" s="103"/>
      <c r="O51" s="111"/>
      <c r="P51" s="21"/>
      <c r="Q51" s="220"/>
      <c r="R51" s="220"/>
      <c r="S51" s="220"/>
      <c r="T51" s="220"/>
      <c r="U51" s="220"/>
      <c r="V51" s="220"/>
      <c r="W51" s="220"/>
      <c r="X51" s="220"/>
      <c r="Y51" s="220"/>
      <c r="Z51" s="220"/>
      <c r="AA51" s="220"/>
      <c r="AB51" s="220"/>
      <c r="AC51" s="561"/>
      <c r="AD51" s="562"/>
      <c r="AE51" s="218"/>
    </row>
    <row r="52" spans="1:38">
      <c r="A52" s="18"/>
      <c r="B52" s="125"/>
      <c r="C52" s="735"/>
      <c r="D52" s="735"/>
      <c r="E52" s="735"/>
      <c r="F52" s="735"/>
      <c r="G52" s="735"/>
      <c r="H52" s="2043"/>
      <c r="I52" s="210"/>
      <c r="J52" s="735"/>
      <c r="K52" s="125"/>
      <c r="L52" s="137"/>
      <c r="M52" s="111"/>
      <c r="N52" s="103"/>
      <c r="O52" s="111"/>
      <c r="P52" s="21"/>
      <c r="Q52" s="220"/>
      <c r="R52" s="220"/>
      <c r="S52" s="220"/>
      <c r="T52" s="220"/>
      <c r="U52" s="220"/>
      <c r="V52" s="220"/>
      <c r="W52" s="220"/>
      <c r="X52" s="220"/>
      <c r="Y52" s="220"/>
      <c r="Z52" s="220"/>
      <c r="AA52" s="220"/>
      <c r="AB52" s="220"/>
      <c r="AC52" s="561"/>
      <c r="AD52" s="562"/>
      <c r="AE52" s="218"/>
    </row>
    <row r="53" spans="1:38" ht="12.75" customHeight="1">
      <c r="A53" s="18"/>
      <c r="B53" s="125"/>
      <c r="C53" s="573"/>
      <c r="D53" s="573"/>
      <c r="E53" s="573"/>
      <c r="F53" s="573"/>
      <c r="G53" s="573"/>
      <c r="H53" s="573"/>
      <c r="I53" s="932"/>
      <c r="J53" s="20"/>
      <c r="K53" s="125"/>
      <c r="L53" s="137"/>
      <c r="M53" s="111"/>
      <c r="N53" s="103"/>
      <c r="O53" s="111"/>
      <c r="P53" s="21"/>
      <c r="Q53" s="220"/>
      <c r="R53" s="220"/>
      <c r="S53" s="220"/>
      <c r="T53" s="220"/>
      <c r="U53" s="220"/>
      <c r="V53" s="220"/>
      <c r="W53" s="220"/>
      <c r="X53" s="220"/>
      <c r="Y53" s="220"/>
      <c r="Z53" s="220"/>
      <c r="AA53" s="220"/>
      <c r="AB53" s="220"/>
      <c r="AC53" s="561"/>
      <c r="AD53" s="562"/>
      <c r="AE53" s="218"/>
    </row>
    <row r="54" spans="1:38" ht="22.5" customHeight="1">
      <c r="A54" s="22" t="s">
        <v>138</v>
      </c>
      <c r="B54" s="126" t="s">
        <v>12</v>
      </c>
      <c r="C54" s="573"/>
      <c r="D54" s="573"/>
      <c r="E54" s="573"/>
      <c r="F54" s="573"/>
      <c r="G54" s="573"/>
      <c r="H54" s="573"/>
      <c r="I54" s="932"/>
      <c r="J54" s="75"/>
      <c r="K54" s="471"/>
      <c r="L54" s="156"/>
      <c r="M54" s="112" t="s">
        <v>17</v>
      </c>
      <c r="N54" s="345" t="s">
        <v>18</v>
      </c>
      <c r="O54" s="250" t="s">
        <v>19</v>
      </c>
      <c r="P54" s="563" t="s">
        <v>136</v>
      </c>
      <c r="Q54" s="535">
        <v>0</v>
      </c>
      <c r="R54" s="535">
        <v>451600</v>
      </c>
      <c r="S54" s="535">
        <v>48165068</v>
      </c>
      <c r="T54" s="535">
        <v>54803600</v>
      </c>
      <c r="U54" s="535">
        <v>55387000</v>
      </c>
      <c r="V54" s="535">
        <v>55387000</v>
      </c>
      <c r="W54" s="535">
        <v>55387000</v>
      </c>
      <c r="X54" s="535">
        <v>58784443</v>
      </c>
      <c r="Y54" s="535">
        <v>55387000</v>
      </c>
      <c r="Z54" s="535">
        <v>92585090</v>
      </c>
      <c r="AA54" s="535">
        <v>58726305</v>
      </c>
      <c r="AB54" s="535">
        <v>166280708</v>
      </c>
      <c r="AC54" s="1410">
        <f>SUM(Q54:AB54)</f>
        <v>701344814</v>
      </c>
      <c r="AD54" s="1411">
        <f>O50-AC54</f>
        <v>38066051</v>
      </c>
      <c r="AE54" s="1426"/>
    </row>
    <row r="55" spans="1:38" ht="15.75" customHeight="1">
      <c r="A55" s="25" t="s">
        <v>31</v>
      </c>
      <c r="B55" s="77">
        <f>B17+B38+B44</f>
        <v>740000000</v>
      </c>
      <c r="C55" s="2170"/>
      <c r="D55" s="2171"/>
      <c r="E55" s="2171"/>
      <c r="F55" s="2171"/>
      <c r="G55" s="2171"/>
      <c r="H55" s="2038"/>
      <c r="I55" s="933"/>
      <c r="J55" s="157"/>
      <c r="K55" s="408"/>
      <c r="L55" s="158"/>
      <c r="M55" s="113">
        <f>M37+M43+M48</f>
        <v>739410865</v>
      </c>
      <c r="N55" s="113">
        <f>O37+O43+O48</f>
        <v>739410865</v>
      </c>
      <c r="O55" s="113">
        <f>AC37+AC43+AC48</f>
        <v>701344814</v>
      </c>
      <c r="P55" s="62"/>
      <c r="Q55" s="220"/>
      <c r="R55" s="220"/>
      <c r="S55" s="220">
        <f>S54-S50</f>
        <v>0</v>
      </c>
      <c r="T55" s="220"/>
      <c r="U55" s="220"/>
      <c r="V55" s="220"/>
      <c r="W55" s="220"/>
      <c r="X55" s="220"/>
      <c r="Y55" s="220">
        <f>Y54-Y50</f>
        <v>0</v>
      </c>
      <c r="Z55" s="220"/>
      <c r="AA55" s="220"/>
      <c r="AB55" s="220"/>
      <c r="AC55" s="561"/>
      <c r="AD55" s="562"/>
      <c r="AE55" s="218"/>
    </row>
    <row r="56" spans="1:38" ht="18.75" customHeight="1">
      <c r="A56" s="18"/>
      <c r="B56" s="125"/>
      <c r="C56" s="2172"/>
      <c r="D56" s="2172"/>
      <c r="E56" s="2172"/>
      <c r="F56" s="2172"/>
      <c r="G56" s="2172"/>
      <c r="H56" s="2039"/>
      <c r="I56" s="934"/>
      <c r="J56" s="20"/>
      <c r="K56" s="125"/>
      <c r="L56" s="137"/>
      <c r="M56" s="111"/>
      <c r="N56" s="461" t="s">
        <v>31</v>
      </c>
      <c r="O56" s="113">
        <f>O50</f>
        <v>739410865</v>
      </c>
      <c r="P56" s="62"/>
      <c r="Q56" s="113">
        <v>0</v>
      </c>
      <c r="R56" s="113">
        <f t="shared" ref="R56:AD56" si="14">R37+R43+R48</f>
        <v>451600</v>
      </c>
      <c r="S56" s="113">
        <f t="shared" si="14"/>
        <v>48165068</v>
      </c>
      <c r="T56" s="113">
        <f t="shared" si="14"/>
        <v>54803600</v>
      </c>
      <c r="U56" s="113">
        <f t="shared" si="14"/>
        <v>55387000</v>
      </c>
      <c r="V56" s="113">
        <f t="shared" si="14"/>
        <v>55387000</v>
      </c>
      <c r="W56" s="113">
        <f t="shared" si="14"/>
        <v>55387000</v>
      </c>
      <c r="X56" s="113">
        <f t="shared" si="14"/>
        <v>58784443</v>
      </c>
      <c r="Y56" s="113">
        <f t="shared" si="14"/>
        <v>55387000</v>
      </c>
      <c r="Z56" s="113">
        <f t="shared" si="14"/>
        <v>92585090</v>
      </c>
      <c r="AA56" s="113">
        <f t="shared" si="14"/>
        <v>58726305</v>
      </c>
      <c r="AB56" s="113">
        <f t="shared" si="14"/>
        <v>166280708</v>
      </c>
      <c r="AC56" s="348">
        <f t="shared" si="14"/>
        <v>701344814</v>
      </c>
      <c r="AD56" s="626">
        <f t="shared" si="14"/>
        <v>38066051</v>
      </c>
      <c r="AE56" s="1421"/>
      <c r="AF56" s="157"/>
    </row>
    <row r="57" spans="1:38" ht="13.5" thickBot="1">
      <c r="A57" s="564"/>
      <c r="B57" s="565"/>
      <c r="C57" s="574"/>
      <c r="D57" s="574"/>
      <c r="E57" s="574"/>
      <c r="F57" s="574"/>
      <c r="G57" s="574"/>
      <c r="H57" s="574"/>
      <c r="I57" s="935"/>
      <c r="J57" s="566"/>
      <c r="K57" s="567"/>
      <c r="L57" s="568"/>
      <c r="M57" s="565"/>
      <c r="N57" s="628"/>
      <c r="O57" s="565"/>
      <c r="P57" s="569"/>
      <c r="Q57" s="570"/>
      <c r="R57" s="570"/>
      <c r="S57" s="570"/>
      <c r="T57" s="570"/>
      <c r="U57" s="570"/>
      <c r="V57" s="570"/>
      <c r="W57" s="570"/>
      <c r="X57" s="570"/>
      <c r="Y57" s="570"/>
      <c r="Z57" s="570"/>
      <c r="AA57" s="570"/>
      <c r="AB57" s="570"/>
      <c r="AC57" s="571"/>
      <c r="AD57" s="572"/>
      <c r="AE57" s="218"/>
    </row>
    <row r="58" spans="1:38">
      <c r="M58" s="353"/>
      <c r="N58" s="353"/>
      <c r="O58" s="353"/>
    </row>
    <row r="59" spans="1:38">
      <c r="M59" s="353"/>
      <c r="N59" s="353"/>
      <c r="O59" s="353"/>
    </row>
    <row r="61" spans="1:38">
      <c r="A61" s="29"/>
      <c r="B61" s="127"/>
      <c r="C61" s="31"/>
      <c r="D61" s="32"/>
    </row>
    <row r="62" spans="1:38">
      <c r="A62" s="33"/>
      <c r="B62" s="128"/>
      <c r="C62" s="35"/>
      <c r="D62" s="36"/>
    </row>
    <row r="63" spans="1:38">
      <c r="A63" s="33"/>
      <c r="B63" s="128"/>
      <c r="C63" s="35"/>
      <c r="D63" s="36"/>
    </row>
    <row r="64" spans="1:38">
      <c r="A64" s="33"/>
      <c r="B64" s="128"/>
      <c r="C64" s="35"/>
    </row>
    <row r="65" spans="1:6">
      <c r="B65" s="128"/>
    </row>
    <row r="66" spans="1:6">
      <c r="B66" s="128"/>
    </row>
    <row r="67" spans="1:6">
      <c r="B67" s="128"/>
    </row>
    <row r="68" spans="1:6">
      <c r="B68" s="128"/>
    </row>
    <row r="69" spans="1:6">
      <c r="B69" s="128"/>
    </row>
    <row r="70" spans="1:6">
      <c r="B70" s="128"/>
    </row>
    <row r="71" spans="1:6">
      <c r="A71" s="33"/>
      <c r="C71" s="128"/>
    </row>
    <row r="72" spans="1:6">
      <c r="A72" s="33"/>
      <c r="C72" s="128"/>
    </row>
    <row r="73" spans="1:6">
      <c r="A73" s="29"/>
      <c r="B73" s="128"/>
      <c r="C73" s="128"/>
    </row>
    <row r="74" spans="1:6">
      <c r="A74" s="33"/>
      <c r="B74" s="128"/>
      <c r="C74" s="128"/>
      <c r="F74" s="37"/>
    </row>
    <row r="75" spans="1:6">
      <c r="A75" s="33"/>
    </row>
    <row r="76" spans="1:6">
      <c r="B76" s="128"/>
      <c r="C76" s="128"/>
    </row>
    <row r="77" spans="1:6">
      <c r="A77" s="33"/>
    </row>
    <row r="78" spans="1:6">
      <c r="A78" s="33"/>
    </row>
    <row r="79" spans="1:6">
      <c r="A79" s="33"/>
    </row>
    <row r="80" spans="1:6">
      <c r="A80" s="33"/>
    </row>
    <row r="81" spans="1:2">
      <c r="A81" s="33"/>
    </row>
    <row r="82" spans="1:2">
      <c r="A82" s="33"/>
      <c r="B82" s="128"/>
    </row>
    <row r="83" spans="1:2">
      <c r="A83" s="33"/>
      <c r="B83" s="128"/>
    </row>
    <row r="84" spans="1:2">
      <c r="A84" s="33"/>
      <c r="B84" s="128"/>
    </row>
    <row r="85" spans="1:2">
      <c r="A85" s="33"/>
      <c r="B85" s="128"/>
    </row>
    <row r="86" spans="1:2">
      <c r="A86" s="33"/>
      <c r="B86" s="128"/>
    </row>
    <row r="87" spans="1:2">
      <c r="A87" s="33"/>
      <c r="B87" s="128"/>
    </row>
    <row r="88" spans="1:2">
      <c r="A88" s="33"/>
      <c r="B88" s="128"/>
    </row>
    <row r="89" spans="1:2">
      <c r="A89" s="33"/>
      <c r="B89" s="128"/>
    </row>
    <row r="90" spans="1:2">
      <c r="A90" s="33"/>
      <c r="B90" s="128"/>
    </row>
    <row r="91" spans="1:2">
      <c r="A91" s="33"/>
      <c r="B91" s="128"/>
    </row>
    <row r="92" spans="1:2">
      <c r="A92" s="33"/>
      <c r="B92" s="128"/>
    </row>
  </sheetData>
  <autoFilter ref="A16:AL48"/>
  <mergeCells count="16">
    <mergeCell ref="B1:AD1"/>
    <mergeCell ref="B2:AD2"/>
    <mergeCell ref="B3:AD3"/>
    <mergeCell ref="A1:A3"/>
    <mergeCell ref="B10:D10"/>
    <mergeCell ref="B11:G11"/>
    <mergeCell ref="A5:G5"/>
    <mergeCell ref="A6:G6"/>
    <mergeCell ref="A7:G7"/>
    <mergeCell ref="A8:G8"/>
    <mergeCell ref="A9:G9"/>
    <mergeCell ref="C55:E55"/>
    <mergeCell ref="C56:E56"/>
    <mergeCell ref="F55:G55"/>
    <mergeCell ref="F56:G56"/>
    <mergeCell ref="B12:G12"/>
  </mergeCells>
  <conditionalFormatting sqref="AE37 AD49:AE1048576 AD4:AE36 AE46:AE48 AD46:AD47 AD38:AE45">
    <cfRule type="cellIs" dxfId="187" priority="2" operator="lessThan">
      <formula>0</formula>
    </cfRule>
    <cfRule type="cellIs" dxfId="186" priority="6" operator="lessThan">
      <formula>0</formula>
    </cfRule>
  </conditionalFormatting>
  <conditionalFormatting sqref="AK1:AK36 AK38:AK1048576">
    <cfRule type="cellIs" dxfId="185" priority="1" operator="lessThan">
      <formula>0</formula>
    </cfRule>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3" max="16383" man="1"/>
  </rowBreaks>
  <ignoredErrors>
    <ignoredError sqref="AD4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M361"/>
  <sheetViews>
    <sheetView zoomScale="86" zoomScaleNormal="86" workbookViewId="0">
      <selection sqref="A1:A3"/>
    </sheetView>
  </sheetViews>
  <sheetFormatPr baseColWidth="10" defaultRowHeight="14.25"/>
  <cols>
    <col min="1" max="1" width="26.85546875" customWidth="1"/>
    <col min="2" max="2" width="21.42578125" style="27" customWidth="1"/>
    <col min="3" max="3" width="28.140625" customWidth="1"/>
    <col min="4" max="8" width="24.140625" customWidth="1"/>
    <col min="9" max="9" width="7.140625" style="936" customWidth="1"/>
    <col min="10" max="10" width="7.85546875" style="70" customWidth="1"/>
    <col min="11" max="11" width="14.5703125" style="164" customWidth="1"/>
    <col min="12" max="12" width="13.85546875" style="1046" customWidth="1"/>
    <col min="13" max="13" width="18.85546875" style="350" customWidth="1"/>
    <col min="14" max="14" width="16.7109375" style="1046" customWidth="1"/>
    <col min="15" max="15" width="17.7109375" style="1064" customWidth="1"/>
    <col min="16" max="16" width="9.42578125" style="786" customWidth="1"/>
    <col min="17" max="17" width="13.5703125" style="165" customWidth="1"/>
    <col min="18" max="18" width="15.85546875" style="165" customWidth="1"/>
    <col min="19" max="20" width="13.85546875" style="165" customWidth="1"/>
    <col min="21" max="21" width="14.28515625" style="165" customWidth="1"/>
    <col min="22" max="22" width="13.140625" style="165" customWidth="1"/>
    <col min="23" max="23" width="12.42578125" style="165" customWidth="1"/>
    <col min="24" max="24" width="14.5703125" style="165" customWidth="1"/>
    <col min="25" max="25" width="20.140625" style="165" customWidth="1"/>
    <col min="26" max="26" width="15.85546875" style="165" customWidth="1"/>
    <col min="27" max="27" width="19.28515625" style="165" customWidth="1"/>
    <col min="28" max="28" width="18.5703125" style="1064" customWidth="1"/>
    <col min="29" max="29" width="18" style="353" customWidth="1"/>
    <col min="30" max="30" width="16.42578125" style="530" customWidth="1"/>
    <col min="31" max="31" width="9" style="1440" customWidth="1"/>
    <col min="32" max="32" width="11" style="70" hidden="1" customWidth="1"/>
    <col min="33" max="33" width="11.42578125" hidden="1" customWidth="1"/>
    <col min="34" max="34" width="13.42578125" hidden="1" customWidth="1"/>
    <col min="35" max="35" width="6.5703125" style="505" hidden="1" customWidth="1"/>
    <col min="36" max="36" width="17.28515625" style="312" hidden="1" customWidth="1"/>
    <col min="37" max="37" width="16.42578125" hidden="1" customWidth="1"/>
    <col min="38" max="38" width="15.140625" style="917" hidden="1" customWidth="1"/>
    <col min="39" max="39" width="15.140625" hidden="1" customWidth="1"/>
    <col min="40" max="40" width="0" hidden="1" customWidth="1"/>
  </cols>
  <sheetData>
    <row r="1" spans="1:37" ht="42.75" customHeight="1">
      <c r="A1" s="2205"/>
      <c r="B1" s="2223" t="s">
        <v>619</v>
      </c>
      <c r="C1" s="2223"/>
      <c r="D1" s="2223"/>
      <c r="E1" s="2223"/>
      <c r="F1" s="2223"/>
      <c r="G1" s="2223"/>
      <c r="H1" s="2223"/>
      <c r="I1" s="2223"/>
      <c r="J1" s="2223"/>
      <c r="K1" s="2223"/>
      <c r="L1" s="2223"/>
      <c r="M1" s="2223"/>
      <c r="N1" s="2223"/>
      <c r="O1" s="2223"/>
      <c r="P1" s="2223"/>
      <c r="Q1" s="2223"/>
      <c r="R1" s="2223"/>
      <c r="S1" s="2223"/>
      <c r="T1" s="2223"/>
      <c r="U1" s="2223"/>
      <c r="V1" s="2223"/>
      <c r="W1" s="2223"/>
      <c r="X1" s="2223"/>
      <c r="Y1" s="2223"/>
      <c r="Z1" s="2223"/>
      <c r="AA1" s="2223"/>
      <c r="AB1" s="2223"/>
      <c r="AC1" s="2223"/>
      <c r="AD1" s="2224"/>
      <c r="AE1" s="1418"/>
      <c r="AF1" s="300"/>
    </row>
    <row r="2" spans="1:37" ht="42.75" customHeight="1">
      <c r="A2" s="2206"/>
      <c r="B2" s="2225" t="s">
        <v>1161</v>
      </c>
      <c r="C2" s="2225"/>
      <c r="D2" s="2225"/>
      <c r="E2" s="2225"/>
      <c r="F2" s="2225"/>
      <c r="G2" s="2225"/>
      <c r="H2" s="2225"/>
      <c r="I2" s="2225"/>
      <c r="J2" s="2225"/>
      <c r="K2" s="2225"/>
      <c r="L2" s="2225"/>
      <c r="M2" s="2225"/>
      <c r="N2" s="2225"/>
      <c r="O2" s="2225"/>
      <c r="P2" s="2225"/>
      <c r="Q2" s="2225"/>
      <c r="R2" s="2225"/>
      <c r="S2" s="2225"/>
      <c r="T2" s="2225"/>
      <c r="U2" s="2225"/>
      <c r="V2" s="2225"/>
      <c r="W2" s="2225"/>
      <c r="X2" s="2225"/>
      <c r="Y2" s="2225"/>
      <c r="Z2" s="2225"/>
      <c r="AA2" s="2225"/>
      <c r="AB2" s="2225"/>
      <c r="AC2" s="2225"/>
      <c r="AD2" s="2226"/>
      <c r="AE2" s="1418"/>
      <c r="AF2" s="300"/>
    </row>
    <row r="3" spans="1:37" ht="42.75" customHeight="1" thickBot="1">
      <c r="A3" s="2207"/>
      <c r="B3" s="2225" t="s">
        <v>1146</v>
      </c>
      <c r="C3" s="2225"/>
      <c r="D3" s="2225"/>
      <c r="E3" s="2225"/>
      <c r="F3" s="2225"/>
      <c r="G3" s="2225"/>
      <c r="H3" s="2225"/>
      <c r="I3" s="2225"/>
      <c r="J3" s="2225"/>
      <c r="K3" s="2225"/>
      <c r="L3" s="2225"/>
      <c r="M3" s="2225"/>
      <c r="N3" s="2225"/>
      <c r="O3" s="2225"/>
      <c r="P3" s="2225"/>
      <c r="Q3" s="2225"/>
      <c r="R3" s="2225"/>
      <c r="S3" s="2225"/>
      <c r="T3" s="2225"/>
      <c r="U3" s="2225"/>
      <c r="V3" s="2225"/>
      <c r="W3" s="2225"/>
      <c r="X3" s="2225"/>
      <c r="Y3" s="2225"/>
      <c r="Z3" s="2225"/>
      <c r="AA3" s="2225"/>
      <c r="AB3" s="2225"/>
      <c r="AC3" s="2225"/>
      <c r="AD3" s="2226"/>
      <c r="AE3" s="1418"/>
      <c r="AF3" s="471"/>
    </row>
    <row r="4" spans="1:37" ht="13.5" customHeight="1">
      <c r="A4" s="2208" t="s">
        <v>0</v>
      </c>
      <c r="B4" s="2209"/>
      <c r="C4" s="2209"/>
      <c r="D4" s="2209"/>
      <c r="E4" s="2209"/>
      <c r="F4" s="2209"/>
      <c r="G4" s="2209"/>
      <c r="H4" s="2040"/>
      <c r="I4" s="937"/>
      <c r="J4" s="38"/>
      <c r="K4" s="472"/>
      <c r="L4" s="1577"/>
      <c r="M4" s="1556"/>
      <c r="N4" s="1600"/>
      <c r="O4" s="2210"/>
      <c r="P4" s="2211"/>
      <c r="Q4" s="2211"/>
      <c r="R4" s="2211"/>
      <c r="S4" s="2211"/>
      <c r="T4" s="2211"/>
      <c r="U4" s="2211"/>
      <c r="V4" s="2211"/>
      <c r="W4" s="2211"/>
      <c r="X4" s="2211"/>
      <c r="Y4" s="2211"/>
      <c r="Z4" s="2211"/>
      <c r="AA4" s="2211"/>
      <c r="AB4" s="2211"/>
      <c r="AC4" s="2211"/>
      <c r="AD4" s="2212"/>
      <c r="AE4" s="1431"/>
      <c r="AF4" s="1431"/>
    </row>
    <row r="5" spans="1:37" ht="13.5" customHeight="1">
      <c r="A5" s="2219" t="s">
        <v>410</v>
      </c>
      <c r="B5" s="2220"/>
      <c r="C5" s="2220"/>
      <c r="D5" s="2220"/>
      <c r="E5" s="2220"/>
      <c r="F5" s="2220"/>
      <c r="G5" s="2220"/>
      <c r="H5" s="2041"/>
      <c r="I5" s="937"/>
      <c r="J5" s="38"/>
      <c r="K5" s="472"/>
      <c r="L5" s="1577"/>
      <c r="M5" s="1556"/>
      <c r="N5" s="1577"/>
      <c r="O5" s="2213"/>
      <c r="P5" s="2214"/>
      <c r="Q5" s="2214"/>
      <c r="R5" s="2214"/>
      <c r="S5" s="2214"/>
      <c r="T5" s="2214"/>
      <c r="U5" s="2214"/>
      <c r="V5" s="2214"/>
      <c r="W5" s="2214"/>
      <c r="X5" s="2214"/>
      <c r="Y5" s="2214"/>
      <c r="Z5" s="2214"/>
      <c r="AA5" s="2214"/>
      <c r="AB5" s="2214"/>
      <c r="AC5" s="2214"/>
      <c r="AD5" s="2215"/>
      <c r="AE5" s="1431"/>
      <c r="AF5" s="1431"/>
    </row>
    <row r="6" spans="1:37" ht="13.5" customHeight="1">
      <c r="A6" s="2219" t="s">
        <v>142</v>
      </c>
      <c r="B6" s="2220"/>
      <c r="C6" s="2220"/>
      <c r="D6" s="2220"/>
      <c r="E6" s="2220"/>
      <c r="F6" s="2220"/>
      <c r="G6" s="2220"/>
      <c r="H6" s="2041"/>
      <c r="I6" s="937"/>
      <c r="J6" s="38"/>
      <c r="K6" s="472"/>
      <c r="L6" s="1577"/>
      <c r="M6" s="1556"/>
      <c r="N6" s="1577"/>
      <c r="O6" s="2213"/>
      <c r="P6" s="2214"/>
      <c r="Q6" s="2214"/>
      <c r="R6" s="2214"/>
      <c r="S6" s="2214"/>
      <c r="T6" s="2214"/>
      <c r="U6" s="2214"/>
      <c r="V6" s="2214"/>
      <c r="W6" s="2214"/>
      <c r="X6" s="2214"/>
      <c r="Y6" s="2214"/>
      <c r="Z6" s="2214"/>
      <c r="AA6" s="2214"/>
      <c r="AB6" s="2214"/>
      <c r="AC6" s="2214"/>
      <c r="AD6" s="2215"/>
      <c r="AE6" s="1431"/>
      <c r="AF6" s="1431"/>
    </row>
    <row r="7" spans="1:37" ht="13.5" customHeight="1">
      <c r="A7" s="2219" t="s">
        <v>141</v>
      </c>
      <c r="B7" s="2220"/>
      <c r="C7" s="2220"/>
      <c r="D7" s="2220"/>
      <c r="E7" s="2220"/>
      <c r="F7" s="2220"/>
      <c r="G7" s="2220"/>
      <c r="H7" s="2041"/>
      <c r="I7" s="937"/>
      <c r="J7" s="38"/>
      <c r="K7" s="472"/>
      <c r="L7" s="1577"/>
      <c r="M7" s="1556"/>
      <c r="N7" s="1577"/>
      <c r="O7" s="2213"/>
      <c r="P7" s="2214"/>
      <c r="Q7" s="2214"/>
      <c r="R7" s="2214"/>
      <c r="S7" s="2214"/>
      <c r="T7" s="2214"/>
      <c r="U7" s="2214"/>
      <c r="V7" s="2214"/>
      <c r="W7" s="2214"/>
      <c r="X7" s="2214"/>
      <c r="Y7" s="2214"/>
      <c r="Z7" s="2214"/>
      <c r="AA7" s="2214"/>
      <c r="AB7" s="2214"/>
      <c r="AC7" s="2214"/>
      <c r="AD7" s="2215"/>
      <c r="AE7" s="1431"/>
      <c r="AF7" s="1431"/>
    </row>
    <row r="8" spans="1:37" ht="13.5" customHeight="1">
      <c r="A8" s="2219" t="s">
        <v>140</v>
      </c>
      <c r="B8" s="2220"/>
      <c r="C8" s="2220"/>
      <c r="D8" s="2220"/>
      <c r="E8" s="2220"/>
      <c r="F8" s="2220"/>
      <c r="G8" s="2220"/>
      <c r="H8" s="2041"/>
      <c r="I8" s="937"/>
      <c r="J8" s="38"/>
      <c r="K8" s="472"/>
      <c r="L8" s="1577"/>
      <c r="M8" s="1556"/>
      <c r="N8" s="1577"/>
      <c r="O8" s="2213"/>
      <c r="P8" s="2214"/>
      <c r="Q8" s="2214"/>
      <c r="R8" s="2214"/>
      <c r="S8" s="2214"/>
      <c r="T8" s="2214"/>
      <c r="U8" s="2214"/>
      <c r="V8" s="2214"/>
      <c r="W8" s="2214"/>
      <c r="X8" s="2214"/>
      <c r="Y8" s="2214"/>
      <c r="Z8" s="2214"/>
      <c r="AA8" s="2214"/>
      <c r="AB8" s="2214"/>
      <c r="AC8" s="2214"/>
      <c r="AD8" s="2215"/>
      <c r="AE8" s="1431"/>
      <c r="AF8" s="1431"/>
    </row>
    <row r="9" spans="1:37" ht="13.5" customHeight="1">
      <c r="A9" s="2221" t="s">
        <v>32</v>
      </c>
      <c r="B9" s="2222"/>
      <c r="C9" s="2222"/>
      <c r="D9" s="2222"/>
      <c r="E9" s="2222"/>
      <c r="F9" s="2222"/>
      <c r="G9" s="2222"/>
      <c r="H9" s="2042"/>
      <c r="I9" s="937"/>
      <c r="J9" s="38"/>
      <c r="K9" s="472"/>
      <c r="L9" s="1577"/>
      <c r="M9" s="1556"/>
      <c r="N9" s="1577"/>
      <c r="O9" s="2213"/>
      <c r="P9" s="2214"/>
      <c r="Q9" s="2214"/>
      <c r="R9" s="2214"/>
      <c r="S9" s="2214"/>
      <c r="T9" s="2214"/>
      <c r="U9" s="2214"/>
      <c r="V9" s="2214"/>
      <c r="W9" s="2214"/>
      <c r="X9" s="2214"/>
      <c r="Y9" s="2214"/>
      <c r="Z9" s="2214"/>
      <c r="AA9" s="2214"/>
      <c r="AB9" s="2214"/>
      <c r="AC9" s="2214"/>
      <c r="AD9" s="2215"/>
      <c r="AE9" s="1431"/>
      <c r="AF9" s="1431"/>
    </row>
    <row r="10" spans="1:37">
      <c r="A10" s="796" t="s">
        <v>2</v>
      </c>
      <c r="B10" s="2220" t="s">
        <v>3</v>
      </c>
      <c r="C10" s="2220"/>
      <c r="D10" s="2220"/>
      <c r="E10" s="288"/>
      <c r="F10" s="288"/>
      <c r="G10" s="288"/>
      <c r="H10" s="288"/>
      <c r="I10" s="199"/>
      <c r="J10" s="40"/>
      <c r="K10" s="794"/>
      <c r="L10" s="1578"/>
      <c r="M10" s="1557"/>
      <c r="N10" s="1578"/>
      <c r="O10" s="2213"/>
      <c r="P10" s="2214"/>
      <c r="Q10" s="2214"/>
      <c r="R10" s="2214"/>
      <c r="S10" s="2214"/>
      <c r="T10" s="2214"/>
      <c r="U10" s="2214"/>
      <c r="V10" s="2214"/>
      <c r="W10" s="2214"/>
      <c r="X10" s="2214"/>
      <c r="Y10" s="2214"/>
      <c r="Z10" s="2214"/>
      <c r="AA10" s="2214"/>
      <c r="AB10" s="2214"/>
      <c r="AC10" s="2214"/>
      <c r="AD10" s="2215"/>
      <c r="AE10" s="1431"/>
      <c r="AF10" s="1431"/>
    </row>
    <row r="11" spans="1:37">
      <c r="A11" s="796" t="s">
        <v>4</v>
      </c>
      <c r="B11" s="2220" t="s">
        <v>33</v>
      </c>
      <c r="C11" s="2220"/>
      <c r="D11" s="2220"/>
      <c r="E11" s="2220"/>
      <c r="F11" s="2220"/>
      <c r="G11" s="2220"/>
      <c r="H11" s="2041"/>
      <c r="I11" s="199"/>
      <c r="J11" s="40"/>
      <c r="K11" s="794"/>
      <c r="L11" s="1578"/>
      <c r="M11" s="1557"/>
      <c r="N11" s="1578"/>
      <c r="O11" s="2213"/>
      <c r="P11" s="2214"/>
      <c r="Q11" s="2214"/>
      <c r="R11" s="2214"/>
      <c r="S11" s="2214"/>
      <c r="T11" s="2214"/>
      <c r="U11" s="2214"/>
      <c r="V11" s="2214"/>
      <c r="W11" s="2214"/>
      <c r="X11" s="2214"/>
      <c r="Y11" s="2214"/>
      <c r="Z11" s="2214"/>
      <c r="AA11" s="2214"/>
      <c r="AB11" s="2214"/>
      <c r="AC11" s="2214"/>
      <c r="AD11" s="2215"/>
      <c r="AE11" s="1431"/>
      <c r="AF11" s="1431"/>
    </row>
    <row r="12" spans="1:37">
      <c r="A12" s="720" t="s">
        <v>6</v>
      </c>
      <c r="B12" s="2220" t="s">
        <v>34</v>
      </c>
      <c r="C12" s="2220"/>
      <c r="D12" s="2220"/>
      <c r="E12" s="2220"/>
      <c r="F12" s="2220"/>
      <c r="G12" s="2220"/>
      <c r="H12" s="2041"/>
      <c r="I12" s="199"/>
      <c r="J12" s="40"/>
      <c r="K12" s="794"/>
      <c r="L12" s="1578"/>
      <c r="M12" s="1557"/>
      <c r="N12" s="1578"/>
      <c r="O12" s="2213"/>
      <c r="P12" s="2214"/>
      <c r="Q12" s="2214"/>
      <c r="R12" s="2214"/>
      <c r="S12" s="2214"/>
      <c r="T12" s="2214"/>
      <c r="U12" s="2214"/>
      <c r="V12" s="2214"/>
      <c r="W12" s="2214"/>
      <c r="X12" s="2214"/>
      <c r="Y12" s="2214"/>
      <c r="Z12" s="2214"/>
      <c r="AA12" s="2214"/>
      <c r="AB12" s="2214"/>
      <c r="AC12" s="2214"/>
      <c r="AD12" s="2215"/>
      <c r="AE12" s="1431"/>
      <c r="AF12" s="1431"/>
    </row>
    <row r="13" spans="1:37">
      <c r="A13" s="42" t="s">
        <v>8</v>
      </c>
      <c r="B13" s="298">
        <v>43818</v>
      </c>
      <c r="C13" s="43"/>
      <c r="D13" s="43"/>
      <c r="E13" s="43"/>
      <c r="F13" s="43"/>
      <c r="G13" s="43"/>
      <c r="H13" s="43"/>
      <c r="I13" s="199"/>
      <c r="J13" s="40"/>
      <c r="K13" s="794"/>
      <c r="L13" s="1578"/>
      <c r="M13" s="1557"/>
      <c r="N13" s="1578"/>
      <c r="O13" s="2213"/>
      <c r="P13" s="2214"/>
      <c r="Q13" s="2214"/>
      <c r="R13" s="2214"/>
      <c r="S13" s="2214"/>
      <c r="T13" s="2214"/>
      <c r="U13" s="2214"/>
      <c r="V13" s="2214"/>
      <c r="W13" s="2214"/>
      <c r="X13" s="2214"/>
      <c r="Y13" s="2214"/>
      <c r="Z13" s="2214"/>
      <c r="AA13" s="2214"/>
      <c r="AB13" s="2214"/>
      <c r="AC13" s="2214"/>
      <c r="AD13" s="2215"/>
      <c r="AE13" s="1431"/>
      <c r="AF13" s="1431"/>
    </row>
    <row r="14" spans="1:37">
      <c r="A14" s="44" t="s">
        <v>9</v>
      </c>
      <c r="B14" s="1342">
        <f>D15-E15</f>
        <v>-38000000</v>
      </c>
      <c r="C14" s="1345" t="s">
        <v>135</v>
      </c>
      <c r="D14" s="1345" t="s">
        <v>990</v>
      </c>
      <c r="E14" s="1345" t="s">
        <v>991</v>
      </c>
      <c r="F14" s="1343"/>
      <c r="G14" s="307"/>
      <c r="H14" s="2053"/>
      <c r="I14" s="200"/>
      <c r="J14" s="45"/>
      <c r="K14" s="795"/>
      <c r="L14" s="1579"/>
      <c r="M14" s="1558"/>
      <c r="N14" s="1579"/>
      <c r="O14" s="2216"/>
      <c r="P14" s="2217"/>
      <c r="Q14" s="2217"/>
      <c r="R14" s="2217"/>
      <c r="S14" s="2217"/>
      <c r="T14" s="2217"/>
      <c r="U14" s="2217"/>
      <c r="V14" s="2217"/>
      <c r="W14" s="2217"/>
      <c r="X14" s="2217"/>
      <c r="Y14" s="2217"/>
      <c r="Z14" s="2217"/>
      <c r="AA14" s="2217"/>
      <c r="AB14" s="2217"/>
      <c r="AC14" s="2217"/>
      <c r="AD14" s="2218"/>
      <c r="AE14" s="1431"/>
      <c r="AF14" s="1431"/>
    </row>
    <row r="15" spans="1:37" ht="15" thickBot="1">
      <c r="A15" s="713" t="s">
        <v>120</v>
      </c>
      <c r="B15" s="179">
        <f>C15+B14</f>
        <v>6938000000</v>
      </c>
      <c r="C15" s="1346">
        <v>6976000000</v>
      </c>
      <c r="D15" s="309">
        <v>0</v>
      </c>
      <c r="E15" s="1346">
        <f>38000000</f>
        <v>38000000</v>
      </c>
      <c r="F15" s="714"/>
      <c r="G15" s="715"/>
      <c r="H15" s="714"/>
      <c r="I15" s="928"/>
      <c r="J15" s="189"/>
      <c r="K15" s="473"/>
      <c r="L15" s="1580"/>
      <c r="M15" s="1559"/>
      <c r="N15" s="1601"/>
      <c r="O15" s="1602"/>
      <c r="P15" s="1990"/>
      <c r="Q15" s="258"/>
      <c r="R15" s="258"/>
      <c r="S15" s="258"/>
      <c r="T15" s="258"/>
      <c r="U15" s="258"/>
      <c r="V15" s="258"/>
      <c r="W15" s="258"/>
      <c r="X15" s="258"/>
      <c r="Y15" s="258"/>
      <c r="Z15" s="258"/>
      <c r="AA15" s="258"/>
      <c r="AB15" s="1990"/>
      <c r="AC15" s="352"/>
      <c r="AD15" s="721"/>
      <c r="AE15" s="1432"/>
      <c r="AF15" s="1431"/>
    </row>
    <row r="16" spans="1:37" ht="42.75" customHeight="1">
      <c r="A16" s="551" t="s">
        <v>11</v>
      </c>
      <c r="B16" s="719" t="s">
        <v>12</v>
      </c>
      <c r="C16" s="1344" t="s">
        <v>13</v>
      </c>
      <c r="D16" s="1344" t="s">
        <v>14</v>
      </c>
      <c r="E16" s="1344" t="s">
        <v>15</v>
      </c>
      <c r="F16" s="3" t="s">
        <v>409</v>
      </c>
      <c r="G16" s="2058" t="s">
        <v>16</v>
      </c>
      <c r="H16" s="2057" t="s">
        <v>1637</v>
      </c>
      <c r="I16" s="938" t="s">
        <v>500</v>
      </c>
      <c r="J16" s="710" t="s">
        <v>94</v>
      </c>
      <c r="K16" s="705" t="s">
        <v>129</v>
      </c>
      <c r="L16" s="711" t="s">
        <v>95</v>
      </c>
      <c r="M16" s="705" t="s">
        <v>17</v>
      </c>
      <c r="N16" s="711" t="s">
        <v>96</v>
      </c>
      <c r="O16" s="705" t="s">
        <v>115</v>
      </c>
      <c r="P16" s="712" t="s">
        <v>97</v>
      </c>
      <c r="Q16" s="706" t="s">
        <v>98</v>
      </c>
      <c r="R16" s="707" t="s">
        <v>99</v>
      </c>
      <c r="S16" s="707" t="s">
        <v>100</v>
      </c>
      <c r="T16" s="707" t="s">
        <v>101</v>
      </c>
      <c r="U16" s="707" t="s">
        <v>102</v>
      </c>
      <c r="V16" s="707" t="s">
        <v>103</v>
      </c>
      <c r="W16" s="707" t="s">
        <v>104</v>
      </c>
      <c r="X16" s="707" t="s">
        <v>105</v>
      </c>
      <c r="Y16" s="707" t="s">
        <v>106</v>
      </c>
      <c r="Z16" s="707" t="s">
        <v>107</v>
      </c>
      <c r="AA16" s="707" t="s">
        <v>108</v>
      </c>
      <c r="AB16" s="705" t="s">
        <v>109</v>
      </c>
      <c r="AC16" s="708" t="s">
        <v>110</v>
      </c>
      <c r="AD16" s="709" t="s">
        <v>111</v>
      </c>
      <c r="AE16" s="1433"/>
      <c r="AF16" s="859" t="s">
        <v>137</v>
      </c>
      <c r="AG16" s="861" t="s">
        <v>113</v>
      </c>
      <c r="AH16" s="861" t="s">
        <v>114</v>
      </c>
      <c r="AI16" s="1031" t="s">
        <v>118</v>
      </c>
      <c r="AJ16" s="862" t="s">
        <v>121</v>
      </c>
      <c r="AK16" s="863" t="s">
        <v>128</v>
      </c>
    </row>
    <row r="17" spans="1:39" s="6" customFormat="1" ht="26.25" customHeight="1">
      <c r="A17" s="716" t="s">
        <v>35</v>
      </c>
      <c r="B17" s="717">
        <f>B18+B130+B135+B139</f>
        <v>3540406532</v>
      </c>
      <c r="C17" s="718"/>
      <c r="D17" s="718"/>
      <c r="E17" s="718"/>
      <c r="F17" s="718"/>
      <c r="G17" s="718"/>
      <c r="H17" s="2054"/>
      <c r="I17" s="939"/>
      <c r="J17" s="604"/>
      <c r="K17" s="474"/>
      <c r="L17" s="1581"/>
      <c r="M17" s="1560"/>
      <c r="N17" s="1581"/>
      <c r="O17" s="1603"/>
      <c r="P17" s="1991"/>
      <c r="Q17" s="417"/>
      <c r="R17" s="418"/>
      <c r="S17" s="418"/>
      <c r="T17" s="418"/>
      <c r="U17" s="418"/>
      <c r="V17" s="418"/>
      <c r="W17" s="418"/>
      <c r="X17" s="418"/>
      <c r="Y17" s="418"/>
      <c r="Z17" s="418"/>
      <c r="AA17" s="418"/>
      <c r="AB17" s="2011"/>
      <c r="AC17" s="693"/>
      <c r="AD17" s="722"/>
      <c r="AE17" s="1434"/>
      <c r="AF17" s="884"/>
      <c r="AG17" s="419"/>
      <c r="AH17" s="419"/>
      <c r="AI17" s="1032"/>
      <c r="AJ17" s="327"/>
      <c r="AK17" s="885"/>
      <c r="AL17" s="918"/>
    </row>
    <row r="18" spans="1:39" s="8" customFormat="1" ht="27.75" customHeight="1">
      <c r="A18" s="594" t="s">
        <v>35</v>
      </c>
      <c r="B18" s="171">
        <f>3385046443-20680000-88000000-150000000+48842385-38000000-35602296-4200000</f>
        <v>3097406532</v>
      </c>
      <c r="C18" s="1248" t="s">
        <v>36</v>
      </c>
      <c r="D18" s="1249" t="s">
        <v>827</v>
      </c>
      <c r="E18" s="1249" t="s">
        <v>37</v>
      </c>
      <c r="F18" s="1249" t="s">
        <v>1648</v>
      </c>
      <c r="G18" s="1249" t="s">
        <v>38</v>
      </c>
      <c r="H18" s="2056" t="s">
        <v>1638</v>
      </c>
      <c r="I18" s="2096"/>
      <c r="J18" s="2095">
        <v>0</v>
      </c>
      <c r="K18" s="423"/>
      <c r="L18" s="1582"/>
      <c r="M18" s="1561"/>
      <c r="N18" s="1582"/>
      <c r="O18" s="1561"/>
      <c r="P18" s="1992"/>
      <c r="Q18" s="576"/>
      <c r="R18" s="576"/>
      <c r="S18" s="576"/>
      <c r="T18" s="576"/>
      <c r="U18" s="576"/>
      <c r="V18" s="420"/>
      <c r="W18" s="420"/>
      <c r="X18" s="420"/>
      <c r="Y18" s="420"/>
      <c r="Z18" s="420"/>
      <c r="AA18" s="420"/>
      <c r="AB18" s="1606"/>
      <c r="AC18" s="694"/>
      <c r="AD18" s="723"/>
      <c r="AE18" s="1428"/>
      <c r="AF18" s="886"/>
      <c r="AG18" s="363"/>
      <c r="AH18" s="363"/>
      <c r="AI18" s="453"/>
      <c r="AJ18" s="421"/>
      <c r="AK18" s="692"/>
      <c r="AL18" s="918"/>
    </row>
    <row r="19" spans="1:39" s="8" customFormat="1">
      <c r="A19" s="82" t="s">
        <v>35</v>
      </c>
      <c r="B19" s="161">
        <f>M19</f>
        <v>14520000</v>
      </c>
      <c r="C19" s="78" t="s">
        <v>36</v>
      </c>
      <c r="D19" s="78" t="s">
        <v>827</v>
      </c>
      <c r="E19" s="78" t="s">
        <v>37</v>
      </c>
      <c r="F19" s="78" t="s">
        <v>1648</v>
      </c>
      <c r="G19" s="78" t="s">
        <v>38</v>
      </c>
      <c r="H19" s="2063" t="s">
        <v>1638</v>
      </c>
      <c r="I19" s="2059">
        <v>23</v>
      </c>
      <c r="J19" s="160">
        <v>0</v>
      </c>
      <c r="K19" s="468"/>
      <c r="L19" s="1583">
        <v>169</v>
      </c>
      <c r="M19" s="1508">
        <v>14520000</v>
      </c>
      <c r="N19" s="1583">
        <v>173</v>
      </c>
      <c r="O19" s="1604">
        <v>14520000</v>
      </c>
      <c r="P19" s="1993">
        <v>155</v>
      </c>
      <c r="Q19" s="225"/>
      <c r="R19" s="166"/>
      <c r="S19" s="166">
        <v>4840000</v>
      </c>
      <c r="T19" s="166">
        <f>VLOOKUP(N19,[4]Hoja2!N$66:T$128,7,0)</f>
        <v>4840000</v>
      </c>
      <c r="U19" s="166"/>
      <c r="V19" s="166"/>
      <c r="W19" s="166">
        <v>4840000</v>
      </c>
      <c r="X19" s="166"/>
      <c r="Y19" s="166"/>
      <c r="Z19" s="166"/>
      <c r="AA19" s="166"/>
      <c r="AB19" s="1604"/>
      <c r="AC19" s="450">
        <f t="shared" ref="AC19" si="0">SUM(Q19:AB19)</f>
        <v>14520000</v>
      </c>
      <c r="AD19" s="701">
        <f t="shared" ref="AD19" si="1">O19-AC19</f>
        <v>0</v>
      </c>
      <c r="AE19" s="1428"/>
      <c r="AF19" s="887">
        <v>23</v>
      </c>
      <c r="AG19" s="252" t="s">
        <v>292</v>
      </c>
      <c r="AH19" s="268" t="str">
        <f>VLOOKUP(N19,[5]Hoja2!J$141:N$168,5,0)</f>
        <v>ANA MARIA COLLAZOS SOLANO</v>
      </c>
      <c r="AI19" s="498">
        <f t="shared" ref="AI19:AI50" si="2">P19</f>
        <v>155</v>
      </c>
      <c r="AJ19" s="304">
        <v>14520000</v>
      </c>
      <c r="AK19" s="871">
        <f>AJ19-O19</f>
        <v>0</v>
      </c>
      <c r="AL19" s="918"/>
      <c r="AM19" s="302">
        <f t="shared" ref="AM19:AM50" si="3">AJ19-M19</f>
        <v>0</v>
      </c>
    </row>
    <row r="20" spans="1:39" s="8" customFormat="1">
      <c r="A20" s="82" t="s">
        <v>35</v>
      </c>
      <c r="B20" s="161">
        <f t="shared" ref="B20:B74" si="4">M20</f>
        <v>30576619</v>
      </c>
      <c r="C20" s="79" t="s">
        <v>36</v>
      </c>
      <c r="D20" s="79" t="s">
        <v>827</v>
      </c>
      <c r="E20" s="79" t="s">
        <v>37</v>
      </c>
      <c r="F20" s="79" t="s">
        <v>1648</v>
      </c>
      <c r="G20" s="79" t="s">
        <v>38</v>
      </c>
      <c r="H20" s="2064" t="s">
        <v>1638</v>
      </c>
      <c r="I20" s="2059">
        <v>24</v>
      </c>
      <c r="J20" s="160">
        <v>0</v>
      </c>
      <c r="K20" s="468"/>
      <c r="L20" s="1583">
        <v>262</v>
      </c>
      <c r="M20" s="1508">
        <v>30576619</v>
      </c>
      <c r="N20" s="1583">
        <v>271</v>
      </c>
      <c r="O20" s="1508">
        <v>30576619</v>
      </c>
      <c r="P20" s="1993">
        <v>240</v>
      </c>
      <c r="Q20" s="225"/>
      <c r="R20" s="166"/>
      <c r="S20" s="166">
        <v>2090000</v>
      </c>
      <c r="T20" s="166">
        <v>3135000</v>
      </c>
      <c r="U20" s="166">
        <v>3135000</v>
      </c>
      <c r="V20" s="166">
        <v>3135000</v>
      </c>
      <c r="W20" s="166">
        <v>3135000</v>
      </c>
      <c r="X20" s="166">
        <v>2926000</v>
      </c>
      <c r="Y20" s="166">
        <v>3140000</v>
      </c>
      <c r="Z20" s="166">
        <v>3135000</v>
      </c>
      <c r="AA20" s="166">
        <v>3135000</v>
      </c>
      <c r="AB20" s="1604">
        <f>3135000+209000+266619</f>
        <v>3610619</v>
      </c>
      <c r="AC20" s="450">
        <f t="shared" ref="AC20:AC83" si="5">SUM(Q20:AB20)</f>
        <v>30576619</v>
      </c>
      <c r="AD20" s="701">
        <f t="shared" ref="AD20:AD83" si="6">O20-AC20</f>
        <v>0</v>
      </c>
      <c r="AE20" s="1428"/>
      <c r="AF20" s="887">
        <v>24</v>
      </c>
      <c r="AG20" s="252" t="s">
        <v>234</v>
      </c>
      <c r="AH20" s="268" t="s">
        <v>632</v>
      </c>
      <c r="AI20" s="498">
        <f t="shared" si="2"/>
        <v>240</v>
      </c>
      <c r="AJ20" s="304">
        <f>30576619</f>
        <v>30576619</v>
      </c>
      <c r="AK20" s="871">
        <f>AJ20-O20</f>
        <v>0</v>
      </c>
      <c r="AL20" s="918"/>
      <c r="AM20" s="302">
        <f t="shared" si="3"/>
        <v>0</v>
      </c>
    </row>
    <row r="21" spans="1:39" s="8" customFormat="1">
      <c r="A21" s="82" t="s">
        <v>35</v>
      </c>
      <c r="B21" s="161">
        <f t="shared" si="4"/>
        <v>0</v>
      </c>
      <c r="C21" s="79" t="s">
        <v>36</v>
      </c>
      <c r="D21" s="79" t="s">
        <v>827</v>
      </c>
      <c r="E21" s="79" t="s">
        <v>37</v>
      </c>
      <c r="F21" s="79" t="s">
        <v>1648</v>
      </c>
      <c r="G21" s="79" t="s">
        <v>38</v>
      </c>
      <c r="H21" s="2064" t="s">
        <v>1638</v>
      </c>
      <c r="I21" s="225">
        <v>25</v>
      </c>
      <c r="J21" s="160">
        <v>0</v>
      </c>
      <c r="K21" s="468"/>
      <c r="L21" s="1583"/>
      <c r="M21" s="1508"/>
      <c r="N21" s="1583"/>
      <c r="O21" s="1605"/>
      <c r="P21" s="1993"/>
      <c r="Q21" s="449"/>
      <c r="R21" s="449"/>
      <c r="S21" s="166"/>
      <c r="T21" s="166"/>
      <c r="U21" s="166"/>
      <c r="V21" s="166"/>
      <c r="W21" s="166"/>
      <c r="X21" s="166"/>
      <c r="Y21" s="166"/>
      <c r="Z21" s="166"/>
      <c r="AA21" s="166"/>
      <c r="AB21" s="1604"/>
      <c r="AC21" s="450">
        <f t="shared" si="5"/>
        <v>0</v>
      </c>
      <c r="AD21" s="701">
        <f t="shared" si="6"/>
        <v>0</v>
      </c>
      <c r="AE21" s="1428"/>
      <c r="AF21" s="888">
        <v>25</v>
      </c>
      <c r="AG21" s="268" t="s">
        <v>293</v>
      </c>
      <c r="AH21" s="268" t="s">
        <v>173</v>
      </c>
      <c r="AI21" s="498">
        <f t="shared" si="2"/>
        <v>0</v>
      </c>
      <c r="AJ21" s="304">
        <f>17000000-17000000</f>
        <v>0</v>
      </c>
      <c r="AK21" s="871">
        <f>AJ21-O21</f>
        <v>0</v>
      </c>
      <c r="AL21" s="918"/>
      <c r="AM21" s="302">
        <f t="shared" si="3"/>
        <v>0</v>
      </c>
    </row>
    <row r="22" spans="1:39" s="8" customFormat="1">
      <c r="A22" s="82" t="s">
        <v>35</v>
      </c>
      <c r="B22" s="161">
        <f t="shared" si="4"/>
        <v>0</v>
      </c>
      <c r="C22" s="79" t="s">
        <v>36</v>
      </c>
      <c r="D22" s="79" t="s">
        <v>827</v>
      </c>
      <c r="E22" s="79" t="s">
        <v>37</v>
      </c>
      <c r="F22" s="79" t="s">
        <v>1648</v>
      </c>
      <c r="G22" s="79" t="s">
        <v>38</v>
      </c>
      <c r="H22" s="2064" t="s">
        <v>1638</v>
      </c>
      <c r="I22" s="225">
        <v>27</v>
      </c>
      <c r="J22" s="160">
        <v>0</v>
      </c>
      <c r="K22" s="468"/>
      <c r="L22" s="1583"/>
      <c r="M22" s="1508"/>
      <c r="N22" s="1583"/>
      <c r="O22" s="1605"/>
      <c r="P22" s="1993"/>
      <c r="Q22" s="449"/>
      <c r="R22" s="449"/>
      <c r="S22" s="166"/>
      <c r="T22" s="166"/>
      <c r="U22" s="166"/>
      <c r="V22" s="166"/>
      <c r="W22" s="166"/>
      <c r="X22" s="166"/>
      <c r="Y22" s="166"/>
      <c r="Z22" s="166"/>
      <c r="AA22" s="166"/>
      <c r="AB22" s="1604"/>
      <c r="AC22" s="450">
        <f t="shared" si="5"/>
        <v>0</v>
      </c>
      <c r="AD22" s="701">
        <f t="shared" si="6"/>
        <v>0</v>
      </c>
      <c r="AE22" s="1428"/>
      <c r="AF22" s="888">
        <v>27</v>
      </c>
      <c r="AG22" s="268" t="s">
        <v>294</v>
      </c>
      <c r="AH22" s="268" t="s">
        <v>173</v>
      </c>
      <c r="AI22" s="498">
        <f t="shared" si="2"/>
        <v>0</v>
      </c>
      <c r="AJ22" s="304">
        <f>8000000-8000000</f>
        <v>0</v>
      </c>
      <c r="AK22" s="871">
        <f>AJ22-O22</f>
        <v>0</v>
      </c>
      <c r="AL22" s="918"/>
      <c r="AM22" s="302">
        <f t="shared" si="3"/>
        <v>0</v>
      </c>
    </row>
    <row r="23" spans="1:39" s="8" customFormat="1">
      <c r="A23" s="82" t="s">
        <v>35</v>
      </c>
      <c r="B23" s="161">
        <f t="shared" si="4"/>
        <v>18092740</v>
      </c>
      <c r="C23" s="79" t="s">
        <v>36</v>
      </c>
      <c r="D23" s="79" t="s">
        <v>827</v>
      </c>
      <c r="E23" s="79" t="s">
        <v>37</v>
      </c>
      <c r="F23" s="79" t="s">
        <v>1648</v>
      </c>
      <c r="G23" s="79" t="s">
        <v>38</v>
      </c>
      <c r="H23" s="2065" t="s">
        <v>1638</v>
      </c>
      <c r="I23" s="2227">
        <v>28</v>
      </c>
      <c r="J23" s="160">
        <v>0</v>
      </c>
      <c r="K23" s="468"/>
      <c r="L23" s="2184">
        <v>352</v>
      </c>
      <c r="M23" s="2187">
        <f>22740000-4647260</f>
        <v>18092740</v>
      </c>
      <c r="N23" s="1583">
        <v>400</v>
      </c>
      <c r="O23" s="1605">
        <f>2041290</f>
        <v>2041290</v>
      </c>
      <c r="P23" s="1993">
        <v>297</v>
      </c>
      <c r="Q23" s="449"/>
      <c r="R23" s="449"/>
      <c r="S23" s="166"/>
      <c r="T23" s="166">
        <f>VLOOKUP(N23,[4]Hoja2!N$66:T$128,7,0)</f>
        <v>2041290</v>
      </c>
      <c r="U23" s="166"/>
      <c r="V23" s="166"/>
      <c r="W23" s="166"/>
      <c r="X23" s="166"/>
      <c r="Y23" s="166"/>
      <c r="Z23" s="166"/>
      <c r="AA23" s="166"/>
      <c r="AB23" s="1604"/>
      <c r="AC23" s="450">
        <f t="shared" si="5"/>
        <v>2041290</v>
      </c>
      <c r="AD23" s="701">
        <f t="shared" si="6"/>
        <v>0</v>
      </c>
      <c r="AE23" s="1429"/>
      <c r="AF23" s="2229">
        <v>28</v>
      </c>
      <c r="AG23" s="2231" t="s">
        <v>295</v>
      </c>
      <c r="AH23" s="268" t="s">
        <v>801</v>
      </c>
      <c r="AI23" s="498">
        <f t="shared" si="2"/>
        <v>297</v>
      </c>
      <c r="AJ23" s="2196">
        <f>20000000+2740000-4647260</f>
        <v>18092740</v>
      </c>
      <c r="AK23" s="2193">
        <f>AJ23-O23-O24</f>
        <v>0</v>
      </c>
      <c r="AL23" s="918"/>
      <c r="AM23" s="302">
        <f t="shared" si="3"/>
        <v>0</v>
      </c>
    </row>
    <row r="24" spans="1:39" s="8" customFormat="1">
      <c r="A24" s="82" t="s">
        <v>35</v>
      </c>
      <c r="B24" s="161">
        <f t="shared" si="4"/>
        <v>0</v>
      </c>
      <c r="C24" s="79" t="s">
        <v>36</v>
      </c>
      <c r="D24" s="79" t="s">
        <v>827</v>
      </c>
      <c r="E24" s="79" t="s">
        <v>37</v>
      </c>
      <c r="F24" s="79" t="s">
        <v>1648</v>
      </c>
      <c r="G24" s="79" t="s">
        <v>38</v>
      </c>
      <c r="H24" s="2066" t="s">
        <v>1638</v>
      </c>
      <c r="I24" s="2228"/>
      <c r="J24" s="160"/>
      <c r="K24" s="468"/>
      <c r="L24" s="2186"/>
      <c r="M24" s="2189"/>
      <c r="N24" s="1583">
        <v>381</v>
      </c>
      <c r="O24" s="1605">
        <v>16051450</v>
      </c>
      <c r="P24" s="1993">
        <v>298</v>
      </c>
      <c r="Q24" s="449"/>
      <c r="R24" s="449"/>
      <c r="S24" s="166"/>
      <c r="T24" s="166">
        <f>VLOOKUP(N24,[4]Hoja2!N$66:T$128,7,0)</f>
        <v>16051450</v>
      </c>
      <c r="U24" s="166"/>
      <c r="V24" s="166"/>
      <c r="W24" s="166"/>
      <c r="X24" s="166"/>
      <c r="Y24" s="166"/>
      <c r="Z24" s="166"/>
      <c r="AA24" s="166"/>
      <c r="AB24" s="1604"/>
      <c r="AC24" s="450">
        <f t="shared" si="5"/>
        <v>16051450</v>
      </c>
      <c r="AD24" s="701">
        <f t="shared" si="6"/>
        <v>0</v>
      </c>
      <c r="AE24" s="1430"/>
      <c r="AF24" s="2230"/>
      <c r="AG24" s="2232"/>
      <c r="AH24" s="268" t="s">
        <v>810</v>
      </c>
      <c r="AI24" s="498">
        <f t="shared" si="2"/>
        <v>298</v>
      </c>
      <c r="AJ24" s="2198"/>
      <c r="AK24" s="2195"/>
      <c r="AL24" s="918"/>
      <c r="AM24" s="302">
        <f t="shared" si="3"/>
        <v>0</v>
      </c>
    </row>
    <row r="25" spans="1:39" s="8" customFormat="1">
      <c r="A25" s="82" t="s">
        <v>35</v>
      </c>
      <c r="B25" s="161">
        <f t="shared" si="4"/>
        <v>18240000</v>
      </c>
      <c r="C25" s="79" t="s">
        <v>36</v>
      </c>
      <c r="D25" s="79" t="s">
        <v>827</v>
      </c>
      <c r="E25" s="79" t="s">
        <v>37</v>
      </c>
      <c r="F25" s="79" t="s">
        <v>1648</v>
      </c>
      <c r="G25" s="79" t="s">
        <v>38</v>
      </c>
      <c r="H25" s="2064" t="s">
        <v>1638</v>
      </c>
      <c r="I25" s="225">
        <v>29</v>
      </c>
      <c r="J25" s="160">
        <v>0</v>
      </c>
      <c r="K25" s="468"/>
      <c r="L25" s="1583">
        <v>175</v>
      </c>
      <c r="M25" s="1508">
        <v>18240000</v>
      </c>
      <c r="N25" s="1583">
        <v>174</v>
      </c>
      <c r="O25" s="1604">
        <v>18240000</v>
      </c>
      <c r="P25" s="1993">
        <v>157</v>
      </c>
      <c r="Q25" s="449"/>
      <c r="R25" s="166"/>
      <c r="S25" s="166">
        <v>4661333</v>
      </c>
      <c r="T25" s="166">
        <f>VLOOKUP(N25,[4]Hoja2!N$66:T$128,7,0)</f>
        <v>6080000</v>
      </c>
      <c r="U25" s="166"/>
      <c r="V25" s="166">
        <v>1418667</v>
      </c>
      <c r="W25" s="166">
        <v>6080000</v>
      </c>
      <c r="X25" s="166"/>
      <c r="Y25" s="166"/>
      <c r="Z25" s="166"/>
      <c r="AA25" s="166"/>
      <c r="AB25" s="1604"/>
      <c r="AC25" s="450">
        <f t="shared" si="5"/>
        <v>18240000</v>
      </c>
      <c r="AD25" s="701">
        <f t="shared" si="6"/>
        <v>0</v>
      </c>
      <c r="AE25" s="1428"/>
      <c r="AF25" s="888">
        <v>29</v>
      </c>
      <c r="AG25" s="268" t="s">
        <v>296</v>
      </c>
      <c r="AH25" s="268" t="str">
        <f>VLOOKUP(N25,[5]Hoja2!J$141:N$168,5,0)</f>
        <v>CARLOS ARTURO ROJAS PEREZ</v>
      </c>
      <c r="AI25" s="498">
        <f t="shared" si="2"/>
        <v>157</v>
      </c>
      <c r="AJ25" s="304">
        <v>18240000</v>
      </c>
      <c r="AK25" s="871">
        <f t="shared" ref="AK25:AK56" si="7">AJ25-O25</f>
        <v>0</v>
      </c>
      <c r="AL25" s="918"/>
      <c r="AM25" s="302">
        <f t="shared" si="3"/>
        <v>0</v>
      </c>
    </row>
    <row r="26" spans="1:39" s="8" customFormat="1">
      <c r="A26" s="82" t="s">
        <v>35</v>
      </c>
      <c r="B26" s="161">
        <f t="shared" si="4"/>
        <v>380964824</v>
      </c>
      <c r="C26" s="79" t="s">
        <v>36</v>
      </c>
      <c r="D26" s="79" t="s">
        <v>827</v>
      </c>
      <c r="E26" s="79" t="s">
        <v>37</v>
      </c>
      <c r="F26" s="79" t="s">
        <v>1648</v>
      </c>
      <c r="G26" s="79" t="s">
        <v>38</v>
      </c>
      <c r="H26" s="2064" t="s">
        <v>1638</v>
      </c>
      <c r="I26" s="225">
        <v>36</v>
      </c>
      <c r="J26" s="160">
        <v>0</v>
      </c>
      <c r="K26" s="468"/>
      <c r="L26" s="1583">
        <v>374</v>
      </c>
      <c r="M26" s="1508">
        <v>380964824</v>
      </c>
      <c r="N26" s="1583">
        <v>386</v>
      </c>
      <c r="O26" s="1605">
        <v>380964824</v>
      </c>
      <c r="P26" s="1993">
        <v>305</v>
      </c>
      <c r="Q26" s="449"/>
      <c r="R26" s="449"/>
      <c r="S26" s="166"/>
      <c r="T26" s="166"/>
      <c r="U26" s="166"/>
      <c r="V26" s="166">
        <f>51531724+41465156</f>
        <v>92996880</v>
      </c>
      <c r="W26" s="166">
        <v>5653194</v>
      </c>
      <c r="X26" s="166">
        <f>27863612+72291509</f>
        <v>100155121</v>
      </c>
      <c r="Y26" s="166">
        <f>68709673+896260</f>
        <v>69605933</v>
      </c>
      <c r="Z26" s="166">
        <v>39447035</v>
      </c>
      <c r="AA26" s="166">
        <v>47370256</v>
      </c>
      <c r="AB26" s="1604">
        <v>25736405</v>
      </c>
      <c r="AC26" s="450">
        <f t="shared" si="5"/>
        <v>380964824</v>
      </c>
      <c r="AD26" s="701">
        <f t="shared" si="6"/>
        <v>0</v>
      </c>
      <c r="AE26" s="1428"/>
      <c r="AF26" s="888">
        <v>36</v>
      </c>
      <c r="AG26" s="268" t="s">
        <v>284</v>
      </c>
      <c r="AH26" s="268" t="s">
        <v>816</v>
      </c>
      <c r="AI26" s="498">
        <f t="shared" si="2"/>
        <v>305</v>
      </c>
      <c r="AJ26" s="304">
        <f>268964824+112000000</f>
        <v>380964824</v>
      </c>
      <c r="AK26" s="871">
        <f t="shared" si="7"/>
        <v>0</v>
      </c>
      <c r="AL26" s="918"/>
      <c r="AM26" s="302">
        <f t="shared" si="3"/>
        <v>0</v>
      </c>
    </row>
    <row r="27" spans="1:39" s="8" customFormat="1">
      <c r="A27" s="82" t="s">
        <v>35</v>
      </c>
      <c r="B27" s="161">
        <f t="shared" si="4"/>
        <v>0</v>
      </c>
      <c r="C27" s="79" t="s">
        <v>36</v>
      </c>
      <c r="D27" s="79" t="s">
        <v>827</v>
      </c>
      <c r="E27" s="79" t="s">
        <v>37</v>
      </c>
      <c r="F27" s="79" t="s">
        <v>1648</v>
      </c>
      <c r="G27" s="79" t="s">
        <v>38</v>
      </c>
      <c r="H27" s="2064" t="s">
        <v>1638</v>
      </c>
      <c r="I27" s="225" t="s">
        <v>173</v>
      </c>
      <c r="J27" s="160">
        <v>571</v>
      </c>
      <c r="K27" s="468">
        <v>46000000</v>
      </c>
      <c r="L27" s="1583">
        <v>651</v>
      </c>
      <c r="M27" s="1508">
        <f>46000000-46000000</f>
        <v>0</v>
      </c>
      <c r="N27" s="1583"/>
      <c r="O27" s="1605"/>
      <c r="P27" s="1993">
        <v>305</v>
      </c>
      <c r="Q27" s="449"/>
      <c r="R27" s="449"/>
      <c r="S27" s="166"/>
      <c r="T27" s="166"/>
      <c r="U27" s="166"/>
      <c r="V27" s="166"/>
      <c r="W27" s="166"/>
      <c r="X27" s="166"/>
      <c r="Y27" s="166"/>
      <c r="Z27" s="166"/>
      <c r="AA27" s="166"/>
      <c r="AB27" s="1604"/>
      <c r="AC27" s="450">
        <f t="shared" si="5"/>
        <v>0</v>
      </c>
      <c r="AD27" s="701">
        <f t="shared" si="6"/>
        <v>0</v>
      </c>
      <c r="AE27" s="1428"/>
      <c r="AF27" s="888" t="s">
        <v>325</v>
      </c>
      <c r="AG27" s="268" t="s">
        <v>1169</v>
      </c>
      <c r="AH27" s="268" t="s">
        <v>816</v>
      </c>
      <c r="AI27" s="498">
        <f t="shared" si="2"/>
        <v>305</v>
      </c>
      <c r="AJ27" s="304">
        <f>46000000-46000000</f>
        <v>0</v>
      </c>
      <c r="AK27" s="871">
        <f t="shared" si="7"/>
        <v>0</v>
      </c>
      <c r="AL27" s="918"/>
      <c r="AM27" s="302">
        <f t="shared" si="3"/>
        <v>0</v>
      </c>
    </row>
    <row r="28" spans="1:39" s="8" customFormat="1">
      <c r="A28" s="82" t="s">
        <v>35</v>
      </c>
      <c r="B28" s="161">
        <f t="shared" si="4"/>
        <v>66493000</v>
      </c>
      <c r="C28" s="79" t="s">
        <v>36</v>
      </c>
      <c r="D28" s="79" t="s">
        <v>827</v>
      </c>
      <c r="E28" s="79" t="s">
        <v>37</v>
      </c>
      <c r="F28" s="79" t="s">
        <v>1648</v>
      </c>
      <c r="G28" s="79" t="s">
        <v>38</v>
      </c>
      <c r="H28" s="2064" t="s">
        <v>1638</v>
      </c>
      <c r="I28" s="225" t="s">
        <v>325</v>
      </c>
      <c r="J28" s="160">
        <v>629</v>
      </c>
      <c r="K28" s="468">
        <v>66493000</v>
      </c>
      <c r="L28" s="1583">
        <v>708</v>
      </c>
      <c r="M28" s="1508">
        <v>66493000</v>
      </c>
      <c r="N28" s="1583">
        <v>857</v>
      </c>
      <c r="O28" s="1508">
        <v>66493000</v>
      </c>
      <c r="P28" s="1993">
        <v>305</v>
      </c>
      <c r="Q28" s="449"/>
      <c r="R28" s="449"/>
      <c r="S28" s="166"/>
      <c r="T28" s="166"/>
      <c r="U28" s="166"/>
      <c r="V28" s="166"/>
      <c r="W28" s="166"/>
      <c r="X28" s="166"/>
      <c r="Y28" s="166"/>
      <c r="Z28" s="166"/>
      <c r="AA28" s="166"/>
      <c r="AB28" s="1604">
        <v>62786380</v>
      </c>
      <c r="AC28" s="450">
        <f t="shared" si="5"/>
        <v>62786380</v>
      </c>
      <c r="AD28" s="701">
        <f t="shared" si="6"/>
        <v>3706620</v>
      </c>
      <c r="AE28" s="1428"/>
      <c r="AF28" s="888" t="s">
        <v>325</v>
      </c>
      <c r="AG28" s="268" t="s">
        <v>1169</v>
      </c>
      <c r="AH28" s="268" t="s">
        <v>816</v>
      </c>
      <c r="AI28" s="498">
        <f t="shared" si="2"/>
        <v>305</v>
      </c>
      <c r="AJ28" s="304">
        <v>66493000</v>
      </c>
      <c r="AK28" s="871">
        <f t="shared" si="7"/>
        <v>0</v>
      </c>
      <c r="AL28" s="918"/>
      <c r="AM28" s="302">
        <f t="shared" si="3"/>
        <v>0</v>
      </c>
    </row>
    <row r="29" spans="1:39" s="8" customFormat="1">
      <c r="A29" s="82" t="s">
        <v>35</v>
      </c>
      <c r="B29" s="161">
        <f t="shared" si="4"/>
        <v>150000000</v>
      </c>
      <c r="C29" s="79" t="s">
        <v>36</v>
      </c>
      <c r="D29" s="79" t="s">
        <v>827</v>
      </c>
      <c r="E29" s="79" t="s">
        <v>37</v>
      </c>
      <c r="F29" s="79" t="s">
        <v>1648</v>
      </c>
      <c r="G29" s="79" t="s">
        <v>38</v>
      </c>
      <c r="H29" s="2064" t="s">
        <v>1638</v>
      </c>
      <c r="I29" s="225" t="s">
        <v>325</v>
      </c>
      <c r="J29" s="160">
        <v>831</v>
      </c>
      <c r="K29" s="468">
        <v>150000000</v>
      </c>
      <c r="L29" s="1583">
        <v>943</v>
      </c>
      <c r="M29" s="1508">
        <v>150000000</v>
      </c>
      <c r="N29" s="1583">
        <v>1194</v>
      </c>
      <c r="O29" s="1508">
        <v>150000000</v>
      </c>
      <c r="P29" s="1993">
        <v>305</v>
      </c>
      <c r="Q29" s="449"/>
      <c r="R29" s="449"/>
      <c r="S29" s="166"/>
      <c r="T29" s="166"/>
      <c r="U29" s="166"/>
      <c r="V29" s="166"/>
      <c r="W29" s="166"/>
      <c r="X29" s="166"/>
      <c r="Y29" s="166"/>
      <c r="Z29" s="166"/>
      <c r="AA29" s="166"/>
      <c r="AB29" s="1604"/>
      <c r="AC29" s="450">
        <f t="shared" si="5"/>
        <v>0</v>
      </c>
      <c r="AD29" s="701">
        <f t="shared" si="6"/>
        <v>150000000</v>
      </c>
      <c r="AE29" s="1428"/>
      <c r="AF29" s="888" t="s">
        <v>325</v>
      </c>
      <c r="AG29" s="268" t="s">
        <v>1541</v>
      </c>
      <c r="AH29" s="268" t="s">
        <v>816</v>
      </c>
      <c r="AI29" s="498">
        <f t="shared" si="2"/>
        <v>305</v>
      </c>
      <c r="AJ29" s="304">
        <v>150000000</v>
      </c>
      <c r="AK29" s="871">
        <f t="shared" si="7"/>
        <v>0</v>
      </c>
      <c r="AL29" s="918"/>
      <c r="AM29" s="302">
        <f t="shared" si="3"/>
        <v>0</v>
      </c>
    </row>
    <row r="30" spans="1:39" s="8" customFormat="1">
      <c r="A30" s="82" t="s">
        <v>35</v>
      </c>
      <c r="B30" s="161">
        <f t="shared" si="4"/>
        <v>52000000</v>
      </c>
      <c r="C30" s="79" t="s">
        <v>36</v>
      </c>
      <c r="D30" s="79" t="s">
        <v>827</v>
      </c>
      <c r="E30" s="79" t="s">
        <v>37</v>
      </c>
      <c r="F30" s="79" t="s">
        <v>1648</v>
      </c>
      <c r="G30" s="79" t="s">
        <v>38</v>
      </c>
      <c r="H30" s="2064" t="s">
        <v>1638</v>
      </c>
      <c r="I30" s="225">
        <v>37</v>
      </c>
      <c r="J30" s="160">
        <v>0</v>
      </c>
      <c r="K30" s="468"/>
      <c r="L30" s="1583">
        <v>285</v>
      </c>
      <c r="M30" s="1508">
        <v>52000000</v>
      </c>
      <c r="N30" s="1583">
        <v>285</v>
      </c>
      <c r="O30" s="1605">
        <v>52000000</v>
      </c>
      <c r="P30" s="1993">
        <v>247</v>
      </c>
      <c r="Q30" s="449"/>
      <c r="R30" s="449"/>
      <c r="S30" s="166">
        <v>2600000</v>
      </c>
      <c r="T30" s="166">
        <f>VLOOKUP(N30,[4]Hoja2!N$66:T$128,7,0)</f>
        <v>6500000</v>
      </c>
      <c r="U30" s="166">
        <v>6500000</v>
      </c>
      <c r="V30" s="166">
        <v>6500000</v>
      </c>
      <c r="W30" s="166">
        <v>6500000</v>
      </c>
      <c r="X30" s="166">
        <v>6500000</v>
      </c>
      <c r="Y30" s="166">
        <v>6500000</v>
      </c>
      <c r="Z30" s="166">
        <v>6500000</v>
      </c>
      <c r="AA30" s="166">
        <v>3900000</v>
      </c>
      <c r="AB30" s="1604"/>
      <c r="AC30" s="450">
        <f t="shared" si="5"/>
        <v>52000000</v>
      </c>
      <c r="AD30" s="701">
        <f t="shared" si="6"/>
        <v>0</v>
      </c>
      <c r="AE30" s="1428"/>
      <c r="AF30" s="888">
        <v>37</v>
      </c>
      <c r="AG30" s="268" t="s">
        <v>297</v>
      </c>
      <c r="AH30" s="268" t="s">
        <v>655</v>
      </c>
      <c r="AI30" s="498">
        <f t="shared" si="2"/>
        <v>247</v>
      </c>
      <c r="AJ30" s="304">
        <v>52000000</v>
      </c>
      <c r="AK30" s="871">
        <f t="shared" si="7"/>
        <v>0</v>
      </c>
      <c r="AL30" s="918"/>
      <c r="AM30" s="302">
        <f t="shared" si="3"/>
        <v>0</v>
      </c>
    </row>
    <row r="31" spans="1:39" s="8" customFormat="1">
      <c r="A31" s="82" t="s">
        <v>35</v>
      </c>
      <c r="B31" s="161">
        <f t="shared" si="4"/>
        <v>20000000</v>
      </c>
      <c r="C31" s="79" t="s">
        <v>36</v>
      </c>
      <c r="D31" s="79" t="s">
        <v>827</v>
      </c>
      <c r="E31" s="79" t="s">
        <v>37</v>
      </c>
      <c r="F31" s="79" t="s">
        <v>1648</v>
      </c>
      <c r="G31" s="79" t="s">
        <v>38</v>
      </c>
      <c r="H31" s="2064" t="s">
        <v>1638</v>
      </c>
      <c r="I31" s="225">
        <v>38</v>
      </c>
      <c r="J31" s="160">
        <v>0</v>
      </c>
      <c r="K31" s="468"/>
      <c r="L31" s="1583">
        <v>507</v>
      </c>
      <c r="M31" s="1508">
        <v>20000000</v>
      </c>
      <c r="N31" s="1583">
        <v>550</v>
      </c>
      <c r="O31" s="1605">
        <v>20000000</v>
      </c>
      <c r="P31" s="1993">
        <v>368</v>
      </c>
      <c r="Q31" s="449"/>
      <c r="R31" s="449"/>
      <c r="S31" s="166"/>
      <c r="T31" s="166"/>
      <c r="U31" s="166"/>
      <c r="V31" s="166"/>
      <c r="W31" s="166">
        <v>4533333</v>
      </c>
      <c r="X31" s="166">
        <v>4000000</v>
      </c>
      <c r="Y31" s="166">
        <v>4000000</v>
      </c>
      <c r="Z31" s="166">
        <v>4000000</v>
      </c>
      <c r="AA31" s="166">
        <v>3466667</v>
      </c>
      <c r="AB31" s="1604"/>
      <c r="AC31" s="450">
        <f t="shared" si="5"/>
        <v>20000000</v>
      </c>
      <c r="AD31" s="701">
        <f t="shared" si="6"/>
        <v>0</v>
      </c>
      <c r="AE31" s="1428"/>
      <c r="AF31" s="888">
        <v>38</v>
      </c>
      <c r="AG31" s="268" t="s">
        <v>298</v>
      </c>
      <c r="AH31" s="268" t="s">
        <v>1021</v>
      </c>
      <c r="AI31" s="498">
        <f t="shared" si="2"/>
        <v>368</v>
      </c>
      <c r="AJ31" s="304">
        <f>30000000-7562613-2437387</f>
        <v>20000000</v>
      </c>
      <c r="AK31" s="871">
        <f t="shared" si="7"/>
        <v>0</v>
      </c>
      <c r="AL31" s="918"/>
      <c r="AM31" s="302">
        <f t="shared" si="3"/>
        <v>0</v>
      </c>
    </row>
    <row r="32" spans="1:39" s="8" customFormat="1">
      <c r="A32" s="82" t="s">
        <v>35</v>
      </c>
      <c r="B32" s="161">
        <f t="shared" si="4"/>
        <v>20000000</v>
      </c>
      <c r="C32" s="79" t="s">
        <v>36</v>
      </c>
      <c r="D32" s="79" t="s">
        <v>827</v>
      </c>
      <c r="E32" s="79" t="s">
        <v>37</v>
      </c>
      <c r="F32" s="79" t="s">
        <v>1648</v>
      </c>
      <c r="G32" s="79" t="s">
        <v>38</v>
      </c>
      <c r="H32" s="2064" t="s">
        <v>1638</v>
      </c>
      <c r="I32" s="225">
        <v>39</v>
      </c>
      <c r="J32" s="160">
        <v>0</v>
      </c>
      <c r="K32" s="468"/>
      <c r="L32" s="1583">
        <v>524</v>
      </c>
      <c r="M32" s="1508">
        <v>20000000</v>
      </c>
      <c r="N32" s="1583">
        <v>679</v>
      </c>
      <c r="O32" s="1605">
        <v>20000000</v>
      </c>
      <c r="P32" s="1993">
        <v>412</v>
      </c>
      <c r="Q32" s="449"/>
      <c r="R32" s="449"/>
      <c r="S32" s="166"/>
      <c r="T32" s="166"/>
      <c r="U32" s="166"/>
      <c r="V32" s="166"/>
      <c r="W32" s="166"/>
      <c r="X32" s="166"/>
      <c r="Y32" s="166">
        <f>3166667+5000000</f>
        <v>8166667</v>
      </c>
      <c r="Z32" s="166">
        <v>5000000</v>
      </c>
      <c r="AA32" s="166">
        <v>5000000</v>
      </c>
      <c r="AB32" s="1604">
        <v>1833333</v>
      </c>
      <c r="AC32" s="450">
        <f t="shared" si="5"/>
        <v>20000000</v>
      </c>
      <c r="AD32" s="701">
        <f t="shared" si="6"/>
        <v>0</v>
      </c>
      <c r="AE32" s="1428"/>
      <c r="AF32" s="888">
        <v>39</v>
      </c>
      <c r="AG32" s="268" t="s">
        <v>299</v>
      </c>
      <c r="AH32" s="268" t="s">
        <v>1108</v>
      </c>
      <c r="AI32" s="498">
        <f t="shared" si="2"/>
        <v>412</v>
      </c>
      <c r="AJ32" s="304">
        <v>20000000</v>
      </c>
      <c r="AK32" s="871">
        <f t="shared" si="7"/>
        <v>0</v>
      </c>
      <c r="AL32" s="918"/>
      <c r="AM32" s="302">
        <f t="shared" si="3"/>
        <v>0</v>
      </c>
    </row>
    <row r="33" spans="1:39" s="8" customFormat="1">
      <c r="A33" s="82" t="s">
        <v>35</v>
      </c>
      <c r="B33" s="161">
        <f t="shared" si="4"/>
        <v>0</v>
      </c>
      <c r="C33" s="79" t="s">
        <v>36</v>
      </c>
      <c r="D33" s="79" t="s">
        <v>827</v>
      </c>
      <c r="E33" s="79" t="s">
        <v>37</v>
      </c>
      <c r="F33" s="79" t="s">
        <v>1648</v>
      </c>
      <c r="G33" s="79" t="s">
        <v>38</v>
      </c>
      <c r="H33" s="2064" t="s">
        <v>1638</v>
      </c>
      <c r="I33" s="225">
        <v>40</v>
      </c>
      <c r="J33" s="160">
        <v>0</v>
      </c>
      <c r="K33" s="468"/>
      <c r="L33" s="1583"/>
      <c r="M33" s="1508"/>
      <c r="N33" s="1583"/>
      <c r="O33" s="1605"/>
      <c r="P33" s="1993"/>
      <c r="Q33" s="449"/>
      <c r="R33" s="449"/>
      <c r="S33" s="166"/>
      <c r="T33" s="166"/>
      <c r="U33" s="166"/>
      <c r="V33" s="166"/>
      <c r="W33" s="166"/>
      <c r="X33" s="166"/>
      <c r="Y33" s="166"/>
      <c r="Z33" s="166"/>
      <c r="AA33" s="166"/>
      <c r="AB33" s="1604"/>
      <c r="AC33" s="450">
        <f t="shared" si="5"/>
        <v>0</v>
      </c>
      <c r="AD33" s="701">
        <f t="shared" si="6"/>
        <v>0</v>
      </c>
      <c r="AE33" s="1428"/>
      <c r="AF33" s="888">
        <v>40</v>
      </c>
      <c r="AG33" s="268" t="s">
        <v>300</v>
      </c>
      <c r="AH33" s="268" t="s">
        <v>173</v>
      </c>
      <c r="AI33" s="498">
        <f t="shared" si="2"/>
        <v>0</v>
      </c>
      <c r="AJ33" s="304">
        <f>7000000-7000000</f>
        <v>0</v>
      </c>
      <c r="AK33" s="871">
        <f t="shared" si="7"/>
        <v>0</v>
      </c>
      <c r="AL33" s="918"/>
      <c r="AM33" s="302">
        <f t="shared" si="3"/>
        <v>0</v>
      </c>
    </row>
    <row r="34" spans="1:39" s="8" customFormat="1">
      <c r="A34" s="82" t="s">
        <v>35</v>
      </c>
      <c r="B34" s="161">
        <f t="shared" si="4"/>
        <v>7740000</v>
      </c>
      <c r="C34" s="79" t="s">
        <v>36</v>
      </c>
      <c r="D34" s="79" t="s">
        <v>827</v>
      </c>
      <c r="E34" s="79" t="s">
        <v>37</v>
      </c>
      <c r="F34" s="79" t="s">
        <v>1648</v>
      </c>
      <c r="G34" s="79" t="s">
        <v>38</v>
      </c>
      <c r="H34" s="2064" t="s">
        <v>1638</v>
      </c>
      <c r="I34" s="225">
        <v>41</v>
      </c>
      <c r="J34" s="160">
        <v>0</v>
      </c>
      <c r="K34" s="468"/>
      <c r="L34" s="1583">
        <v>176</v>
      </c>
      <c r="M34" s="1508">
        <v>7740000</v>
      </c>
      <c r="N34" s="1583">
        <v>232</v>
      </c>
      <c r="O34" s="1604">
        <f>VLOOKUP(N34,[6]RP!J$194:V$247,13,0)</f>
        <v>7740000</v>
      </c>
      <c r="P34" s="1993">
        <v>176</v>
      </c>
      <c r="Q34" s="449"/>
      <c r="R34" s="449"/>
      <c r="S34" s="166">
        <v>2150000</v>
      </c>
      <c r="T34" s="166">
        <f>VLOOKUP(N34,[4]Hoja2!N$66:T$128,7,0)</f>
        <v>2580000</v>
      </c>
      <c r="U34" s="449">
        <v>2580000</v>
      </c>
      <c r="V34" s="166">
        <v>430000</v>
      </c>
      <c r="W34" s="166"/>
      <c r="X34" s="166"/>
      <c r="Y34" s="166"/>
      <c r="Z34" s="166"/>
      <c r="AA34" s="166"/>
      <c r="AB34" s="1604"/>
      <c r="AC34" s="450">
        <f t="shared" si="5"/>
        <v>7740000</v>
      </c>
      <c r="AD34" s="701">
        <f t="shared" si="6"/>
        <v>0</v>
      </c>
      <c r="AE34" s="1428"/>
      <c r="AF34" s="888">
        <v>41</v>
      </c>
      <c r="AG34" s="268" t="s">
        <v>301</v>
      </c>
      <c r="AH34" s="268" t="s">
        <v>654</v>
      </c>
      <c r="AI34" s="498">
        <f t="shared" si="2"/>
        <v>176</v>
      </c>
      <c r="AJ34" s="304">
        <v>7740000</v>
      </c>
      <c r="AK34" s="871">
        <f t="shared" si="7"/>
        <v>0</v>
      </c>
      <c r="AL34" s="918"/>
      <c r="AM34" s="302">
        <f t="shared" si="3"/>
        <v>0</v>
      </c>
    </row>
    <row r="35" spans="1:39" s="8" customFormat="1">
      <c r="A35" s="82" t="s">
        <v>35</v>
      </c>
      <c r="B35" s="161">
        <f t="shared" si="4"/>
        <v>19860000</v>
      </c>
      <c r="C35" s="79" t="s">
        <v>36</v>
      </c>
      <c r="D35" s="79" t="s">
        <v>827</v>
      </c>
      <c r="E35" s="79" t="s">
        <v>37</v>
      </c>
      <c r="F35" s="79" t="s">
        <v>1648</v>
      </c>
      <c r="G35" s="79" t="s">
        <v>38</v>
      </c>
      <c r="H35" s="2064" t="s">
        <v>1638</v>
      </c>
      <c r="I35" s="225">
        <v>42</v>
      </c>
      <c r="J35" s="160">
        <v>0</v>
      </c>
      <c r="K35" s="468"/>
      <c r="L35" s="1583">
        <v>59</v>
      </c>
      <c r="M35" s="1508">
        <v>19860000</v>
      </c>
      <c r="N35" s="1583">
        <v>110</v>
      </c>
      <c r="O35" s="1604">
        <v>19860000</v>
      </c>
      <c r="P35" s="1993">
        <v>81</v>
      </c>
      <c r="Q35" s="449"/>
      <c r="R35" s="166">
        <v>1765333</v>
      </c>
      <c r="S35" s="166">
        <v>6620000</v>
      </c>
      <c r="T35" s="166">
        <f>VLOOKUP(N35,[4]Hoja2!N$66:T$128,7,0)</f>
        <v>6620000</v>
      </c>
      <c r="U35" s="449">
        <v>4854667</v>
      </c>
      <c r="V35" s="166"/>
      <c r="W35" s="166"/>
      <c r="X35" s="166"/>
      <c r="Y35" s="166"/>
      <c r="Z35" s="166"/>
      <c r="AA35" s="166"/>
      <c r="AB35" s="1604"/>
      <c r="AC35" s="450">
        <f t="shared" si="5"/>
        <v>19860000</v>
      </c>
      <c r="AD35" s="701">
        <f t="shared" si="6"/>
        <v>0</v>
      </c>
      <c r="AE35" s="1428"/>
      <c r="AF35" s="888">
        <v>42</v>
      </c>
      <c r="AG35" s="268" t="s">
        <v>302</v>
      </c>
      <c r="AH35" s="268" t="str">
        <f>VLOOKUP(N35,[5]Hoja2!J$141:N$168,5,0)</f>
        <v>DIANA MARCELA GARCIA SIERRA</v>
      </c>
      <c r="AI35" s="498">
        <f t="shared" si="2"/>
        <v>81</v>
      </c>
      <c r="AJ35" s="304">
        <f>72820000-52960000</f>
        <v>19860000</v>
      </c>
      <c r="AK35" s="871">
        <f t="shared" si="7"/>
        <v>0</v>
      </c>
      <c r="AL35" s="918"/>
      <c r="AM35" s="302">
        <f t="shared" si="3"/>
        <v>0</v>
      </c>
    </row>
    <row r="36" spans="1:39" s="8" customFormat="1">
      <c r="A36" s="82" t="s">
        <v>35</v>
      </c>
      <c r="B36" s="161">
        <f t="shared" si="4"/>
        <v>3935000</v>
      </c>
      <c r="C36" s="79" t="s">
        <v>36</v>
      </c>
      <c r="D36" s="79" t="s">
        <v>827</v>
      </c>
      <c r="E36" s="79" t="s">
        <v>37</v>
      </c>
      <c r="F36" s="79" t="s">
        <v>1648</v>
      </c>
      <c r="G36" s="79" t="s">
        <v>38</v>
      </c>
      <c r="H36" s="2064" t="s">
        <v>1638</v>
      </c>
      <c r="I36" s="225">
        <v>46</v>
      </c>
      <c r="J36" s="160">
        <v>0</v>
      </c>
      <c r="K36" s="468"/>
      <c r="L36" s="1583">
        <v>286</v>
      </c>
      <c r="M36" s="1508">
        <v>3935000</v>
      </c>
      <c r="N36" s="1583">
        <v>299</v>
      </c>
      <c r="O36" s="1605">
        <v>3935000</v>
      </c>
      <c r="P36" s="1993">
        <v>250</v>
      </c>
      <c r="Q36" s="449"/>
      <c r="R36" s="449"/>
      <c r="S36" s="166"/>
      <c r="T36" s="166"/>
      <c r="U36" s="166"/>
      <c r="V36" s="166"/>
      <c r="W36" s="166"/>
      <c r="X36" s="166"/>
      <c r="Y36" s="166">
        <v>3935000</v>
      </c>
      <c r="Z36" s="166"/>
      <c r="AA36" s="166"/>
      <c r="AB36" s="1604"/>
      <c r="AC36" s="450">
        <f t="shared" si="5"/>
        <v>3935000</v>
      </c>
      <c r="AD36" s="701">
        <f t="shared" si="6"/>
        <v>0</v>
      </c>
      <c r="AE36" s="1428"/>
      <c r="AF36" s="888">
        <v>46</v>
      </c>
      <c r="AG36" s="268" t="s">
        <v>296</v>
      </c>
      <c r="AH36" s="268" t="s">
        <v>656</v>
      </c>
      <c r="AI36" s="498">
        <f t="shared" si="2"/>
        <v>250</v>
      </c>
      <c r="AJ36" s="304">
        <f>40000000-36065000</f>
        <v>3935000</v>
      </c>
      <c r="AK36" s="871">
        <f t="shared" si="7"/>
        <v>0</v>
      </c>
      <c r="AL36" s="918"/>
      <c r="AM36" s="302">
        <f t="shared" si="3"/>
        <v>0</v>
      </c>
    </row>
    <row r="37" spans="1:39" s="8" customFormat="1">
      <c r="A37" s="82" t="s">
        <v>35</v>
      </c>
      <c r="B37" s="161">
        <f t="shared" si="4"/>
        <v>16929000</v>
      </c>
      <c r="C37" s="79" t="s">
        <v>36</v>
      </c>
      <c r="D37" s="79" t="s">
        <v>827</v>
      </c>
      <c r="E37" s="79" t="s">
        <v>37</v>
      </c>
      <c r="F37" s="79" t="s">
        <v>1648</v>
      </c>
      <c r="G37" s="79" t="s">
        <v>38</v>
      </c>
      <c r="H37" s="2064" t="s">
        <v>1638</v>
      </c>
      <c r="I37" s="225">
        <v>49</v>
      </c>
      <c r="J37" s="160">
        <v>0</v>
      </c>
      <c r="K37" s="468"/>
      <c r="L37" s="1583">
        <v>263</v>
      </c>
      <c r="M37" s="1508">
        <f>20945000-4016000</f>
        <v>16929000</v>
      </c>
      <c r="N37" s="1583">
        <v>268</v>
      </c>
      <c r="O37" s="1508">
        <f>20945000-4016000</f>
        <v>16929000</v>
      </c>
      <c r="P37" s="1993">
        <v>238</v>
      </c>
      <c r="Q37" s="449"/>
      <c r="R37" s="449"/>
      <c r="S37" s="166">
        <v>2090000</v>
      </c>
      <c r="T37" s="166">
        <v>3135000</v>
      </c>
      <c r="U37" s="166">
        <v>3135000</v>
      </c>
      <c r="V37" s="166">
        <v>3135000</v>
      </c>
      <c r="W37" s="166">
        <v>3135000</v>
      </c>
      <c r="X37" s="166">
        <v>2299000</v>
      </c>
      <c r="Y37" s="166"/>
      <c r="Z37" s="166"/>
      <c r="AA37" s="166"/>
      <c r="AB37" s="1604"/>
      <c r="AC37" s="450">
        <f t="shared" si="5"/>
        <v>16929000</v>
      </c>
      <c r="AD37" s="701">
        <f t="shared" si="6"/>
        <v>0</v>
      </c>
      <c r="AE37" s="1428"/>
      <c r="AF37" s="888">
        <v>49</v>
      </c>
      <c r="AG37" s="268" t="s">
        <v>247</v>
      </c>
      <c r="AH37" s="268" t="s">
        <v>633</v>
      </c>
      <c r="AI37" s="498">
        <f t="shared" si="2"/>
        <v>238</v>
      </c>
      <c r="AJ37" s="304">
        <f>20945000</f>
        <v>20945000</v>
      </c>
      <c r="AK37" s="871">
        <f t="shared" si="7"/>
        <v>4016000</v>
      </c>
      <c r="AL37" s="918"/>
      <c r="AM37" s="302">
        <f t="shared" si="3"/>
        <v>4016000</v>
      </c>
    </row>
    <row r="38" spans="1:39" s="8" customFormat="1">
      <c r="A38" s="82" t="s">
        <v>35</v>
      </c>
      <c r="B38" s="161">
        <f t="shared" si="4"/>
        <v>9999796</v>
      </c>
      <c r="C38" s="79" t="s">
        <v>36</v>
      </c>
      <c r="D38" s="79" t="s">
        <v>827</v>
      </c>
      <c r="E38" s="79" t="s">
        <v>37</v>
      </c>
      <c r="F38" s="79" t="s">
        <v>1648</v>
      </c>
      <c r="G38" s="79" t="s">
        <v>38</v>
      </c>
      <c r="H38" s="2064" t="s">
        <v>1638</v>
      </c>
      <c r="I38" s="225">
        <v>51</v>
      </c>
      <c r="J38" s="160">
        <v>0</v>
      </c>
      <c r="K38" s="468"/>
      <c r="L38" s="1583">
        <v>494</v>
      </c>
      <c r="M38" s="1508">
        <v>9999796</v>
      </c>
      <c r="N38" s="1583">
        <v>724</v>
      </c>
      <c r="O38" s="1508">
        <v>9999796</v>
      </c>
      <c r="P38" s="1993">
        <v>429</v>
      </c>
      <c r="Q38" s="449"/>
      <c r="R38" s="449"/>
      <c r="S38" s="166"/>
      <c r="T38" s="166"/>
      <c r="U38" s="166"/>
      <c r="V38" s="166"/>
      <c r="W38" s="166"/>
      <c r="X38" s="166"/>
      <c r="Y38" s="166"/>
      <c r="Z38" s="166"/>
      <c r="AA38" s="166"/>
      <c r="AB38" s="1604"/>
      <c r="AC38" s="450">
        <f t="shared" si="5"/>
        <v>0</v>
      </c>
      <c r="AD38" s="701">
        <f t="shared" si="6"/>
        <v>9999796</v>
      </c>
      <c r="AE38" s="1428"/>
      <c r="AF38" s="888">
        <v>51</v>
      </c>
      <c r="AG38" s="268" t="s">
        <v>220</v>
      </c>
      <c r="AH38" s="268" t="s">
        <v>1163</v>
      </c>
      <c r="AI38" s="498">
        <f t="shared" si="2"/>
        <v>429</v>
      </c>
      <c r="AJ38" s="304">
        <v>10000000</v>
      </c>
      <c r="AK38" s="871">
        <f t="shared" si="7"/>
        <v>204</v>
      </c>
      <c r="AL38" s="918"/>
      <c r="AM38" s="302">
        <f t="shared" si="3"/>
        <v>204</v>
      </c>
    </row>
    <row r="39" spans="1:39" s="8" customFormat="1">
      <c r="A39" s="82" t="s">
        <v>35</v>
      </c>
      <c r="B39" s="161">
        <f t="shared" si="4"/>
        <v>17880000</v>
      </c>
      <c r="C39" s="79" t="s">
        <v>36</v>
      </c>
      <c r="D39" s="79" t="s">
        <v>827</v>
      </c>
      <c r="E39" s="79" t="s">
        <v>37</v>
      </c>
      <c r="F39" s="79" t="s">
        <v>1648</v>
      </c>
      <c r="G39" s="79" t="s">
        <v>38</v>
      </c>
      <c r="H39" s="2064" t="s">
        <v>1638</v>
      </c>
      <c r="I39" s="225">
        <v>53</v>
      </c>
      <c r="J39" s="160">
        <v>0</v>
      </c>
      <c r="K39" s="468"/>
      <c r="L39" s="1583">
        <v>177</v>
      </c>
      <c r="M39" s="1508">
        <v>17880000</v>
      </c>
      <c r="N39" s="1583">
        <v>163</v>
      </c>
      <c r="O39" s="1604">
        <v>17880000</v>
      </c>
      <c r="P39" s="1993">
        <v>158</v>
      </c>
      <c r="Q39" s="449"/>
      <c r="R39" s="166"/>
      <c r="S39" s="166">
        <v>6158667</v>
      </c>
      <c r="T39" s="166">
        <f>VLOOKUP(N39,[4]Hoja2!N$66:T$128,7,0)</f>
        <v>5960000</v>
      </c>
      <c r="U39" s="166"/>
      <c r="V39" s="166"/>
      <c r="W39" s="166">
        <v>5761333</v>
      </c>
      <c r="X39" s="166"/>
      <c r="Y39" s="166"/>
      <c r="Z39" s="166"/>
      <c r="AA39" s="166"/>
      <c r="AB39" s="1604"/>
      <c r="AC39" s="450">
        <f t="shared" si="5"/>
        <v>17880000</v>
      </c>
      <c r="AD39" s="701">
        <f t="shared" si="6"/>
        <v>0</v>
      </c>
      <c r="AE39" s="1428"/>
      <c r="AF39" s="888">
        <v>53</v>
      </c>
      <c r="AG39" s="268" t="s">
        <v>303</v>
      </c>
      <c r="AH39" s="268" t="str">
        <f>VLOOKUP(N39,[5]Hoja2!J$141:N$168,5,0)</f>
        <v>GINA CATHERINE LEON CABRERA</v>
      </c>
      <c r="AI39" s="498">
        <f t="shared" si="2"/>
        <v>158</v>
      </c>
      <c r="AJ39" s="304">
        <v>17880000</v>
      </c>
      <c r="AK39" s="871">
        <f t="shared" si="7"/>
        <v>0</v>
      </c>
      <c r="AL39" s="918"/>
      <c r="AM39" s="302">
        <f t="shared" si="3"/>
        <v>0</v>
      </c>
    </row>
    <row r="40" spans="1:39" s="8" customFormat="1">
      <c r="A40" s="82" t="s">
        <v>35</v>
      </c>
      <c r="B40" s="161">
        <f t="shared" si="4"/>
        <v>10440000</v>
      </c>
      <c r="C40" s="79" t="s">
        <v>36</v>
      </c>
      <c r="D40" s="79" t="s">
        <v>827</v>
      </c>
      <c r="E40" s="79" t="s">
        <v>37</v>
      </c>
      <c r="F40" s="79" t="s">
        <v>1648</v>
      </c>
      <c r="G40" s="79" t="s">
        <v>38</v>
      </c>
      <c r="H40" s="2064" t="s">
        <v>1638</v>
      </c>
      <c r="I40" s="225">
        <v>55</v>
      </c>
      <c r="J40" s="160">
        <v>0</v>
      </c>
      <c r="K40" s="468"/>
      <c r="L40" s="1583">
        <v>224</v>
      </c>
      <c r="M40" s="1508">
        <v>10440000</v>
      </c>
      <c r="N40" s="1583">
        <v>227</v>
      </c>
      <c r="O40" s="1604">
        <f>VLOOKUP(N40,[6]RP!J$194:V$247,13,0)</f>
        <v>10440000</v>
      </c>
      <c r="P40" s="1993">
        <v>166</v>
      </c>
      <c r="Q40" s="449"/>
      <c r="R40" s="449"/>
      <c r="S40" s="166">
        <v>2900000</v>
      </c>
      <c r="T40" s="166">
        <f>VLOOKUP(N40,[4]Hoja2!N$66:T$128,7,0)</f>
        <v>3480000</v>
      </c>
      <c r="U40" s="449">
        <v>3480000</v>
      </c>
      <c r="V40" s="166">
        <v>580000</v>
      </c>
      <c r="W40" s="166"/>
      <c r="X40" s="166"/>
      <c r="Y40" s="166"/>
      <c r="Z40" s="166"/>
      <c r="AA40" s="166"/>
      <c r="AB40" s="1604"/>
      <c r="AC40" s="450">
        <f t="shared" si="5"/>
        <v>10440000</v>
      </c>
      <c r="AD40" s="701">
        <f t="shared" si="6"/>
        <v>0</v>
      </c>
      <c r="AE40" s="1428"/>
      <c r="AF40" s="888">
        <v>55</v>
      </c>
      <c r="AG40" s="268" t="s">
        <v>304</v>
      </c>
      <c r="AH40" s="268" t="s">
        <v>653</v>
      </c>
      <c r="AI40" s="498">
        <f t="shared" si="2"/>
        <v>166</v>
      </c>
      <c r="AJ40" s="304">
        <f>38280000-27840000</f>
        <v>10440000</v>
      </c>
      <c r="AK40" s="871">
        <f t="shared" si="7"/>
        <v>0</v>
      </c>
      <c r="AL40" s="918"/>
      <c r="AM40" s="302">
        <f t="shared" si="3"/>
        <v>0</v>
      </c>
    </row>
    <row r="41" spans="1:39" s="8" customFormat="1">
      <c r="A41" s="82" t="s">
        <v>35</v>
      </c>
      <c r="B41" s="161">
        <f t="shared" si="4"/>
        <v>0</v>
      </c>
      <c r="C41" s="79" t="s">
        <v>36</v>
      </c>
      <c r="D41" s="79" t="s">
        <v>827</v>
      </c>
      <c r="E41" s="79" t="s">
        <v>37</v>
      </c>
      <c r="F41" s="79" t="s">
        <v>1648</v>
      </c>
      <c r="G41" s="79" t="s">
        <v>38</v>
      </c>
      <c r="H41" s="2064" t="s">
        <v>1638</v>
      </c>
      <c r="I41" s="225">
        <v>58</v>
      </c>
      <c r="J41" s="160">
        <v>0</v>
      </c>
      <c r="K41" s="468"/>
      <c r="L41" s="1583"/>
      <c r="M41" s="1508"/>
      <c r="N41" s="1583"/>
      <c r="O41" s="1605"/>
      <c r="P41" s="1993"/>
      <c r="Q41" s="449"/>
      <c r="R41" s="449"/>
      <c r="S41" s="166"/>
      <c r="T41" s="166"/>
      <c r="U41" s="166"/>
      <c r="V41" s="166"/>
      <c r="W41" s="166"/>
      <c r="X41" s="166"/>
      <c r="Y41" s="166"/>
      <c r="Z41" s="166"/>
      <c r="AA41" s="166"/>
      <c r="AB41" s="1604"/>
      <c r="AC41" s="450">
        <f t="shared" si="5"/>
        <v>0</v>
      </c>
      <c r="AD41" s="701">
        <f t="shared" si="6"/>
        <v>0</v>
      </c>
      <c r="AE41" s="1428"/>
      <c r="AF41" s="888">
        <v>58</v>
      </c>
      <c r="AG41" s="268" t="s">
        <v>305</v>
      </c>
      <c r="AH41" s="268" t="s">
        <v>173</v>
      </c>
      <c r="AI41" s="498">
        <f t="shared" si="2"/>
        <v>0</v>
      </c>
      <c r="AJ41" s="304">
        <f>17000000-17000000</f>
        <v>0</v>
      </c>
      <c r="AK41" s="871">
        <f t="shared" si="7"/>
        <v>0</v>
      </c>
      <c r="AL41" s="918"/>
      <c r="AM41" s="302">
        <f t="shared" si="3"/>
        <v>0</v>
      </c>
    </row>
    <row r="42" spans="1:39" s="8" customFormat="1">
      <c r="A42" s="82" t="s">
        <v>35</v>
      </c>
      <c r="B42" s="161">
        <f t="shared" si="4"/>
        <v>19860000</v>
      </c>
      <c r="C42" s="79" t="s">
        <v>36</v>
      </c>
      <c r="D42" s="79" t="s">
        <v>827</v>
      </c>
      <c r="E42" s="79" t="s">
        <v>37</v>
      </c>
      <c r="F42" s="79" t="s">
        <v>1648</v>
      </c>
      <c r="G42" s="79" t="s">
        <v>38</v>
      </c>
      <c r="H42" s="2064" t="s">
        <v>1638</v>
      </c>
      <c r="I42" s="225">
        <v>60</v>
      </c>
      <c r="J42" s="160">
        <v>0</v>
      </c>
      <c r="K42" s="468"/>
      <c r="L42" s="1583">
        <v>243</v>
      </c>
      <c r="M42" s="1508">
        <v>19860000</v>
      </c>
      <c r="N42" s="1583">
        <v>251</v>
      </c>
      <c r="O42" s="1605">
        <v>19860000</v>
      </c>
      <c r="P42" s="1993">
        <v>228</v>
      </c>
      <c r="Q42" s="449"/>
      <c r="R42" s="449"/>
      <c r="S42" s="166">
        <v>4854667</v>
      </c>
      <c r="T42" s="166">
        <f>VLOOKUP(N42,[4]Hoja2!N$66:T$128,7,0)</f>
        <v>6620000</v>
      </c>
      <c r="U42" s="449">
        <v>6620000</v>
      </c>
      <c r="V42" s="166">
        <v>1765333</v>
      </c>
      <c r="W42" s="166"/>
      <c r="X42" s="166"/>
      <c r="Y42" s="166"/>
      <c r="Z42" s="166"/>
      <c r="AA42" s="166"/>
      <c r="AB42" s="1604"/>
      <c r="AC42" s="450">
        <f t="shared" si="5"/>
        <v>19860000</v>
      </c>
      <c r="AD42" s="701">
        <f t="shared" si="6"/>
        <v>0</v>
      </c>
      <c r="AE42" s="1428"/>
      <c r="AF42" s="888">
        <v>60</v>
      </c>
      <c r="AG42" s="268" t="s">
        <v>306</v>
      </c>
      <c r="AH42" s="268" t="s">
        <v>650</v>
      </c>
      <c r="AI42" s="498">
        <f t="shared" si="2"/>
        <v>228</v>
      </c>
      <c r="AJ42" s="304">
        <f>72820000-52960000</f>
        <v>19860000</v>
      </c>
      <c r="AK42" s="871">
        <f t="shared" si="7"/>
        <v>0</v>
      </c>
      <c r="AL42" s="918"/>
      <c r="AM42" s="302">
        <f t="shared" si="3"/>
        <v>0</v>
      </c>
    </row>
    <row r="43" spans="1:39" s="8" customFormat="1">
      <c r="A43" s="82" t="s">
        <v>35</v>
      </c>
      <c r="B43" s="161">
        <f t="shared" si="4"/>
        <v>16080000</v>
      </c>
      <c r="C43" s="79" t="s">
        <v>36</v>
      </c>
      <c r="D43" s="79" t="s">
        <v>827</v>
      </c>
      <c r="E43" s="79" t="s">
        <v>37</v>
      </c>
      <c r="F43" s="79" t="s">
        <v>1648</v>
      </c>
      <c r="G43" s="79" t="s">
        <v>38</v>
      </c>
      <c r="H43" s="2064" t="s">
        <v>1638</v>
      </c>
      <c r="I43" s="225">
        <v>61</v>
      </c>
      <c r="J43" s="160">
        <v>0</v>
      </c>
      <c r="K43" s="468"/>
      <c r="L43" s="1583">
        <v>170</v>
      </c>
      <c r="M43" s="1508">
        <v>16080000</v>
      </c>
      <c r="N43" s="1583">
        <v>162</v>
      </c>
      <c r="O43" s="1604">
        <v>16080000</v>
      </c>
      <c r="P43" s="1993">
        <v>152</v>
      </c>
      <c r="Q43" s="449"/>
      <c r="R43" s="166"/>
      <c r="S43" s="166">
        <v>5538667</v>
      </c>
      <c r="T43" s="166">
        <f>VLOOKUP(N43,[4]Hoja2!N$66:T$128,7,0)</f>
        <v>5360000</v>
      </c>
      <c r="U43" s="166">
        <v>5181333</v>
      </c>
      <c r="V43" s="166"/>
      <c r="W43" s="166"/>
      <c r="X43" s="166"/>
      <c r="Y43" s="166"/>
      <c r="Z43" s="166"/>
      <c r="AA43" s="166"/>
      <c r="AB43" s="1604"/>
      <c r="AC43" s="450">
        <f t="shared" si="5"/>
        <v>16080000</v>
      </c>
      <c r="AD43" s="701">
        <f t="shared" si="6"/>
        <v>0</v>
      </c>
      <c r="AE43" s="1428"/>
      <c r="AF43" s="888">
        <v>61</v>
      </c>
      <c r="AG43" s="268" t="s">
        <v>307</v>
      </c>
      <c r="AH43" s="268" t="str">
        <f>VLOOKUP(N43,[5]Hoja2!J$141:N$168,5,0)</f>
        <v>JOHANNA MARCELA GALINDO URREGO</v>
      </c>
      <c r="AI43" s="498">
        <f t="shared" si="2"/>
        <v>152</v>
      </c>
      <c r="AJ43" s="304">
        <v>16080000</v>
      </c>
      <c r="AK43" s="871">
        <f t="shared" si="7"/>
        <v>0</v>
      </c>
      <c r="AL43" s="918"/>
      <c r="AM43" s="302">
        <f t="shared" si="3"/>
        <v>0</v>
      </c>
    </row>
    <row r="44" spans="1:39" s="8" customFormat="1">
      <c r="A44" s="82" t="s">
        <v>35</v>
      </c>
      <c r="B44" s="161">
        <f t="shared" si="4"/>
        <v>12060000</v>
      </c>
      <c r="C44" s="79" t="s">
        <v>36</v>
      </c>
      <c r="D44" s="79" t="s">
        <v>827</v>
      </c>
      <c r="E44" s="79" t="s">
        <v>37</v>
      </c>
      <c r="F44" s="79" t="s">
        <v>1648</v>
      </c>
      <c r="G44" s="79" t="s">
        <v>38</v>
      </c>
      <c r="H44" s="2064" t="s">
        <v>1638</v>
      </c>
      <c r="I44" s="225">
        <v>62</v>
      </c>
      <c r="J44" s="160">
        <v>0</v>
      </c>
      <c r="K44" s="468"/>
      <c r="L44" s="1583">
        <v>228</v>
      </c>
      <c r="M44" s="1508">
        <v>12060000</v>
      </c>
      <c r="N44" s="1583">
        <v>228</v>
      </c>
      <c r="O44" s="1604">
        <f>VLOOKUP(N44,[6]RP!J$194:V$247,13,0)</f>
        <v>12060000</v>
      </c>
      <c r="P44" s="1993">
        <v>177</v>
      </c>
      <c r="Q44" s="449"/>
      <c r="R44" s="449"/>
      <c r="S44" s="166">
        <v>3350000</v>
      </c>
      <c r="T44" s="166">
        <f>VLOOKUP(N44,[4]Hoja2!N$66:T$128,7,0)</f>
        <v>4020000</v>
      </c>
      <c r="U44" s="166"/>
      <c r="V44" s="166">
        <v>670000</v>
      </c>
      <c r="W44" s="166">
        <v>4020000</v>
      </c>
      <c r="X44" s="166"/>
      <c r="Y44" s="166"/>
      <c r="Z44" s="166"/>
      <c r="AA44" s="166"/>
      <c r="AB44" s="1604"/>
      <c r="AC44" s="450">
        <f t="shared" si="5"/>
        <v>12060000</v>
      </c>
      <c r="AD44" s="701">
        <f t="shared" si="6"/>
        <v>0</v>
      </c>
      <c r="AE44" s="1428"/>
      <c r="AF44" s="888">
        <v>62</v>
      </c>
      <c r="AG44" s="268" t="s">
        <v>308</v>
      </c>
      <c r="AH44" s="268" t="s">
        <v>652</v>
      </c>
      <c r="AI44" s="498">
        <f t="shared" si="2"/>
        <v>177</v>
      </c>
      <c r="AJ44" s="304">
        <v>12060000</v>
      </c>
      <c r="AK44" s="871">
        <f t="shared" si="7"/>
        <v>0</v>
      </c>
      <c r="AL44" s="918"/>
      <c r="AM44" s="302">
        <f t="shared" si="3"/>
        <v>0</v>
      </c>
    </row>
    <row r="45" spans="1:39" s="8" customFormat="1">
      <c r="A45" s="82" t="s">
        <v>35</v>
      </c>
      <c r="B45" s="161">
        <f t="shared" si="4"/>
        <v>13320000</v>
      </c>
      <c r="C45" s="79" t="s">
        <v>36</v>
      </c>
      <c r="D45" s="79" t="s">
        <v>827</v>
      </c>
      <c r="E45" s="79" t="s">
        <v>37</v>
      </c>
      <c r="F45" s="79" t="s">
        <v>1648</v>
      </c>
      <c r="G45" s="79" t="s">
        <v>38</v>
      </c>
      <c r="H45" s="2064" t="s">
        <v>1638</v>
      </c>
      <c r="I45" s="225">
        <v>63</v>
      </c>
      <c r="J45" s="160">
        <v>0</v>
      </c>
      <c r="K45" s="468"/>
      <c r="L45" s="1583">
        <v>171</v>
      </c>
      <c r="M45" s="1508">
        <v>13320000</v>
      </c>
      <c r="N45" s="1583">
        <v>184</v>
      </c>
      <c r="O45" s="1604">
        <v>13320000</v>
      </c>
      <c r="P45" s="1993">
        <v>150</v>
      </c>
      <c r="Q45" s="449"/>
      <c r="R45" s="166"/>
      <c r="S45" s="166">
        <v>4440000</v>
      </c>
      <c r="T45" s="166">
        <f>VLOOKUP(N45,[4]Hoja2!N$66:T$128,7,0)</f>
        <v>4440000</v>
      </c>
      <c r="U45" s="166">
        <v>4440000</v>
      </c>
      <c r="V45" s="166"/>
      <c r="W45" s="166"/>
      <c r="X45" s="166"/>
      <c r="Y45" s="166"/>
      <c r="Z45" s="166"/>
      <c r="AA45" s="166"/>
      <c r="AB45" s="1604"/>
      <c r="AC45" s="450">
        <f t="shared" si="5"/>
        <v>13320000</v>
      </c>
      <c r="AD45" s="701">
        <f t="shared" si="6"/>
        <v>0</v>
      </c>
      <c r="AE45" s="1428"/>
      <c r="AF45" s="888">
        <v>63</v>
      </c>
      <c r="AG45" s="268" t="s">
        <v>309</v>
      </c>
      <c r="AH45" s="268" t="str">
        <f>VLOOKUP(N45,[5]Hoja2!J$141:N$168,5,0)</f>
        <v>JUAN FELIPE ESPINOSA DE LOS MONTEROS</v>
      </c>
      <c r="AI45" s="498">
        <f t="shared" si="2"/>
        <v>150</v>
      </c>
      <c r="AJ45" s="304">
        <v>13320000</v>
      </c>
      <c r="AK45" s="871">
        <f t="shared" si="7"/>
        <v>0</v>
      </c>
      <c r="AL45" s="918"/>
      <c r="AM45" s="302">
        <f t="shared" si="3"/>
        <v>0</v>
      </c>
    </row>
    <row r="46" spans="1:39" s="8" customFormat="1">
      <c r="A46" s="82" t="s">
        <v>35</v>
      </c>
      <c r="B46" s="161">
        <f t="shared" si="4"/>
        <v>12060000</v>
      </c>
      <c r="C46" s="79" t="s">
        <v>36</v>
      </c>
      <c r="D46" s="79" t="s">
        <v>827</v>
      </c>
      <c r="E46" s="79" t="s">
        <v>37</v>
      </c>
      <c r="F46" s="79" t="s">
        <v>1648</v>
      </c>
      <c r="G46" s="79" t="s">
        <v>38</v>
      </c>
      <c r="H46" s="2064" t="s">
        <v>1638</v>
      </c>
      <c r="I46" s="225">
        <v>66</v>
      </c>
      <c r="J46" s="160">
        <v>0</v>
      </c>
      <c r="K46" s="468"/>
      <c r="L46" s="1583">
        <v>229</v>
      </c>
      <c r="M46" s="1508">
        <v>12060000</v>
      </c>
      <c r="N46" s="1583">
        <v>231</v>
      </c>
      <c r="O46" s="1604">
        <f>VLOOKUP(N46,[6]RP!J$194:V$247,13,0)</f>
        <v>12060000</v>
      </c>
      <c r="P46" s="1993">
        <v>179</v>
      </c>
      <c r="Q46" s="449"/>
      <c r="R46" s="449"/>
      <c r="S46" s="166">
        <v>3350000</v>
      </c>
      <c r="T46" s="166">
        <f>VLOOKUP(N46,[4]Hoja2!N$66:T$128,7,0)</f>
        <v>4020000</v>
      </c>
      <c r="U46" s="166">
        <v>4020000</v>
      </c>
      <c r="V46" s="166">
        <v>670000</v>
      </c>
      <c r="W46" s="166"/>
      <c r="X46" s="166"/>
      <c r="Y46" s="166"/>
      <c r="Z46" s="166"/>
      <c r="AA46" s="166"/>
      <c r="AB46" s="1604"/>
      <c r="AC46" s="450">
        <f t="shared" si="5"/>
        <v>12060000</v>
      </c>
      <c r="AD46" s="701">
        <f t="shared" si="6"/>
        <v>0</v>
      </c>
      <c r="AE46" s="1428"/>
      <c r="AF46" s="888">
        <v>66</v>
      </c>
      <c r="AG46" s="268" t="s">
        <v>308</v>
      </c>
      <c r="AH46" s="268" t="s">
        <v>651</v>
      </c>
      <c r="AI46" s="498">
        <f t="shared" si="2"/>
        <v>179</v>
      </c>
      <c r="AJ46" s="304">
        <v>12060000</v>
      </c>
      <c r="AK46" s="871">
        <f t="shared" si="7"/>
        <v>0</v>
      </c>
      <c r="AL46" s="918"/>
      <c r="AM46" s="302">
        <f t="shared" si="3"/>
        <v>0</v>
      </c>
    </row>
    <row r="47" spans="1:39" s="8" customFormat="1">
      <c r="A47" s="82" t="s">
        <v>35</v>
      </c>
      <c r="B47" s="161">
        <f t="shared" si="4"/>
        <v>28002221</v>
      </c>
      <c r="C47" s="79" t="s">
        <v>36</v>
      </c>
      <c r="D47" s="79" t="s">
        <v>827</v>
      </c>
      <c r="E47" s="79" t="s">
        <v>37</v>
      </c>
      <c r="F47" s="79" t="s">
        <v>1648</v>
      </c>
      <c r="G47" s="79" t="s">
        <v>38</v>
      </c>
      <c r="H47" s="2064" t="s">
        <v>1638</v>
      </c>
      <c r="I47" s="225">
        <v>70</v>
      </c>
      <c r="J47" s="160">
        <v>0</v>
      </c>
      <c r="K47" s="468"/>
      <c r="L47" s="1583">
        <v>464</v>
      </c>
      <c r="M47" s="1508">
        <f>39470810-11468589</f>
        <v>28002221</v>
      </c>
      <c r="N47" s="1583">
        <v>732</v>
      </c>
      <c r="O47" s="1605">
        <v>28002221</v>
      </c>
      <c r="P47" s="1993">
        <v>427</v>
      </c>
      <c r="Q47" s="449"/>
      <c r="R47" s="449"/>
      <c r="S47" s="166"/>
      <c r="T47" s="166"/>
      <c r="U47" s="166"/>
      <c r="V47" s="166"/>
      <c r="W47" s="166"/>
      <c r="X47" s="166"/>
      <c r="Y47" s="166">
        <v>28002221</v>
      </c>
      <c r="Z47" s="166"/>
      <c r="AA47" s="166"/>
      <c r="AB47" s="1604"/>
      <c r="AC47" s="450">
        <f t="shared" si="5"/>
        <v>28002221</v>
      </c>
      <c r="AD47" s="701">
        <f t="shared" si="6"/>
        <v>0</v>
      </c>
      <c r="AE47" s="1428"/>
      <c r="AF47" s="888">
        <v>70</v>
      </c>
      <c r="AG47" s="268" t="s">
        <v>310</v>
      </c>
      <c r="AH47" s="268" t="s">
        <v>1183</v>
      </c>
      <c r="AI47" s="498">
        <f t="shared" si="2"/>
        <v>427</v>
      </c>
      <c r="AJ47" s="304">
        <f>40000000-529190</f>
        <v>39470810</v>
      </c>
      <c r="AK47" s="871">
        <f t="shared" si="7"/>
        <v>11468589</v>
      </c>
      <c r="AL47" s="918"/>
      <c r="AM47" s="302">
        <f t="shared" si="3"/>
        <v>11468589</v>
      </c>
    </row>
    <row r="48" spans="1:39" s="8" customFormat="1">
      <c r="A48" s="82" t="s">
        <v>35</v>
      </c>
      <c r="B48" s="161">
        <f t="shared" si="4"/>
        <v>19860000</v>
      </c>
      <c r="C48" s="79" t="s">
        <v>36</v>
      </c>
      <c r="D48" s="79" t="s">
        <v>827</v>
      </c>
      <c r="E48" s="79" t="s">
        <v>37</v>
      </c>
      <c r="F48" s="79" t="s">
        <v>1648</v>
      </c>
      <c r="G48" s="79" t="s">
        <v>38</v>
      </c>
      <c r="H48" s="2064" t="s">
        <v>1638</v>
      </c>
      <c r="I48" s="225">
        <v>74</v>
      </c>
      <c r="J48" s="160">
        <v>0</v>
      </c>
      <c r="K48" s="468"/>
      <c r="L48" s="1583">
        <v>248</v>
      </c>
      <c r="M48" s="1508">
        <v>19860000</v>
      </c>
      <c r="N48" s="1583">
        <v>243</v>
      </c>
      <c r="O48" s="1604">
        <f>VLOOKUP(N48,[6]RP!J$194:V$247,13,0)</f>
        <v>19860000</v>
      </c>
      <c r="P48" s="1993">
        <v>228</v>
      </c>
      <c r="Q48" s="449"/>
      <c r="R48" s="449"/>
      <c r="S48" s="166">
        <v>5516667</v>
      </c>
      <c r="T48" s="166">
        <f>VLOOKUP(N48,[4]Hoja2!N$66:T$128,7,0)</f>
        <v>6620000</v>
      </c>
      <c r="U48" s="166">
        <v>6620000</v>
      </c>
      <c r="V48" s="166">
        <v>1103333</v>
      </c>
      <c r="W48" s="166"/>
      <c r="X48" s="166"/>
      <c r="Y48" s="166"/>
      <c r="Z48" s="166"/>
      <c r="AA48" s="166"/>
      <c r="AB48" s="1604"/>
      <c r="AC48" s="450">
        <f t="shared" si="5"/>
        <v>19860000</v>
      </c>
      <c r="AD48" s="701">
        <f t="shared" si="6"/>
        <v>0</v>
      </c>
      <c r="AE48" s="1428"/>
      <c r="AF48" s="888">
        <v>74</v>
      </c>
      <c r="AG48" s="268" t="s">
        <v>311</v>
      </c>
      <c r="AH48" s="268" t="s">
        <v>650</v>
      </c>
      <c r="AI48" s="498">
        <f t="shared" si="2"/>
        <v>228</v>
      </c>
      <c r="AJ48" s="304">
        <f>72820000-52960000</f>
        <v>19860000</v>
      </c>
      <c r="AK48" s="871">
        <f t="shared" si="7"/>
        <v>0</v>
      </c>
      <c r="AL48" s="918"/>
      <c r="AM48" s="302">
        <f t="shared" si="3"/>
        <v>0</v>
      </c>
    </row>
    <row r="49" spans="1:39" s="8" customFormat="1">
      <c r="A49" s="82" t="s">
        <v>35</v>
      </c>
      <c r="B49" s="161">
        <f t="shared" si="4"/>
        <v>16380000</v>
      </c>
      <c r="C49" s="79" t="s">
        <v>36</v>
      </c>
      <c r="D49" s="79" t="s">
        <v>827</v>
      </c>
      <c r="E49" s="79" t="s">
        <v>37</v>
      </c>
      <c r="F49" s="79" t="s">
        <v>1648</v>
      </c>
      <c r="G49" s="79" t="s">
        <v>38</v>
      </c>
      <c r="H49" s="2064" t="s">
        <v>1638</v>
      </c>
      <c r="I49" s="225">
        <v>75</v>
      </c>
      <c r="J49" s="160">
        <v>0</v>
      </c>
      <c r="K49" s="468"/>
      <c r="L49" s="1583">
        <v>249</v>
      </c>
      <c r="M49" s="1508">
        <v>16380000</v>
      </c>
      <c r="N49" s="1583">
        <v>239</v>
      </c>
      <c r="O49" s="1604">
        <f>VLOOKUP(N49,[6]RP!J$194:V$247,13,0)</f>
        <v>16380000</v>
      </c>
      <c r="P49" s="1993">
        <v>214</v>
      </c>
      <c r="Q49" s="449"/>
      <c r="R49" s="449"/>
      <c r="S49" s="166">
        <v>4550000</v>
      </c>
      <c r="T49" s="166">
        <f>VLOOKUP(N49,[4]Hoja2!N$66:T$128,7,0)</f>
        <v>5460000</v>
      </c>
      <c r="U49" s="166">
        <v>5460000</v>
      </c>
      <c r="V49" s="166">
        <v>910000</v>
      </c>
      <c r="W49" s="166"/>
      <c r="X49" s="166"/>
      <c r="Y49" s="166"/>
      <c r="Z49" s="166"/>
      <c r="AA49" s="166"/>
      <c r="AB49" s="1604"/>
      <c r="AC49" s="450">
        <f t="shared" si="5"/>
        <v>16380000</v>
      </c>
      <c r="AD49" s="701">
        <f t="shared" si="6"/>
        <v>0</v>
      </c>
      <c r="AE49" s="1428"/>
      <c r="AF49" s="888">
        <v>75</v>
      </c>
      <c r="AG49" s="268" t="s">
        <v>312</v>
      </c>
      <c r="AH49" s="268" t="s">
        <v>649</v>
      </c>
      <c r="AI49" s="498">
        <f t="shared" si="2"/>
        <v>214</v>
      </c>
      <c r="AJ49" s="304">
        <f>60060000-43680000</f>
        <v>16380000</v>
      </c>
      <c r="AK49" s="871">
        <f t="shared" si="7"/>
        <v>0</v>
      </c>
      <c r="AL49" s="918"/>
      <c r="AM49" s="302">
        <f t="shared" si="3"/>
        <v>0</v>
      </c>
    </row>
    <row r="50" spans="1:39" s="8" customFormat="1">
      <c r="A50" s="82" t="s">
        <v>35</v>
      </c>
      <c r="B50" s="161">
        <f t="shared" si="4"/>
        <v>0</v>
      </c>
      <c r="C50" s="79" t="s">
        <v>36</v>
      </c>
      <c r="D50" s="79" t="s">
        <v>827</v>
      </c>
      <c r="E50" s="79" t="s">
        <v>37</v>
      </c>
      <c r="F50" s="79" t="s">
        <v>1648</v>
      </c>
      <c r="G50" s="79" t="s">
        <v>38</v>
      </c>
      <c r="H50" s="2064" t="s">
        <v>1638</v>
      </c>
      <c r="I50" s="225">
        <v>76</v>
      </c>
      <c r="J50" s="160">
        <v>0</v>
      </c>
      <c r="K50" s="468"/>
      <c r="L50" s="1583"/>
      <c r="M50" s="1508"/>
      <c r="N50" s="1583"/>
      <c r="O50" s="1605"/>
      <c r="P50" s="1993"/>
      <c r="Q50" s="449"/>
      <c r="R50" s="449"/>
      <c r="S50" s="166"/>
      <c r="T50" s="166"/>
      <c r="U50" s="166"/>
      <c r="V50" s="166"/>
      <c r="W50" s="166"/>
      <c r="X50" s="166"/>
      <c r="Y50" s="166"/>
      <c r="Z50" s="166"/>
      <c r="AA50" s="166"/>
      <c r="AB50" s="1604"/>
      <c r="AC50" s="450">
        <f t="shared" si="5"/>
        <v>0</v>
      </c>
      <c r="AD50" s="701">
        <f t="shared" si="6"/>
        <v>0</v>
      </c>
      <c r="AE50" s="1428"/>
      <c r="AF50" s="888">
        <v>76</v>
      </c>
      <c r="AG50" s="268" t="s">
        <v>308</v>
      </c>
      <c r="AH50" s="268" t="s">
        <v>173</v>
      </c>
      <c r="AI50" s="498">
        <f t="shared" si="2"/>
        <v>0</v>
      </c>
      <c r="AJ50" s="304">
        <f>6420000-6420000</f>
        <v>0</v>
      </c>
      <c r="AK50" s="871">
        <f t="shared" si="7"/>
        <v>0</v>
      </c>
      <c r="AL50" s="918"/>
      <c r="AM50" s="302">
        <f t="shared" si="3"/>
        <v>0</v>
      </c>
    </row>
    <row r="51" spans="1:39" s="8" customFormat="1">
      <c r="A51" s="82" t="s">
        <v>35</v>
      </c>
      <c r="B51" s="161">
        <f t="shared" si="4"/>
        <v>16080000</v>
      </c>
      <c r="C51" s="79" t="s">
        <v>36</v>
      </c>
      <c r="D51" s="79" t="s">
        <v>827</v>
      </c>
      <c r="E51" s="79" t="s">
        <v>37</v>
      </c>
      <c r="F51" s="79" t="s">
        <v>1648</v>
      </c>
      <c r="G51" s="79" t="s">
        <v>38</v>
      </c>
      <c r="H51" s="2064" t="s">
        <v>1638</v>
      </c>
      <c r="I51" s="225">
        <v>78</v>
      </c>
      <c r="J51" s="160">
        <v>0</v>
      </c>
      <c r="K51" s="468"/>
      <c r="L51" s="1583">
        <v>179</v>
      </c>
      <c r="M51" s="1508">
        <v>16080000</v>
      </c>
      <c r="N51" s="1583">
        <v>229</v>
      </c>
      <c r="O51" s="1604">
        <f>VLOOKUP(N51,[6]RP!J$194:V$247,13,0)</f>
        <v>16080000</v>
      </c>
      <c r="P51" s="1993">
        <v>174</v>
      </c>
      <c r="Q51" s="449"/>
      <c r="R51" s="449"/>
      <c r="S51" s="166">
        <v>4466667</v>
      </c>
      <c r="T51" s="166">
        <f>VLOOKUP(N51,[4]Hoja2!N$66:T$128,7,0)</f>
        <v>5360000</v>
      </c>
      <c r="U51" s="166">
        <v>5360000</v>
      </c>
      <c r="V51" s="166">
        <v>893333</v>
      </c>
      <c r="W51" s="166"/>
      <c r="X51" s="166"/>
      <c r="Y51" s="166"/>
      <c r="Z51" s="166"/>
      <c r="AA51" s="166"/>
      <c r="AB51" s="1604"/>
      <c r="AC51" s="450">
        <f t="shared" si="5"/>
        <v>16080000</v>
      </c>
      <c r="AD51" s="701">
        <f t="shared" si="6"/>
        <v>0</v>
      </c>
      <c r="AE51" s="1428"/>
      <c r="AF51" s="888">
        <v>78</v>
      </c>
      <c r="AG51" s="268" t="s">
        <v>313</v>
      </c>
      <c r="AH51" s="268" t="s">
        <v>648</v>
      </c>
      <c r="AI51" s="498">
        <f t="shared" ref="AI51:AI82" si="8">P51</f>
        <v>174</v>
      </c>
      <c r="AJ51" s="304">
        <v>16080000</v>
      </c>
      <c r="AK51" s="871">
        <f t="shared" si="7"/>
        <v>0</v>
      </c>
      <c r="AL51" s="918"/>
      <c r="AM51" s="302">
        <f t="shared" ref="AM51:AM82" si="9">AJ51-M51</f>
        <v>0</v>
      </c>
    </row>
    <row r="52" spans="1:39" s="8" customFormat="1">
      <c r="A52" s="82" t="s">
        <v>35</v>
      </c>
      <c r="B52" s="161">
        <f t="shared" si="4"/>
        <v>0</v>
      </c>
      <c r="C52" s="79" t="s">
        <v>36</v>
      </c>
      <c r="D52" s="79" t="s">
        <v>827</v>
      </c>
      <c r="E52" s="79" t="s">
        <v>37</v>
      </c>
      <c r="F52" s="79" t="s">
        <v>1648</v>
      </c>
      <c r="G52" s="79" t="s">
        <v>38</v>
      </c>
      <c r="H52" s="2064" t="s">
        <v>1638</v>
      </c>
      <c r="I52" s="225">
        <v>79</v>
      </c>
      <c r="J52" s="160">
        <v>0</v>
      </c>
      <c r="K52" s="468"/>
      <c r="L52" s="1583"/>
      <c r="M52" s="1508"/>
      <c r="N52" s="1583"/>
      <c r="O52" s="1605"/>
      <c r="P52" s="1993"/>
      <c r="Q52" s="449"/>
      <c r="R52" s="449"/>
      <c r="S52" s="166"/>
      <c r="T52" s="166"/>
      <c r="U52" s="166"/>
      <c r="V52" s="166"/>
      <c r="W52" s="166"/>
      <c r="X52" s="166"/>
      <c r="Y52" s="166"/>
      <c r="Z52" s="166"/>
      <c r="AA52" s="166"/>
      <c r="AB52" s="1604"/>
      <c r="AC52" s="450">
        <f t="shared" si="5"/>
        <v>0</v>
      </c>
      <c r="AD52" s="701">
        <f t="shared" si="6"/>
        <v>0</v>
      </c>
      <c r="AE52" s="1428"/>
      <c r="AF52" s="888">
        <v>79</v>
      </c>
      <c r="AG52" s="268" t="s">
        <v>314</v>
      </c>
      <c r="AH52" s="268" t="s">
        <v>173</v>
      </c>
      <c r="AI52" s="498">
        <f t="shared" si="8"/>
        <v>0</v>
      </c>
      <c r="AJ52" s="304">
        <f>7000000-2810000-4190000</f>
        <v>0</v>
      </c>
      <c r="AK52" s="871">
        <f t="shared" si="7"/>
        <v>0</v>
      </c>
      <c r="AL52" s="918"/>
      <c r="AM52" s="302">
        <f t="shared" si="9"/>
        <v>0</v>
      </c>
    </row>
    <row r="53" spans="1:39" s="8" customFormat="1">
      <c r="A53" s="82" t="s">
        <v>35</v>
      </c>
      <c r="B53" s="161">
        <f t="shared" si="4"/>
        <v>17880000</v>
      </c>
      <c r="C53" s="79" t="s">
        <v>36</v>
      </c>
      <c r="D53" s="79" t="s">
        <v>827</v>
      </c>
      <c r="E53" s="79" t="s">
        <v>37</v>
      </c>
      <c r="F53" s="79" t="s">
        <v>1648</v>
      </c>
      <c r="G53" s="79" t="s">
        <v>38</v>
      </c>
      <c r="H53" s="2064" t="s">
        <v>1638</v>
      </c>
      <c r="I53" s="225">
        <v>80</v>
      </c>
      <c r="J53" s="160">
        <v>0</v>
      </c>
      <c r="K53" s="468"/>
      <c r="L53" s="1583">
        <v>89</v>
      </c>
      <c r="M53" s="1508">
        <v>17880000</v>
      </c>
      <c r="N53" s="1583">
        <v>111</v>
      </c>
      <c r="O53" s="1604">
        <v>17880000</v>
      </c>
      <c r="P53" s="1993">
        <v>84</v>
      </c>
      <c r="Q53" s="449"/>
      <c r="R53" s="166">
        <v>1192000</v>
      </c>
      <c r="S53" s="166">
        <v>5960000</v>
      </c>
      <c r="T53" s="166">
        <f>VLOOKUP(N53,[4]Hoja2!N$66:T$128,7,0)</f>
        <v>5960000</v>
      </c>
      <c r="U53" s="449">
        <v>4768000</v>
      </c>
      <c r="V53" s="166"/>
      <c r="W53" s="166"/>
      <c r="X53" s="166"/>
      <c r="Y53" s="166"/>
      <c r="Z53" s="166"/>
      <c r="AA53" s="166"/>
      <c r="AB53" s="1604"/>
      <c r="AC53" s="450">
        <f t="shared" si="5"/>
        <v>17880000</v>
      </c>
      <c r="AD53" s="701">
        <f t="shared" si="6"/>
        <v>0</v>
      </c>
      <c r="AE53" s="1428"/>
      <c r="AF53" s="888">
        <v>80</v>
      </c>
      <c r="AG53" s="268" t="s">
        <v>315</v>
      </c>
      <c r="AH53" s="268" t="s">
        <v>646</v>
      </c>
      <c r="AI53" s="498">
        <f t="shared" si="8"/>
        <v>84</v>
      </c>
      <c r="AJ53" s="304">
        <f>65560000-47680000</f>
        <v>17880000</v>
      </c>
      <c r="AK53" s="871">
        <f t="shared" si="7"/>
        <v>0</v>
      </c>
      <c r="AL53" s="918"/>
      <c r="AM53" s="302">
        <f t="shared" si="9"/>
        <v>0</v>
      </c>
    </row>
    <row r="54" spans="1:39" s="8" customFormat="1">
      <c r="A54" s="82" t="s">
        <v>35</v>
      </c>
      <c r="B54" s="161">
        <f t="shared" si="4"/>
        <v>7500000</v>
      </c>
      <c r="C54" s="79" t="s">
        <v>36</v>
      </c>
      <c r="D54" s="79" t="s">
        <v>827</v>
      </c>
      <c r="E54" s="79" t="s">
        <v>37</v>
      </c>
      <c r="F54" s="79" t="s">
        <v>1648</v>
      </c>
      <c r="G54" s="79" t="s">
        <v>38</v>
      </c>
      <c r="H54" s="2064" t="s">
        <v>1638</v>
      </c>
      <c r="I54" s="225">
        <v>81</v>
      </c>
      <c r="J54" s="160">
        <v>0</v>
      </c>
      <c r="K54" s="468"/>
      <c r="L54" s="1583">
        <v>180</v>
      </c>
      <c r="M54" s="1508">
        <v>7500000</v>
      </c>
      <c r="N54" s="1583">
        <v>179</v>
      </c>
      <c r="O54" s="1604">
        <v>7500000</v>
      </c>
      <c r="P54" s="1993">
        <v>156</v>
      </c>
      <c r="Q54" s="449"/>
      <c r="R54" s="166"/>
      <c r="S54" s="166">
        <v>2583333</v>
      </c>
      <c r="T54" s="166">
        <f>VLOOKUP(N54,[4]Hoja2!N$66:T$128,7,0)</f>
        <v>2500000</v>
      </c>
      <c r="U54" s="449">
        <v>2416667</v>
      </c>
      <c r="V54" s="166"/>
      <c r="W54" s="166"/>
      <c r="X54" s="166"/>
      <c r="Y54" s="166"/>
      <c r="Z54" s="166"/>
      <c r="AA54" s="166"/>
      <c r="AB54" s="1604"/>
      <c r="AC54" s="450">
        <f t="shared" si="5"/>
        <v>7500000</v>
      </c>
      <c r="AD54" s="701">
        <f t="shared" si="6"/>
        <v>0</v>
      </c>
      <c r="AE54" s="1428"/>
      <c r="AF54" s="888">
        <v>81</v>
      </c>
      <c r="AG54" s="268" t="s">
        <v>316</v>
      </c>
      <c r="AH54" s="268" t="s">
        <v>647</v>
      </c>
      <c r="AI54" s="498">
        <f t="shared" si="8"/>
        <v>156</v>
      </c>
      <c r="AJ54" s="304">
        <f>27500000-20000000</f>
        <v>7500000</v>
      </c>
      <c r="AK54" s="871">
        <f t="shared" si="7"/>
        <v>0</v>
      </c>
      <c r="AL54" s="918"/>
      <c r="AM54" s="302">
        <f t="shared" si="9"/>
        <v>0</v>
      </c>
    </row>
    <row r="55" spans="1:39" s="8" customFormat="1">
      <c r="A55" s="82" t="s">
        <v>35</v>
      </c>
      <c r="B55" s="161">
        <f t="shared" si="4"/>
        <v>11460000</v>
      </c>
      <c r="C55" s="79" t="s">
        <v>36</v>
      </c>
      <c r="D55" s="79" t="s">
        <v>827</v>
      </c>
      <c r="E55" s="79" t="s">
        <v>37</v>
      </c>
      <c r="F55" s="79" t="s">
        <v>1648</v>
      </c>
      <c r="G55" s="79" t="s">
        <v>38</v>
      </c>
      <c r="H55" s="2064" t="s">
        <v>1638</v>
      </c>
      <c r="I55" s="225">
        <v>82</v>
      </c>
      <c r="J55" s="160">
        <v>0</v>
      </c>
      <c r="K55" s="468"/>
      <c r="L55" s="1583">
        <v>244</v>
      </c>
      <c r="M55" s="1508">
        <v>11460000</v>
      </c>
      <c r="N55" s="1583">
        <v>270</v>
      </c>
      <c r="O55" s="1604">
        <f>VLOOKUP(N55,[6]RP!J$194:V$247,13,0)</f>
        <v>11460000</v>
      </c>
      <c r="P55" s="1993">
        <v>229</v>
      </c>
      <c r="Q55" s="449"/>
      <c r="R55" s="449"/>
      <c r="S55" s="166">
        <v>2546667</v>
      </c>
      <c r="T55" s="166">
        <f>VLOOKUP(N55,[4]Hoja2!N$66:T$128,7,0)</f>
        <v>3820000</v>
      </c>
      <c r="U55" s="449">
        <v>3820000</v>
      </c>
      <c r="V55" s="166">
        <v>1273333</v>
      </c>
      <c r="W55" s="166"/>
      <c r="X55" s="166"/>
      <c r="Y55" s="166"/>
      <c r="Z55" s="166"/>
      <c r="AA55" s="166"/>
      <c r="AB55" s="1604"/>
      <c r="AC55" s="450">
        <f t="shared" si="5"/>
        <v>11460000</v>
      </c>
      <c r="AD55" s="701">
        <f t="shared" si="6"/>
        <v>0</v>
      </c>
      <c r="AE55" s="1428"/>
      <c r="AF55" s="888">
        <v>82</v>
      </c>
      <c r="AG55" s="268" t="s">
        <v>317</v>
      </c>
      <c r="AH55" s="268" t="s">
        <v>645</v>
      </c>
      <c r="AI55" s="498">
        <f t="shared" si="8"/>
        <v>229</v>
      </c>
      <c r="AJ55" s="304">
        <f>42020000-30560000</f>
        <v>11460000</v>
      </c>
      <c r="AK55" s="871">
        <f t="shared" si="7"/>
        <v>0</v>
      </c>
      <c r="AL55" s="918"/>
      <c r="AM55" s="302">
        <f t="shared" si="9"/>
        <v>0</v>
      </c>
    </row>
    <row r="56" spans="1:39" s="8" customFormat="1">
      <c r="A56" s="82" t="s">
        <v>35</v>
      </c>
      <c r="B56" s="161">
        <f>M101</f>
        <v>0</v>
      </c>
      <c r="C56" s="79" t="s">
        <v>36</v>
      </c>
      <c r="D56" s="79" t="s">
        <v>827</v>
      </c>
      <c r="E56" s="79" t="s">
        <v>37</v>
      </c>
      <c r="F56" s="79" t="s">
        <v>1648</v>
      </c>
      <c r="G56" s="79" t="s">
        <v>38</v>
      </c>
      <c r="H56" s="2067" t="s">
        <v>1638</v>
      </c>
      <c r="I56" s="2060">
        <v>84</v>
      </c>
      <c r="J56" s="1989">
        <v>852</v>
      </c>
      <c r="K56" s="1508">
        <v>600000000</v>
      </c>
      <c r="L56" s="1583">
        <v>973</v>
      </c>
      <c r="M56" s="1508">
        <v>600000000</v>
      </c>
      <c r="N56" s="1583">
        <v>1219</v>
      </c>
      <c r="O56" s="1605">
        <v>600000000</v>
      </c>
      <c r="P56" s="1993">
        <v>231</v>
      </c>
      <c r="Q56" s="449"/>
      <c r="R56" s="449"/>
      <c r="S56" s="166"/>
      <c r="T56" s="166"/>
      <c r="U56" s="166"/>
      <c r="V56" s="166"/>
      <c r="W56" s="166"/>
      <c r="X56" s="166"/>
      <c r="Y56" s="166"/>
      <c r="Z56" s="166"/>
      <c r="AA56" s="166"/>
      <c r="AB56" s="1604"/>
      <c r="AC56" s="450">
        <f t="shared" si="5"/>
        <v>0</v>
      </c>
      <c r="AD56" s="701">
        <f t="shared" si="6"/>
        <v>600000000</v>
      </c>
      <c r="AE56" s="1428"/>
      <c r="AF56" s="888">
        <v>84</v>
      </c>
      <c r="AG56" s="268" t="s">
        <v>1429</v>
      </c>
      <c r="AH56" s="268" t="s">
        <v>1615</v>
      </c>
      <c r="AI56" s="498">
        <f t="shared" si="8"/>
        <v>231</v>
      </c>
      <c r="AJ56" s="304">
        <f>2000000000-200000000-67500000-150000000-38000000-200000000-28000000-214150000-12500000-1000000000+1000000000-589850000+100000000</f>
        <v>600000000</v>
      </c>
      <c r="AK56" s="871">
        <f t="shared" si="7"/>
        <v>0</v>
      </c>
      <c r="AL56" s="918"/>
      <c r="AM56" s="302">
        <f t="shared" si="9"/>
        <v>0</v>
      </c>
    </row>
    <row r="57" spans="1:39" s="8" customFormat="1">
      <c r="A57" s="82" t="s">
        <v>35</v>
      </c>
      <c r="B57" s="161">
        <f t="shared" si="4"/>
        <v>14470714</v>
      </c>
      <c r="C57" s="79" t="s">
        <v>36</v>
      </c>
      <c r="D57" s="79" t="s">
        <v>827</v>
      </c>
      <c r="E57" s="79" t="s">
        <v>37</v>
      </c>
      <c r="F57" s="79" t="s">
        <v>1648</v>
      </c>
      <c r="G57" s="79" t="s">
        <v>38</v>
      </c>
      <c r="H57" s="2064" t="s">
        <v>1638</v>
      </c>
      <c r="I57" s="225">
        <v>89</v>
      </c>
      <c r="J57" s="160">
        <v>0</v>
      </c>
      <c r="K57" s="468"/>
      <c r="L57" s="1583">
        <v>294</v>
      </c>
      <c r="M57" s="1508">
        <f>17698331-3227617</f>
        <v>14470714</v>
      </c>
      <c r="N57" s="1583">
        <v>355</v>
      </c>
      <c r="O57" s="1605">
        <v>14470714</v>
      </c>
      <c r="P57" s="1993">
        <v>286</v>
      </c>
      <c r="Q57" s="449"/>
      <c r="R57" s="449"/>
      <c r="S57" s="166"/>
      <c r="T57" s="166"/>
      <c r="U57" s="166"/>
      <c r="V57" s="166"/>
      <c r="W57" s="166"/>
      <c r="X57" s="166"/>
      <c r="Y57" s="166"/>
      <c r="Z57" s="166"/>
      <c r="AA57" s="166"/>
      <c r="AB57" s="1604">
        <v>1062275</v>
      </c>
      <c r="AC57" s="450">
        <f t="shared" si="5"/>
        <v>1062275</v>
      </c>
      <c r="AD57" s="701">
        <f t="shared" si="6"/>
        <v>13408439</v>
      </c>
      <c r="AE57" s="1428"/>
      <c r="AF57" s="888">
        <v>89</v>
      </c>
      <c r="AG57" s="268" t="s">
        <v>319</v>
      </c>
      <c r="AH57" s="268" t="s">
        <v>789</v>
      </c>
      <c r="AI57" s="498">
        <f t="shared" si="8"/>
        <v>286</v>
      </c>
      <c r="AJ57" s="304">
        <f>25000000-10529286</f>
        <v>14470714</v>
      </c>
      <c r="AK57" s="871">
        <f t="shared" ref="AK57:AK88" si="10">AJ57-O57</f>
        <v>0</v>
      </c>
      <c r="AL57" s="918"/>
      <c r="AM57" s="302">
        <f t="shared" si="9"/>
        <v>0</v>
      </c>
    </row>
    <row r="58" spans="1:39" s="8" customFormat="1">
      <c r="A58" s="82" t="s">
        <v>35</v>
      </c>
      <c r="B58" s="161">
        <f t="shared" si="4"/>
        <v>5788286</v>
      </c>
      <c r="C58" s="79" t="s">
        <v>36</v>
      </c>
      <c r="D58" s="79" t="s">
        <v>827</v>
      </c>
      <c r="E58" s="79" t="s">
        <v>37</v>
      </c>
      <c r="F58" s="79" t="s">
        <v>1648</v>
      </c>
      <c r="G58" s="79" t="s">
        <v>38</v>
      </c>
      <c r="H58" s="2064" t="s">
        <v>1638</v>
      </c>
      <c r="I58" s="225">
        <v>101</v>
      </c>
      <c r="J58" s="160">
        <v>0</v>
      </c>
      <c r="K58" s="468"/>
      <c r="L58" s="1583">
        <v>293</v>
      </c>
      <c r="M58" s="1508">
        <f>7079333-1291047</f>
        <v>5788286</v>
      </c>
      <c r="N58" s="1583">
        <v>354</v>
      </c>
      <c r="O58" s="1605">
        <v>5788286</v>
      </c>
      <c r="P58" s="1993">
        <v>286</v>
      </c>
      <c r="Q58" s="449"/>
      <c r="R58" s="449"/>
      <c r="S58" s="166"/>
      <c r="T58" s="166"/>
      <c r="U58" s="166"/>
      <c r="V58" s="166"/>
      <c r="W58" s="166"/>
      <c r="X58" s="166"/>
      <c r="Y58" s="166"/>
      <c r="Z58" s="166"/>
      <c r="AA58" s="166"/>
      <c r="AB58" s="1604"/>
      <c r="AC58" s="450">
        <f t="shared" si="5"/>
        <v>0</v>
      </c>
      <c r="AD58" s="701">
        <f t="shared" si="6"/>
        <v>5788286</v>
      </c>
      <c r="AE58" s="1428"/>
      <c r="AF58" s="888">
        <v>101</v>
      </c>
      <c r="AG58" s="268" t="s">
        <v>319</v>
      </c>
      <c r="AH58" s="268" t="s">
        <v>789</v>
      </c>
      <c r="AI58" s="498">
        <f t="shared" si="8"/>
        <v>286</v>
      </c>
      <c r="AJ58" s="304">
        <f>10000000-4211714</f>
        <v>5788286</v>
      </c>
      <c r="AK58" s="871">
        <f t="shared" si="10"/>
        <v>0</v>
      </c>
      <c r="AL58" s="918"/>
      <c r="AM58" s="302">
        <f t="shared" si="9"/>
        <v>0</v>
      </c>
    </row>
    <row r="59" spans="1:39" s="8" customFormat="1">
      <c r="A59" s="82" t="s">
        <v>35</v>
      </c>
      <c r="B59" s="161">
        <f t="shared" si="4"/>
        <v>8160000</v>
      </c>
      <c r="C59" s="79" t="s">
        <v>36</v>
      </c>
      <c r="D59" s="79" t="s">
        <v>827</v>
      </c>
      <c r="E59" s="79" t="s">
        <v>37</v>
      </c>
      <c r="F59" s="79" t="s">
        <v>1648</v>
      </c>
      <c r="G59" s="79" t="s">
        <v>38</v>
      </c>
      <c r="H59" s="2064" t="s">
        <v>1638</v>
      </c>
      <c r="I59" s="225">
        <v>95</v>
      </c>
      <c r="J59" s="160">
        <v>0</v>
      </c>
      <c r="K59" s="468"/>
      <c r="L59" s="1583">
        <v>160</v>
      </c>
      <c r="M59" s="1508">
        <v>8160000</v>
      </c>
      <c r="N59" s="1583">
        <v>189</v>
      </c>
      <c r="O59" s="1604">
        <v>8160000</v>
      </c>
      <c r="P59" s="1993">
        <v>153</v>
      </c>
      <c r="Q59" s="449"/>
      <c r="R59" s="166"/>
      <c r="S59" s="166">
        <v>2720000</v>
      </c>
      <c r="T59" s="166">
        <f>VLOOKUP(N59,[4]Hoja2!N$66:T$128,7,0)</f>
        <v>2720000</v>
      </c>
      <c r="U59" s="166">
        <v>2720000</v>
      </c>
      <c r="V59" s="166"/>
      <c r="W59" s="166"/>
      <c r="X59" s="166"/>
      <c r="Y59" s="166"/>
      <c r="Z59" s="166"/>
      <c r="AA59" s="166"/>
      <c r="AB59" s="1604"/>
      <c r="AC59" s="450">
        <f t="shared" si="5"/>
        <v>8160000</v>
      </c>
      <c r="AD59" s="701">
        <f t="shared" si="6"/>
        <v>0</v>
      </c>
      <c r="AE59" s="1428"/>
      <c r="AF59" s="888">
        <v>95</v>
      </c>
      <c r="AG59" s="268" t="s">
        <v>320</v>
      </c>
      <c r="AH59" s="268" t="str">
        <f>VLOOKUP(N59,[5]Hoja2!J$141:N$168,5,0)</f>
        <v>HECTOR CAMILO GOMEZ CAMARGO</v>
      </c>
      <c r="AI59" s="498">
        <f t="shared" si="8"/>
        <v>153</v>
      </c>
      <c r="AJ59" s="304">
        <f>22400000-14240000</f>
        <v>8160000</v>
      </c>
      <c r="AK59" s="871">
        <f t="shared" si="10"/>
        <v>0</v>
      </c>
      <c r="AL59" s="918"/>
      <c r="AM59" s="302">
        <f t="shared" si="9"/>
        <v>0</v>
      </c>
    </row>
    <row r="60" spans="1:39" s="8" customFormat="1">
      <c r="A60" s="82" t="s">
        <v>35</v>
      </c>
      <c r="B60" s="161">
        <f t="shared" si="4"/>
        <v>12000000</v>
      </c>
      <c r="C60" s="79" t="s">
        <v>36</v>
      </c>
      <c r="D60" s="79" t="s">
        <v>827</v>
      </c>
      <c r="E60" s="79" t="s">
        <v>37</v>
      </c>
      <c r="F60" s="79" t="s">
        <v>1648</v>
      </c>
      <c r="G60" s="79" t="s">
        <v>38</v>
      </c>
      <c r="H60" s="2064" t="s">
        <v>1638</v>
      </c>
      <c r="I60" s="225">
        <v>96</v>
      </c>
      <c r="J60" s="160">
        <v>0</v>
      </c>
      <c r="K60" s="468"/>
      <c r="L60" s="1583">
        <v>359</v>
      </c>
      <c r="M60" s="1508">
        <v>12000000</v>
      </c>
      <c r="N60" s="1583">
        <v>402</v>
      </c>
      <c r="O60" s="1605">
        <v>12000000</v>
      </c>
      <c r="P60" s="1993">
        <v>306</v>
      </c>
      <c r="Q60" s="449"/>
      <c r="R60" s="449"/>
      <c r="S60" s="166"/>
      <c r="T60" s="166"/>
      <c r="U60" s="166"/>
      <c r="V60" s="166"/>
      <c r="W60" s="166"/>
      <c r="X60" s="166">
        <f>6600000+5400000</f>
        <v>12000000</v>
      </c>
      <c r="Y60" s="166"/>
      <c r="Z60" s="166"/>
      <c r="AA60" s="166"/>
      <c r="AB60" s="1604"/>
      <c r="AC60" s="450">
        <f t="shared" si="5"/>
        <v>12000000</v>
      </c>
      <c r="AD60" s="701">
        <f t="shared" si="6"/>
        <v>0</v>
      </c>
      <c r="AE60" s="1428"/>
      <c r="AF60" s="888">
        <v>96</v>
      </c>
      <c r="AG60" s="268" t="s">
        <v>756</v>
      </c>
      <c r="AH60" s="268" t="s">
        <v>819</v>
      </c>
      <c r="AI60" s="498">
        <f t="shared" si="8"/>
        <v>306</v>
      </c>
      <c r="AJ60" s="304">
        <f>8000000+4000000</f>
        <v>12000000</v>
      </c>
      <c r="AK60" s="871">
        <f t="shared" si="10"/>
        <v>0</v>
      </c>
      <c r="AL60" s="918"/>
      <c r="AM60" s="302">
        <f t="shared" si="9"/>
        <v>0</v>
      </c>
    </row>
    <row r="61" spans="1:39" s="8" customFormat="1">
      <c r="A61" s="82" t="s">
        <v>35</v>
      </c>
      <c r="B61" s="161">
        <f t="shared" si="4"/>
        <v>17880000</v>
      </c>
      <c r="C61" s="79" t="s">
        <v>36</v>
      </c>
      <c r="D61" s="79" t="s">
        <v>827</v>
      </c>
      <c r="E61" s="79" t="s">
        <v>37</v>
      </c>
      <c r="F61" s="79" t="s">
        <v>1648</v>
      </c>
      <c r="G61" s="79" t="s">
        <v>38</v>
      </c>
      <c r="H61" s="2064" t="s">
        <v>1638</v>
      </c>
      <c r="I61" s="225">
        <v>97</v>
      </c>
      <c r="J61" s="160">
        <v>0</v>
      </c>
      <c r="K61" s="468"/>
      <c r="L61" s="1583">
        <v>173</v>
      </c>
      <c r="M61" s="1508">
        <v>17880000</v>
      </c>
      <c r="N61" s="1583">
        <v>170</v>
      </c>
      <c r="O61" s="1604">
        <v>17880000</v>
      </c>
      <c r="P61" s="1993">
        <v>149</v>
      </c>
      <c r="Q61" s="449"/>
      <c r="R61" s="166"/>
      <c r="S61" s="166">
        <v>6158667</v>
      </c>
      <c r="T61" s="166">
        <f>VLOOKUP(N61,[4]Hoja2!N$66:T$128,7,0)</f>
        <v>5960000</v>
      </c>
      <c r="U61" s="166">
        <v>5761333</v>
      </c>
      <c r="V61" s="166"/>
      <c r="W61" s="166"/>
      <c r="X61" s="166"/>
      <c r="Y61" s="166"/>
      <c r="Z61" s="166"/>
      <c r="AA61" s="166"/>
      <c r="AB61" s="1604"/>
      <c r="AC61" s="450">
        <f t="shared" si="5"/>
        <v>17880000</v>
      </c>
      <c r="AD61" s="701">
        <f t="shared" si="6"/>
        <v>0</v>
      </c>
      <c r="AE61" s="1428"/>
      <c r="AF61" s="888">
        <v>97</v>
      </c>
      <c r="AG61" s="268" t="s">
        <v>321</v>
      </c>
      <c r="AH61" s="268" t="str">
        <f>VLOOKUP(N61,[5]Hoja2!J$141:N$168,5,0)</f>
        <v>SANDRA ESTER MENDOZA LAFAURIE</v>
      </c>
      <c r="AI61" s="498">
        <f t="shared" si="8"/>
        <v>149</v>
      </c>
      <c r="AJ61" s="304">
        <v>17880000</v>
      </c>
      <c r="AK61" s="871">
        <f t="shared" si="10"/>
        <v>0</v>
      </c>
      <c r="AL61" s="918"/>
      <c r="AM61" s="302">
        <f t="shared" si="9"/>
        <v>0</v>
      </c>
    </row>
    <row r="62" spans="1:39" s="8" customFormat="1">
      <c r="A62" s="82" t="s">
        <v>35</v>
      </c>
      <c r="B62" s="161">
        <f t="shared" si="4"/>
        <v>5905000</v>
      </c>
      <c r="C62" s="79" t="s">
        <v>36</v>
      </c>
      <c r="D62" s="79" t="s">
        <v>827</v>
      </c>
      <c r="E62" s="79" t="s">
        <v>37</v>
      </c>
      <c r="F62" s="79" t="s">
        <v>1648</v>
      </c>
      <c r="G62" s="79" t="s">
        <v>38</v>
      </c>
      <c r="H62" s="2064" t="s">
        <v>1638</v>
      </c>
      <c r="I62" s="225">
        <v>98</v>
      </c>
      <c r="J62" s="160">
        <v>0</v>
      </c>
      <c r="K62" s="468"/>
      <c r="L62" s="1583">
        <v>491</v>
      </c>
      <c r="M62" s="1508">
        <f>12355770-6450770</f>
        <v>5905000</v>
      </c>
      <c r="N62" s="1583">
        <v>593</v>
      </c>
      <c r="O62" s="1605">
        <v>5905000</v>
      </c>
      <c r="P62" s="1993">
        <v>374</v>
      </c>
      <c r="Q62" s="449"/>
      <c r="R62" s="449"/>
      <c r="S62" s="449"/>
      <c r="T62" s="166"/>
      <c r="U62" s="166"/>
      <c r="V62" s="166"/>
      <c r="W62" s="166">
        <v>5905000</v>
      </c>
      <c r="X62" s="166"/>
      <c r="Y62" s="166"/>
      <c r="Z62" s="166"/>
      <c r="AA62" s="166"/>
      <c r="AB62" s="1604"/>
      <c r="AC62" s="450">
        <f t="shared" si="5"/>
        <v>5905000</v>
      </c>
      <c r="AD62" s="701">
        <f t="shared" si="6"/>
        <v>0</v>
      </c>
      <c r="AE62" s="1428"/>
      <c r="AF62" s="888">
        <v>98</v>
      </c>
      <c r="AG62" s="268" t="s">
        <v>889</v>
      </c>
      <c r="AH62" s="268" t="s">
        <v>1077</v>
      </c>
      <c r="AI62" s="498">
        <f t="shared" si="8"/>
        <v>374</v>
      </c>
      <c r="AJ62" s="304">
        <f>40000000-17000000-17095000</f>
        <v>5905000</v>
      </c>
      <c r="AK62" s="871">
        <f t="shared" si="10"/>
        <v>0</v>
      </c>
      <c r="AL62" s="918"/>
      <c r="AM62" s="302">
        <f t="shared" si="9"/>
        <v>0</v>
      </c>
    </row>
    <row r="63" spans="1:39" s="8" customFormat="1">
      <c r="A63" s="82" t="s">
        <v>35</v>
      </c>
      <c r="B63" s="161">
        <f t="shared" si="4"/>
        <v>8000000</v>
      </c>
      <c r="C63" s="79" t="s">
        <v>36</v>
      </c>
      <c r="D63" s="79" t="s">
        <v>827</v>
      </c>
      <c r="E63" s="79" t="s">
        <v>37</v>
      </c>
      <c r="F63" s="79" t="s">
        <v>1648</v>
      </c>
      <c r="G63" s="79" t="s">
        <v>38</v>
      </c>
      <c r="H63" s="2064" t="s">
        <v>1638</v>
      </c>
      <c r="I63" s="225">
        <v>105</v>
      </c>
      <c r="J63" s="160">
        <v>0</v>
      </c>
      <c r="K63" s="468"/>
      <c r="L63" s="1583">
        <v>517</v>
      </c>
      <c r="M63" s="1508">
        <v>8000000</v>
      </c>
      <c r="N63" s="1583">
        <v>699</v>
      </c>
      <c r="O63" s="1605">
        <v>8000000</v>
      </c>
      <c r="P63" s="1993">
        <v>416</v>
      </c>
      <c r="Q63" s="449"/>
      <c r="R63" s="449"/>
      <c r="S63" s="449"/>
      <c r="T63" s="166"/>
      <c r="U63" s="166"/>
      <c r="V63" s="166"/>
      <c r="W63" s="166"/>
      <c r="X63" s="166"/>
      <c r="Y63" s="166">
        <v>580000</v>
      </c>
      <c r="Z63" s="166">
        <v>870000</v>
      </c>
      <c r="AA63" s="166">
        <v>230000</v>
      </c>
      <c r="AB63" s="1604">
        <v>1400000</v>
      </c>
      <c r="AC63" s="450">
        <f t="shared" si="5"/>
        <v>3080000</v>
      </c>
      <c r="AD63" s="701">
        <f t="shared" si="6"/>
        <v>4920000</v>
      </c>
      <c r="AE63" s="1428"/>
      <c r="AF63" s="888">
        <v>105</v>
      </c>
      <c r="AG63" s="268" t="s">
        <v>970</v>
      </c>
      <c r="AH63" s="268" t="s">
        <v>1020</v>
      </c>
      <c r="AI63" s="498">
        <f t="shared" si="8"/>
        <v>416</v>
      </c>
      <c r="AJ63" s="304">
        <v>8000000</v>
      </c>
      <c r="AK63" s="871">
        <f t="shared" si="10"/>
        <v>0</v>
      </c>
      <c r="AL63" s="918"/>
      <c r="AM63" s="302">
        <f t="shared" si="9"/>
        <v>0</v>
      </c>
    </row>
    <row r="64" spans="1:39" s="8" customFormat="1">
      <c r="A64" s="82" t="s">
        <v>35</v>
      </c>
      <c r="B64" s="161">
        <f t="shared" si="4"/>
        <v>0</v>
      </c>
      <c r="C64" s="79" t="s">
        <v>36</v>
      </c>
      <c r="D64" s="79" t="s">
        <v>827</v>
      </c>
      <c r="E64" s="79" t="s">
        <v>37</v>
      </c>
      <c r="F64" s="79" t="s">
        <v>1648</v>
      </c>
      <c r="G64" s="79" t="s">
        <v>38</v>
      </c>
      <c r="H64" s="2064" t="s">
        <v>1638</v>
      </c>
      <c r="I64" s="225">
        <v>106</v>
      </c>
      <c r="J64" s="160">
        <v>0</v>
      </c>
      <c r="K64" s="468"/>
      <c r="L64" s="1583">
        <v>552</v>
      </c>
      <c r="M64" s="1508">
        <f>47562613-47562613</f>
        <v>0</v>
      </c>
      <c r="N64" s="1583"/>
      <c r="O64" s="1605"/>
      <c r="P64" s="1993"/>
      <c r="Q64" s="449"/>
      <c r="R64" s="449"/>
      <c r="S64" s="449"/>
      <c r="T64" s="166"/>
      <c r="U64" s="166"/>
      <c r="V64" s="166"/>
      <c r="W64" s="166"/>
      <c r="X64" s="166"/>
      <c r="Y64" s="166"/>
      <c r="Z64" s="166"/>
      <c r="AA64" s="166"/>
      <c r="AB64" s="1604"/>
      <c r="AC64" s="450">
        <f t="shared" si="5"/>
        <v>0</v>
      </c>
      <c r="AD64" s="701">
        <f t="shared" si="6"/>
        <v>0</v>
      </c>
      <c r="AE64" s="1428"/>
      <c r="AF64" s="888">
        <v>106</v>
      </c>
      <c r="AG64" s="268" t="s">
        <v>322</v>
      </c>
      <c r="AH64" s="268" t="s">
        <v>173</v>
      </c>
      <c r="AI64" s="498">
        <f t="shared" si="8"/>
        <v>0</v>
      </c>
      <c r="AJ64" s="304">
        <f>40000000+7562613-47562613</f>
        <v>0</v>
      </c>
      <c r="AK64" s="871">
        <f t="shared" si="10"/>
        <v>0</v>
      </c>
      <c r="AL64" s="918"/>
      <c r="AM64" s="302">
        <f t="shared" si="9"/>
        <v>0</v>
      </c>
    </row>
    <row r="65" spans="1:39" s="8" customFormat="1">
      <c r="A65" s="82" t="s">
        <v>35</v>
      </c>
      <c r="B65" s="161">
        <f t="shared" si="4"/>
        <v>24501893</v>
      </c>
      <c r="C65" s="79" t="s">
        <v>36</v>
      </c>
      <c r="D65" s="79" t="s">
        <v>827</v>
      </c>
      <c r="E65" s="79" t="s">
        <v>37</v>
      </c>
      <c r="F65" s="79" t="s">
        <v>1648</v>
      </c>
      <c r="G65" s="79" t="s">
        <v>38</v>
      </c>
      <c r="H65" s="2064" t="s">
        <v>1638</v>
      </c>
      <c r="I65" s="225">
        <v>107</v>
      </c>
      <c r="J65" s="160">
        <v>0</v>
      </c>
      <c r="K65" s="468"/>
      <c r="L65" s="1583">
        <v>334</v>
      </c>
      <c r="M65" s="1508">
        <f>26495645-1993752</f>
        <v>24501893</v>
      </c>
      <c r="N65" s="1583">
        <v>457</v>
      </c>
      <c r="O65" s="1605">
        <v>24501893</v>
      </c>
      <c r="P65" s="1993">
        <v>323</v>
      </c>
      <c r="Q65" s="449"/>
      <c r="R65" s="449"/>
      <c r="S65" s="449"/>
      <c r="T65" s="166"/>
      <c r="U65" s="166"/>
      <c r="V65" s="166"/>
      <c r="W65" s="166"/>
      <c r="X65" s="166"/>
      <c r="Y65" s="166"/>
      <c r="Z65" s="166"/>
      <c r="AA65" s="166"/>
      <c r="AB65" s="1604">
        <v>24201893</v>
      </c>
      <c r="AC65" s="450">
        <f t="shared" si="5"/>
        <v>24201893</v>
      </c>
      <c r="AD65" s="701">
        <f t="shared" si="6"/>
        <v>300000</v>
      </c>
      <c r="AE65" s="1428"/>
      <c r="AF65" s="888">
        <v>107</v>
      </c>
      <c r="AG65" s="268" t="s">
        <v>323</v>
      </c>
      <c r="AH65" s="268" t="s">
        <v>934</v>
      </c>
      <c r="AI65" s="498">
        <f t="shared" si="8"/>
        <v>323</v>
      </c>
      <c r="AJ65" s="304">
        <v>26495645</v>
      </c>
      <c r="AK65" s="871">
        <f t="shared" si="10"/>
        <v>1993752</v>
      </c>
      <c r="AL65" s="918"/>
      <c r="AM65" s="302">
        <f t="shared" si="9"/>
        <v>1993752</v>
      </c>
    </row>
    <row r="66" spans="1:39" s="8" customFormat="1">
      <c r="A66" s="82" t="s">
        <v>35</v>
      </c>
      <c r="B66" s="161">
        <f t="shared" si="4"/>
        <v>17236862</v>
      </c>
      <c r="C66" s="79" t="s">
        <v>36</v>
      </c>
      <c r="D66" s="79" t="s">
        <v>827</v>
      </c>
      <c r="E66" s="79" t="s">
        <v>37</v>
      </c>
      <c r="F66" s="79" t="s">
        <v>1648</v>
      </c>
      <c r="G66" s="79" t="s">
        <v>38</v>
      </c>
      <c r="H66" s="2064" t="s">
        <v>1638</v>
      </c>
      <c r="I66" s="225" t="s">
        <v>325</v>
      </c>
      <c r="J66" s="160">
        <v>595</v>
      </c>
      <c r="K66" s="468">
        <v>17236862</v>
      </c>
      <c r="L66" s="1583">
        <v>676</v>
      </c>
      <c r="M66" s="1562">
        <v>17236862</v>
      </c>
      <c r="N66" s="1583">
        <v>922</v>
      </c>
      <c r="O66" s="1562">
        <v>17236862</v>
      </c>
      <c r="P66" s="1993">
        <v>323</v>
      </c>
      <c r="Q66" s="449"/>
      <c r="R66" s="449"/>
      <c r="S66" s="449"/>
      <c r="T66" s="166"/>
      <c r="U66" s="166"/>
      <c r="V66" s="166"/>
      <c r="W66" s="166"/>
      <c r="X66" s="166"/>
      <c r="Y66" s="166"/>
      <c r="Z66" s="166"/>
      <c r="AA66" s="166"/>
      <c r="AB66" s="1604">
        <v>3068889</v>
      </c>
      <c r="AC66" s="450">
        <f t="shared" si="5"/>
        <v>3068889</v>
      </c>
      <c r="AD66" s="701">
        <f t="shared" si="6"/>
        <v>14167973</v>
      </c>
      <c r="AE66" s="1428"/>
      <c r="AF66" s="888" t="s">
        <v>325</v>
      </c>
      <c r="AG66" s="268" t="s">
        <v>1168</v>
      </c>
      <c r="AH66" s="268" t="s">
        <v>934</v>
      </c>
      <c r="AI66" s="498">
        <f t="shared" si="8"/>
        <v>323</v>
      </c>
      <c r="AJ66" s="304">
        <v>17236862</v>
      </c>
      <c r="AK66" s="871">
        <f t="shared" si="10"/>
        <v>0</v>
      </c>
      <c r="AL66" s="918"/>
      <c r="AM66" s="302">
        <f t="shared" si="9"/>
        <v>0</v>
      </c>
    </row>
    <row r="67" spans="1:39" s="8" customFormat="1">
      <c r="A67" s="82" t="s">
        <v>35</v>
      </c>
      <c r="B67" s="161">
        <f t="shared" si="4"/>
        <v>0</v>
      </c>
      <c r="C67" s="79" t="s">
        <v>36</v>
      </c>
      <c r="D67" s="79" t="s">
        <v>827</v>
      </c>
      <c r="E67" s="79" t="s">
        <v>37</v>
      </c>
      <c r="F67" s="79" t="s">
        <v>1648</v>
      </c>
      <c r="G67" s="79" t="s">
        <v>38</v>
      </c>
      <c r="H67" s="2064" t="s">
        <v>1638</v>
      </c>
      <c r="I67" s="225" t="s">
        <v>325</v>
      </c>
      <c r="J67" s="160">
        <v>851</v>
      </c>
      <c r="K67" s="468">
        <v>36000000</v>
      </c>
      <c r="L67" s="1583">
        <v>972</v>
      </c>
      <c r="M67" s="1923">
        <f>36000000-36000000</f>
        <v>0</v>
      </c>
      <c r="N67" s="1583"/>
      <c r="O67" s="1923"/>
      <c r="P67" s="1993">
        <v>323</v>
      </c>
      <c r="Q67" s="449"/>
      <c r="R67" s="449"/>
      <c r="S67" s="449"/>
      <c r="T67" s="166"/>
      <c r="U67" s="166"/>
      <c r="V67" s="166"/>
      <c r="W67" s="166"/>
      <c r="X67" s="166"/>
      <c r="Y67" s="166"/>
      <c r="Z67" s="166"/>
      <c r="AA67" s="166"/>
      <c r="AB67" s="1604"/>
      <c r="AC67" s="450">
        <f t="shared" si="5"/>
        <v>0</v>
      </c>
      <c r="AD67" s="701">
        <f t="shared" si="6"/>
        <v>0</v>
      </c>
      <c r="AE67" s="1428"/>
      <c r="AF67" s="888" t="s">
        <v>325</v>
      </c>
      <c r="AG67" s="268" t="s">
        <v>1168</v>
      </c>
      <c r="AH67" s="268" t="s">
        <v>934</v>
      </c>
      <c r="AI67" s="498">
        <f t="shared" si="8"/>
        <v>323</v>
      </c>
      <c r="AJ67" s="304">
        <v>36000000</v>
      </c>
      <c r="AK67" s="871">
        <f t="shared" si="10"/>
        <v>36000000</v>
      </c>
      <c r="AL67" s="918"/>
      <c r="AM67" s="302">
        <f t="shared" si="9"/>
        <v>36000000</v>
      </c>
    </row>
    <row r="68" spans="1:39" s="8" customFormat="1">
      <c r="A68" s="82" t="s">
        <v>35</v>
      </c>
      <c r="B68" s="161">
        <f t="shared" si="4"/>
        <v>0</v>
      </c>
      <c r="C68" s="79" t="s">
        <v>36</v>
      </c>
      <c r="D68" s="79" t="s">
        <v>827</v>
      </c>
      <c r="E68" s="79" t="s">
        <v>37</v>
      </c>
      <c r="F68" s="79" t="s">
        <v>1648</v>
      </c>
      <c r="G68" s="79" t="s">
        <v>38</v>
      </c>
      <c r="H68" s="2064" t="s">
        <v>1638</v>
      </c>
      <c r="I68" s="225" t="s">
        <v>173</v>
      </c>
      <c r="J68" s="160"/>
      <c r="K68" s="468"/>
      <c r="L68" s="1583"/>
      <c r="M68" s="1508"/>
      <c r="N68" s="1583"/>
      <c r="O68" s="1605"/>
      <c r="P68" s="1993"/>
      <c r="Q68" s="449"/>
      <c r="R68" s="449"/>
      <c r="S68" s="449"/>
      <c r="T68" s="166"/>
      <c r="U68" s="166"/>
      <c r="V68" s="166"/>
      <c r="W68" s="166"/>
      <c r="X68" s="166"/>
      <c r="Y68" s="166"/>
      <c r="Z68" s="166"/>
      <c r="AA68" s="166"/>
      <c r="AB68" s="1604"/>
      <c r="AC68" s="450">
        <f t="shared" si="5"/>
        <v>0</v>
      </c>
      <c r="AD68" s="701">
        <f t="shared" si="6"/>
        <v>0</v>
      </c>
      <c r="AE68" s="1428"/>
      <c r="AF68" s="888" t="s">
        <v>325</v>
      </c>
      <c r="AG68" s="268" t="s">
        <v>1102</v>
      </c>
      <c r="AH68" s="268"/>
      <c r="AI68" s="498">
        <f t="shared" si="8"/>
        <v>0</v>
      </c>
      <c r="AJ68" s="304">
        <v>0</v>
      </c>
      <c r="AK68" s="871">
        <f t="shared" si="10"/>
        <v>0</v>
      </c>
      <c r="AL68" s="918"/>
      <c r="AM68" s="302">
        <f t="shared" si="9"/>
        <v>0</v>
      </c>
    </row>
    <row r="69" spans="1:39" s="8" customFormat="1">
      <c r="A69" s="82" t="s">
        <v>35</v>
      </c>
      <c r="B69" s="161">
        <f t="shared" si="4"/>
        <v>0</v>
      </c>
      <c r="C69" s="79" t="s">
        <v>36</v>
      </c>
      <c r="D69" s="79" t="s">
        <v>827</v>
      </c>
      <c r="E69" s="79" t="s">
        <v>37</v>
      </c>
      <c r="F69" s="79" t="s">
        <v>1648</v>
      </c>
      <c r="G69" s="79" t="s">
        <v>38</v>
      </c>
      <c r="H69" s="2064" t="s">
        <v>1638</v>
      </c>
      <c r="I69" s="225">
        <v>112</v>
      </c>
      <c r="J69" s="160">
        <v>0</v>
      </c>
      <c r="K69" s="468"/>
      <c r="L69" s="1583"/>
      <c r="M69" s="1508"/>
      <c r="N69" s="1583"/>
      <c r="O69" s="1605"/>
      <c r="P69" s="1993"/>
      <c r="Q69" s="449"/>
      <c r="R69" s="449"/>
      <c r="S69" s="449"/>
      <c r="T69" s="166"/>
      <c r="U69" s="166"/>
      <c r="V69" s="166"/>
      <c r="W69" s="166"/>
      <c r="X69" s="166"/>
      <c r="Y69" s="166"/>
      <c r="Z69" s="166"/>
      <c r="AA69" s="166"/>
      <c r="AB69" s="1604"/>
      <c r="AC69" s="450">
        <f t="shared" si="5"/>
        <v>0</v>
      </c>
      <c r="AD69" s="701">
        <f t="shared" si="6"/>
        <v>0</v>
      </c>
      <c r="AE69" s="1428"/>
      <c r="AF69" s="888">
        <v>112</v>
      </c>
      <c r="AG69" s="268" t="s">
        <v>324</v>
      </c>
      <c r="AH69" s="268" t="s">
        <v>173</v>
      </c>
      <c r="AI69" s="498">
        <f t="shared" si="8"/>
        <v>0</v>
      </c>
      <c r="AJ69" s="304">
        <f>9000000-9000000</f>
        <v>0</v>
      </c>
      <c r="AK69" s="871">
        <f t="shared" si="10"/>
        <v>0</v>
      </c>
      <c r="AL69" s="918"/>
      <c r="AM69" s="302">
        <f t="shared" si="9"/>
        <v>0</v>
      </c>
    </row>
    <row r="70" spans="1:39" s="8" customFormat="1">
      <c r="A70" s="82" t="s">
        <v>35</v>
      </c>
      <c r="B70" s="161">
        <f t="shared" si="4"/>
        <v>5000000</v>
      </c>
      <c r="C70" s="79" t="s">
        <v>36</v>
      </c>
      <c r="D70" s="79" t="s">
        <v>827</v>
      </c>
      <c r="E70" s="79" t="s">
        <v>37</v>
      </c>
      <c r="F70" s="79" t="s">
        <v>1648</v>
      </c>
      <c r="G70" s="79" t="s">
        <v>38</v>
      </c>
      <c r="H70" s="2064" t="s">
        <v>1638</v>
      </c>
      <c r="I70" s="979">
        <v>442</v>
      </c>
      <c r="J70" s="160">
        <v>0</v>
      </c>
      <c r="K70" s="468"/>
      <c r="L70" s="1583">
        <v>389</v>
      </c>
      <c r="M70" s="1508">
        <v>5000000</v>
      </c>
      <c r="N70" s="1583">
        <v>409</v>
      </c>
      <c r="O70" s="1605">
        <v>5000000</v>
      </c>
      <c r="P70" s="1993">
        <v>309</v>
      </c>
      <c r="Q70" s="449"/>
      <c r="R70" s="449"/>
      <c r="S70" s="449"/>
      <c r="T70" s="166"/>
      <c r="U70" s="166"/>
      <c r="V70" s="166"/>
      <c r="W70" s="166"/>
      <c r="X70" s="166"/>
      <c r="Y70" s="166">
        <v>511642</v>
      </c>
      <c r="Z70" s="166"/>
      <c r="AA70" s="166"/>
      <c r="AB70" s="1604">
        <v>740876</v>
      </c>
      <c r="AC70" s="450">
        <f t="shared" si="5"/>
        <v>1252518</v>
      </c>
      <c r="AD70" s="701">
        <f t="shared" si="6"/>
        <v>3747482</v>
      </c>
      <c r="AE70" s="1428"/>
      <c r="AF70" s="888">
        <v>442</v>
      </c>
      <c r="AG70" s="268" t="s">
        <v>752</v>
      </c>
      <c r="AH70" s="268" t="s">
        <v>901</v>
      </c>
      <c r="AI70" s="498">
        <f t="shared" si="8"/>
        <v>309</v>
      </c>
      <c r="AJ70" s="304">
        <v>5000000</v>
      </c>
      <c r="AK70" s="871">
        <f t="shared" si="10"/>
        <v>0</v>
      </c>
      <c r="AL70" s="918"/>
      <c r="AM70" s="302">
        <f t="shared" si="9"/>
        <v>0</v>
      </c>
    </row>
    <row r="71" spans="1:39" s="8" customFormat="1">
      <c r="A71" s="82" t="s">
        <v>35</v>
      </c>
      <c r="B71" s="161">
        <f t="shared" si="4"/>
        <v>5000000</v>
      </c>
      <c r="C71" s="79" t="s">
        <v>36</v>
      </c>
      <c r="D71" s="79" t="s">
        <v>827</v>
      </c>
      <c r="E71" s="79" t="s">
        <v>37</v>
      </c>
      <c r="F71" s="79" t="s">
        <v>1648</v>
      </c>
      <c r="G71" s="79" t="s">
        <v>38</v>
      </c>
      <c r="H71" s="2064" t="s">
        <v>1638</v>
      </c>
      <c r="I71" s="979">
        <v>443</v>
      </c>
      <c r="J71" s="160">
        <v>687</v>
      </c>
      <c r="K71" s="468">
        <v>5000000</v>
      </c>
      <c r="L71" s="1583">
        <v>787</v>
      </c>
      <c r="M71" s="1508">
        <v>5000000</v>
      </c>
      <c r="N71" s="1583">
        <v>1016</v>
      </c>
      <c r="O71" s="1605">
        <v>5000000</v>
      </c>
      <c r="P71" s="1993">
        <v>499</v>
      </c>
      <c r="Q71" s="449"/>
      <c r="R71" s="449"/>
      <c r="S71" s="449"/>
      <c r="T71" s="166"/>
      <c r="U71" s="166"/>
      <c r="V71" s="166"/>
      <c r="W71" s="166"/>
      <c r="X71" s="166"/>
      <c r="Y71" s="166"/>
      <c r="Z71" s="166"/>
      <c r="AA71" s="166"/>
      <c r="AB71" s="1604">
        <v>3555400</v>
      </c>
      <c r="AC71" s="450">
        <f t="shared" si="5"/>
        <v>3555400</v>
      </c>
      <c r="AD71" s="701">
        <f t="shared" si="6"/>
        <v>1444600</v>
      </c>
      <c r="AE71" s="1428"/>
      <c r="AF71" s="888">
        <v>443</v>
      </c>
      <c r="AG71" s="268" t="s">
        <v>753</v>
      </c>
      <c r="AH71" s="268" t="s">
        <v>1552</v>
      </c>
      <c r="AI71" s="498">
        <f t="shared" si="8"/>
        <v>499</v>
      </c>
      <c r="AJ71" s="304">
        <v>5000000</v>
      </c>
      <c r="AK71" s="871">
        <f t="shared" si="10"/>
        <v>0</v>
      </c>
      <c r="AL71" s="918"/>
      <c r="AM71" s="302">
        <f t="shared" si="9"/>
        <v>0</v>
      </c>
    </row>
    <row r="72" spans="1:39" s="8" customFormat="1">
      <c r="A72" s="82" t="s">
        <v>35</v>
      </c>
      <c r="B72" s="161">
        <f t="shared" si="4"/>
        <v>10285000</v>
      </c>
      <c r="C72" s="79" t="s">
        <v>36</v>
      </c>
      <c r="D72" s="79" t="s">
        <v>827</v>
      </c>
      <c r="E72" s="79" t="s">
        <v>37</v>
      </c>
      <c r="F72" s="79" t="s">
        <v>1648</v>
      </c>
      <c r="G72" s="79" t="s">
        <v>38</v>
      </c>
      <c r="H72" s="2064" t="s">
        <v>1638</v>
      </c>
      <c r="I72" s="979">
        <v>444</v>
      </c>
      <c r="J72" s="160">
        <v>0</v>
      </c>
      <c r="K72" s="468"/>
      <c r="L72" s="1583">
        <v>492</v>
      </c>
      <c r="M72" s="1508">
        <f>15775971-5490971</f>
        <v>10285000</v>
      </c>
      <c r="N72" s="1583">
        <v>607</v>
      </c>
      <c r="O72" s="1605">
        <v>10285000</v>
      </c>
      <c r="P72" s="1993">
        <v>377</v>
      </c>
      <c r="Q72" s="449"/>
      <c r="R72" s="449"/>
      <c r="S72" s="449"/>
      <c r="T72" s="166"/>
      <c r="U72" s="166"/>
      <c r="V72" s="166"/>
      <c r="W72" s="166">
        <v>10285000</v>
      </c>
      <c r="X72" s="166"/>
      <c r="Y72" s="166"/>
      <c r="Z72" s="166"/>
      <c r="AA72" s="166"/>
      <c r="AB72" s="1604"/>
      <c r="AC72" s="450">
        <f t="shared" si="5"/>
        <v>10285000</v>
      </c>
      <c r="AD72" s="701">
        <f t="shared" si="6"/>
        <v>0</v>
      </c>
      <c r="AE72" s="1428"/>
      <c r="AF72" s="888">
        <v>444</v>
      </c>
      <c r="AG72" s="268" t="s">
        <v>754</v>
      </c>
      <c r="AH72" s="268" t="s">
        <v>1078</v>
      </c>
      <c r="AI72" s="498">
        <f t="shared" si="8"/>
        <v>377</v>
      </c>
      <c r="AJ72" s="304">
        <f>15810000-5525000</f>
        <v>10285000</v>
      </c>
      <c r="AK72" s="871">
        <f t="shared" si="10"/>
        <v>0</v>
      </c>
      <c r="AL72" s="918"/>
      <c r="AM72" s="302">
        <f t="shared" si="9"/>
        <v>0</v>
      </c>
    </row>
    <row r="73" spans="1:39" s="8" customFormat="1">
      <c r="A73" s="82" t="s">
        <v>35</v>
      </c>
      <c r="B73" s="161">
        <f t="shared" si="4"/>
        <v>5000000</v>
      </c>
      <c r="C73" s="79" t="s">
        <v>36</v>
      </c>
      <c r="D73" s="79" t="s">
        <v>827</v>
      </c>
      <c r="E73" s="79" t="s">
        <v>37</v>
      </c>
      <c r="F73" s="79" t="s">
        <v>1648</v>
      </c>
      <c r="G73" s="79" t="s">
        <v>38</v>
      </c>
      <c r="H73" s="2064" t="s">
        <v>1638</v>
      </c>
      <c r="I73" s="979">
        <v>445</v>
      </c>
      <c r="J73" s="160">
        <v>0</v>
      </c>
      <c r="K73" s="468"/>
      <c r="L73" s="1583">
        <v>402</v>
      </c>
      <c r="M73" s="1508">
        <v>5000000</v>
      </c>
      <c r="N73" s="1583">
        <v>422</v>
      </c>
      <c r="O73" s="1605">
        <v>5000000</v>
      </c>
      <c r="P73" s="1993">
        <v>314</v>
      </c>
      <c r="Q73" s="449"/>
      <c r="R73" s="449"/>
      <c r="S73" s="449"/>
      <c r="T73" s="166"/>
      <c r="U73" s="166">
        <v>5000000</v>
      </c>
      <c r="V73" s="166"/>
      <c r="W73" s="166"/>
      <c r="X73" s="166"/>
      <c r="Y73" s="166"/>
      <c r="Z73" s="166"/>
      <c r="AA73" s="166"/>
      <c r="AB73" s="1604"/>
      <c r="AC73" s="450">
        <f t="shared" si="5"/>
        <v>5000000</v>
      </c>
      <c r="AD73" s="701">
        <f t="shared" si="6"/>
        <v>0</v>
      </c>
      <c r="AE73" s="1428"/>
      <c r="AF73" s="888">
        <v>445</v>
      </c>
      <c r="AG73" s="268" t="s">
        <v>755</v>
      </c>
      <c r="AH73" s="268" t="s">
        <v>904</v>
      </c>
      <c r="AI73" s="498">
        <f t="shared" si="8"/>
        <v>314</v>
      </c>
      <c r="AJ73" s="304">
        <v>5000000</v>
      </c>
      <c r="AK73" s="871">
        <f t="shared" si="10"/>
        <v>0</v>
      </c>
      <c r="AL73" s="918"/>
      <c r="AM73" s="302">
        <f t="shared" si="9"/>
        <v>0</v>
      </c>
    </row>
    <row r="74" spans="1:39" s="8" customFormat="1">
      <c r="A74" s="82" t="s">
        <v>35</v>
      </c>
      <c r="B74" s="161">
        <f t="shared" si="4"/>
        <v>67500000</v>
      </c>
      <c r="C74" s="79" t="s">
        <v>36</v>
      </c>
      <c r="D74" s="79" t="s">
        <v>827</v>
      </c>
      <c r="E74" s="79" t="s">
        <v>37</v>
      </c>
      <c r="F74" s="79" t="s">
        <v>1648</v>
      </c>
      <c r="G74" s="79" t="s">
        <v>38</v>
      </c>
      <c r="H74" s="2064" t="s">
        <v>1638</v>
      </c>
      <c r="I74" s="979">
        <v>453</v>
      </c>
      <c r="J74" s="160">
        <v>0</v>
      </c>
      <c r="K74" s="468"/>
      <c r="L74" s="1583">
        <v>393</v>
      </c>
      <c r="M74" s="1508">
        <v>67500000</v>
      </c>
      <c r="N74" s="1583">
        <v>404</v>
      </c>
      <c r="O74" s="1605">
        <v>67500000</v>
      </c>
      <c r="P74" s="1993">
        <v>310</v>
      </c>
      <c r="Q74" s="449"/>
      <c r="R74" s="449"/>
      <c r="S74" s="449"/>
      <c r="T74" s="166"/>
      <c r="U74" s="166">
        <v>7500000</v>
      </c>
      <c r="V74" s="166">
        <v>7500000</v>
      </c>
      <c r="W74" s="166">
        <v>7500000</v>
      </c>
      <c r="X74" s="166">
        <v>7500000</v>
      </c>
      <c r="Y74" s="166">
        <v>7500000</v>
      </c>
      <c r="Z74" s="166">
        <v>7500000</v>
      </c>
      <c r="AA74" s="166">
        <v>7500000</v>
      </c>
      <c r="AB74" s="1604">
        <f>7500000+7500000</f>
        <v>15000000</v>
      </c>
      <c r="AC74" s="450">
        <f t="shared" si="5"/>
        <v>67500000</v>
      </c>
      <c r="AD74" s="701">
        <f t="shared" si="6"/>
        <v>0</v>
      </c>
      <c r="AE74" s="1428"/>
      <c r="AF74" s="888">
        <v>453</v>
      </c>
      <c r="AG74" s="268" t="s">
        <v>800</v>
      </c>
      <c r="AH74" s="268" t="s">
        <v>902</v>
      </c>
      <c r="AI74" s="498">
        <f t="shared" si="8"/>
        <v>310</v>
      </c>
      <c r="AJ74" s="304">
        <v>67500000</v>
      </c>
      <c r="AK74" s="871">
        <f t="shared" si="10"/>
        <v>0</v>
      </c>
      <c r="AL74" s="918"/>
      <c r="AM74" s="302">
        <f t="shared" si="9"/>
        <v>0</v>
      </c>
    </row>
    <row r="75" spans="1:39" s="8" customFormat="1">
      <c r="A75" s="82" t="s">
        <v>35</v>
      </c>
      <c r="B75" s="161">
        <f>M75</f>
        <v>47680000</v>
      </c>
      <c r="C75" s="79" t="s">
        <v>36</v>
      </c>
      <c r="D75" s="79" t="s">
        <v>827</v>
      </c>
      <c r="E75" s="79" t="s">
        <v>37</v>
      </c>
      <c r="F75" s="79" t="s">
        <v>1648</v>
      </c>
      <c r="G75" s="79" t="s">
        <v>38</v>
      </c>
      <c r="H75" s="2064" t="s">
        <v>1638</v>
      </c>
      <c r="I75" s="979">
        <v>479</v>
      </c>
      <c r="J75" s="160">
        <v>0</v>
      </c>
      <c r="K75" s="468"/>
      <c r="L75" s="1583">
        <v>432</v>
      </c>
      <c r="M75" s="1508">
        <v>47680000</v>
      </c>
      <c r="N75" s="1583">
        <v>451</v>
      </c>
      <c r="O75" s="1605">
        <v>47680000</v>
      </c>
      <c r="P75" s="1993">
        <v>324</v>
      </c>
      <c r="Q75" s="449"/>
      <c r="R75" s="449"/>
      <c r="S75" s="449"/>
      <c r="T75" s="166"/>
      <c r="U75" s="166"/>
      <c r="V75" s="166">
        <v>6158667</v>
      </c>
      <c r="W75" s="166">
        <v>5960000</v>
      </c>
      <c r="X75" s="166">
        <v>5960000</v>
      </c>
      <c r="Y75" s="166">
        <v>5960000</v>
      </c>
      <c r="Z75" s="166">
        <v>5960000</v>
      </c>
      <c r="AA75" s="166">
        <v>5960000</v>
      </c>
      <c r="AB75" s="1604">
        <f>4768000+5761333</f>
        <v>10529333</v>
      </c>
      <c r="AC75" s="450">
        <f t="shared" si="5"/>
        <v>46488000</v>
      </c>
      <c r="AD75" s="701">
        <f t="shared" si="6"/>
        <v>1192000</v>
      </c>
      <c r="AE75" s="1428"/>
      <c r="AF75" s="888">
        <v>479</v>
      </c>
      <c r="AG75" s="268" t="s">
        <v>838</v>
      </c>
      <c r="AH75" s="268" t="s">
        <v>914</v>
      </c>
      <c r="AI75" s="498">
        <f t="shared" si="8"/>
        <v>324</v>
      </c>
      <c r="AJ75" s="304">
        <v>47680000</v>
      </c>
      <c r="AK75" s="871">
        <f t="shared" si="10"/>
        <v>0</v>
      </c>
      <c r="AL75" s="918"/>
      <c r="AM75" s="302">
        <f t="shared" si="9"/>
        <v>0</v>
      </c>
    </row>
    <row r="76" spans="1:39" s="8" customFormat="1">
      <c r="A76" s="82" t="s">
        <v>35</v>
      </c>
      <c r="B76" s="161">
        <f t="shared" ref="B76:B128" si="11">M76</f>
        <v>15694666</v>
      </c>
      <c r="C76" s="79" t="s">
        <v>36</v>
      </c>
      <c r="D76" s="79" t="s">
        <v>827</v>
      </c>
      <c r="E76" s="79" t="s">
        <v>37</v>
      </c>
      <c r="F76" s="79" t="s">
        <v>1648</v>
      </c>
      <c r="G76" s="79" t="s">
        <v>38</v>
      </c>
      <c r="H76" s="2064" t="s">
        <v>1638</v>
      </c>
      <c r="I76" s="979">
        <v>480</v>
      </c>
      <c r="J76" s="160"/>
      <c r="K76" s="468"/>
      <c r="L76" s="1583">
        <v>433</v>
      </c>
      <c r="M76" s="1508">
        <f>47680000-31985334</f>
        <v>15694666</v>
      </c>
      <c r="N76" s="1583">
        <v>454</v>
      </c>
      <c r="O76" s="1605">
        <f>47680000-31985334</f>
        <v>15694666</v>
      </c>
      <c r="P76" s="1993">
        <v>326</v>
      </c>
      <c r="Q76" s="449"/>
      <c r="R76" s="449"/>
      <c r="S76" s="449"/>
      <c r="T76" s="166"/>
      <c r="U76" s="449">
        <v>5761333</v>
      </c>
      <c r="V76" s="166">
        <v>5761333</v>
      </c>
      <c r="W76" s="166">
        <v>198667</v>
      </c>
      <c r="X76" s="166">
        <v>3973333</v>
      </c>
      <c r="Y76" s="166"/>
      <c r="Z76" s="166"/>
      <c r="AA76" s="166"/>
      <c r="AB76" s="1604"/>
      <c r="AC76" s="450">
        <f t="shared" si="5"/>
        <v>15694666</v>
      </c>
      <c r="AD76" s="701">
        <f t="shared" si="6"/>
        <v>0</v>
      </c>
      <c r="AE76" s="1428"/>
      <c r="AF76" s="888">
        <v>480</v>
      </c>
      <c r="AG76" s="268" t="s">
        <v>839</v>
      </c>
      <c r="AH76" s="268" t="s">
        <v>933</v>
      </c>
      <c r="AI76" s="498">
        <f t="shared" si="8"/>
        <v>326</v>
      </c>
      <c r="AJ76" s="304">
        <f>47680000-35958667+3973333</f>
        <v>15694666</v>
      </c>
      <c r="AK76" s="871">
        <f t="shared" si="10"/>
        <v>0</v>
      </c>
      <c r="AL76" s="918"/>
      <c r="AM76" s="302">
        <f t="shared" si="9"/>
        <v>0</v>
      </c>
    </row>
    <row r="77" spans="1:39" s="8" customFormat="1">
      <c r="A77" s="82" t="s">
        <v>35</v>
      </c>
      <c r="B77" s="161">
        <f t="shared" si="11"/>
        <v>28650000</v>
      </c>
      <c r="C77" s="79" t="s">
        <v>36</v>
      </c>
      <c r="D77" s="79" t="s">
        <v>827</v>
      </c>
      <c r="E77" s="79" t="s">
        <v>37</v>
      </c>
      <c r="F77" s="79" t="s">
        <v>1648</v>
      </c>
      <c r="G77" s="79" t="s">
        <v>38</v>
      </c>
      <c r="H77" s="2064" t="s">
        <v>1638</v>
      </c>
      <c r="I77" s="979">
        <v>481</v>
      </c>
      <c r="J77" s="160"/>
      <c r="K77" s="468"/>
      <c r="L77" s="1583">
        <v>452</v>
      </c>
      <c r="M77" s="1508">
        <v>28650000</v>
      </c>
      <c r="N77" s="1583">
        <v>504</v>
      </c>
      <c r="O77" s="1605">
        <v>28650000</v>
      </c>
      <c r="P77" s="1993">
        <v>357</v>
      </c>
      <c r="Q77" s="449"/>
      <c r="R77" s="449"/>
      <c r="S77" s="449"/>
      <c r="T77" s="166"/>
      <c r="U77" s="166"/>
      <c r="V77" s="166">
        <v>1910000</v>
      </c>
      <c r="W77" s="166">
        <v>3820000</v>
      </c>
      <c r="X77" s="166">
        <v>3820000</v>
      </c>
      <c r="Y77" s="166">
        <v>3820000</v>
      </c>
      <c r="Z77" s="166">
        <v>3820000</v>
      </c>
      <c r="AA77" s="166">
        <v>3820000</v>
      </c>
      <c r="AB77" s="1604">
        <f>3820000+3820000</f>
        <v>7640000</v>
      </c>
      <c r="AC77" s="450">
        <f t="shared" si="5"/>
        <v>28650000</v>
      </c>
      <c r="AD77" s="701">
        <f t="shared" si="6"/>
        <v>0</v>
      </c>
      <c r="AE77" s="1428"/>
      <c r="AF77" s="888">
        <v>481</v>
      </c>
      <c r="AG77" s="268" t="s">
        <v>840</v>
      </c>
      <c r="AH77" s="268" t="s">
        <v>645</v>
      </c>
      <c r="AI77" s="498">
        <f t="shared" si="8"/>
        <v>357</v>
      </c>
      <c r="AJ77" s="304">
        <f>30560000-1910000</f>
        <v>28650000</v>
      </c>
      <c r="AK77" s="871">
        <f t="shared" si="10"/>
        <v>0</v>
      </c>
      <c r="AL77" s="918"/>
      <c r="AM77" s="302">
        <f t="shared" si="9"/>
        <v>0</v>
      </c>
    </row>
    <row r="78" spans="1:39" s="8" customFormat="1">
      <c r="A78" s="82" t="s">
        <v>35</v>
      </c>
      <c r="B78" s="161">
        <f t="shared" si="11"/>
        <v>45600000</v>
      </c>
      <c r="C78" s="79" t="s">
        <v>36</v>
      </c>
      <c r="D78" s="79" t="s">
        <v>827</v>
      </c>
      <c r="E78" s="79" t="s">
        <v>37</v>
      </c>
      <c r="F78" s="79" t="s">
        <v>1648</v>
      </c>
      <c r="G78" s="79" t="s">
        <v>38</v>
      </c>
      <c r="H78" s="2064" t="s">
        <v>1638</v>
      </c>
      <c r="I78" s="979">
        <v>482</v>
      </c>
      <c r="J78" s="160"/>
      <c r="K78" s="468"/>
      <c r="L78" s="1583">
        <v>439</v>
      </c>
      <c r="M78" s="1508">
        <v>45600000</v>
      </c>
      <c r="N78" s="1583">
        <v>483</v>
      </c>
      <c r="O78" s="1605">
        <v>45600000</v>
      </c>
      <c r="P78" s="1993">
        <v>349</v>
      </c>
      <c r="Q78" s="449"/>
      <c r="R78" s="449"/>
      <c r="S78" s="449"/>
      <c r="T78" s="166"/>
      <c r="U78" s="166">
        <v>6080000</v>
      </c>
      <c r="V78" s="166">
        <v>4458667</v>
      </c>
      <c r="W78" s="166"/>
      <c r="X78" s="166">
        <v>6080000</v>
      </c>
      <c r="Y78" s="166">
        <v>6080000</v>
      </c>
      <c r="Z78" s="166">
        <v>6080000</v>
      </c>
      <c r="AA78" s="166">
        <v>6080000</v>
      </c>
      <c r="AB78" s="1604">
        <f>6080000+4661333</f>
        <v>10741333</v>
      </c>
      <c r="AC78" s="450">
        <f t="shared" si="5"/>
        <v>45600000</v>
      </c>
      <c r="AD78" s="701">
        <f t="shared" si="6"/>
        <v>0</v>
      </c>
      <c r="AE78" s="1428"/>
      <c r="AF78" s="888">
        <v>482</v>
      </c>
      <c r="AG78" s="268" t="s">
        <v>841</v>
      </c>
      <c r="AH78" s="268" t="s">
        <v>978</v>
      </c>
      <c r="AI78" s="498">
        <f t="shared" si="8"/>
        <v>349</v>
      </c>
      <c r="AJ78" s="304">
        <f>48640000-3040000</f>
        <v>45600000</v>
      </c>
      <c r="AK78" s="871">
        <f t="shared" si="10"/>
        <v>0</v>
      </c>
      <c r="AL78" s="918"/>
      <c r="AM78" s="302">
        <f t="shared" si="9"/>
        <v>0</v>
      </c>
    </row>
    <row r="79" spans="1:39" s="8" customFormat="1">
      <c r="A79" s="82" t="s">
        <v>35</v>
      </c>
      <c r="B79" s="161">
        <f t="shared" si="11"/>
        <v>35520000</v>
      </c>
      <c r="C79" s="79" t="s">
        <v>36</v>
      </c>
      <c r="D79" s="79" t="s">
        <v>827</v>
      </c>
      <c r="E79" s="79" t="s">
        <v>37</v>
      </c>
      <c r="F79" s="79" t="s">
        <v>1648</v>
      </c>
      <c r="G79" s="79" t="s">
        <v>38</v>
      </c>
      <c r="H79" s="2064" t="s">
        <v>1638</v>
      </c>
      <c r="I79" s="979">
        <v>483</v>
      </c>
      <c r="J79" s="160"/>
      <c r="K79" s="468"/>
      <c r="L79" s="1583">
        <v>449</v>
      </c>
      <c r="M79" s="1508">
        <v>35520000</v>
      </c>
      <c r="N79" s="1583">
        <v>467</v>
      </c>
      <c r="O79" s="1605">
        <v>35520000</v>
      </c>
      <c r="P79" s="1993">
        <v>342</v>
      </c>
      <c r="Q79" s="449"/>
      <c r="R79" s="449"/>
      <c r="S79" s="449"/>
      <c r="T79" s="166"/>
      <c r="U79" s="166"/>
      <c r="V79" s="166">
        <v>3552000</v>
      </c>
      <c r="W79" s="166">
        <v>4440000</v>
      </c>
      <c r="X79" s="166">
        <v>4440000</v>
      </c>
      <c r="Y79" s="166">
        <v>4440000</v>
      </c>
      <c r="Z79" s="166">
        <v>4440000</v>
      </c>
      <c r="AA79" s="166">
        <v>4440000</v>
      </c>
      <c r="AB79" s="1604">
        <f>4440000+4440000</f>
        <v>8880000</v>
      </c>
      <c r="AC79" s="450">
        <f t="shared" si="5"/>
        <v>34632000</v>
      </c>
      <c r="AD79" s="701">
        <f t="shared" si="6"/>
        <v>888000</v>
      </c>
      <c r="AE79" s="1428"/>
      <c r="AF79" s="888">
        <v>483</v>
      </c>
      <c r="AG79" s="268" t="s">
        <v>842</v>
      </c>
      <c r="AH79" s="268" t="s">
        <v>955</v>
      </c>
      <c r="AI79" s="498">
        <f t="shared" si="8"/>
        <v>342</v>
      </c>
      <c r="AJ79" s="304">
        <v>35520000</v>
      </c>
      <c r="AK79" s="871">
        <f t="shared" si="10"/>
        <v>0</v>
      </c>
      <c r="AL79" s="918"/>
      <c r="AM79" s="302">
        <f t="shared" si="9"/>
        <v>0</v>
      </c>
    </row>
    <row r="80" spans="1:39" s="8" customFormat="1">
      <c r="A80" s="82" t="s">
        <v>35</v>
      </c>
      <c r="B80" s="161">
        <f t="shared" si="11"/>
        <v>38720000</v>
      </c>
      <c r="C80" s="79" t="s">
        <v>36</v>
      </c>
      <c r="D80" s="79" t="s">
        <v>827</v>
      </c>
      <c r="E80" s="79" t="s">
        <v>37</v>
      </c>
      <c r="F80" s="79" t="s">
        <v>1648</v>
      </c>
      <c r="G80" s="79" t="s">
        <v>38</v>
      </c>
      <c r="H80" s="2064" t="s">
        <v>1638</v>
      </c>
      <c r="I80" s="979">
        <v>484</v>
      </c>
      <c r="J80" s="160"/>
      <c r="K80" s="468"/>
      <c r="L80" s="1583">
        <v>450</v>
      </c>
      <c r="M80" s="1508">
        <f>38720000</f>
        <v>38720000</v>
      </c>
      <c r="N80" s="1583">
        <v>473</v>
      </c>
      <c r="O80" s="1605">
        <v>38720000</v>
      </c>
      <c r="P80" s="1993">
        <v>341</v>
      </c>
      <c r="Q80" s="449"/>
      <c r="R80" s="449"/>
      <c r="S80" s="449"/>
      <c r="T80" s="166"/>
      <c r="U80" s="166">
        <v>4840000</v>
      </c>
      <c r="V80" s="166">
        <v>3710667</v>
      </c>
      <c r="W80" s="166"/>
      <c r="X80" s="166">
        <v>4840000</v>
      </c>
      <c r="Y80" s="166">
        <v>4840000</v>
      </c>
      <c r="Z80" s="166">
        <v>4840000</v>
      </c>
      <c r="AA80" s="166">
        <v>4840000</v>
      </c>
      <c r="AB80" s="1604">
        <f>4840000+4840000</f>
        <v>9680000</v>
      </c>
      <c r="AC80" s="450">
        <f t="shared" si="5"/>
        <v>37590667</v>
      </c>
      <c r="AD80" s="701">
        <f t="shared" si="6"/>
        <v>1129333</v>
      </c>
      <c r="AE80" s="1428"/>
      <c r="AF80" s="888">
        <v>484</v>
      </c>
      <c r="AG80" s="268" t="s">
        <v>843</v>
      </c>
      <c r="AH80" s="268" t="s">
        <v>979</v>
      </c>
      <c r="AI80" s="498">
        <f t="shared" si="8"/>
        <v>341</v>
      </c>
      <c r="AJ80" s="304">
        <v>38720000</v>
      </c>
      <c r="AK80" s="871">
        <f t="shared" si="10"/>
        <v>0</v>
      </c>
      <c r="AL80" s="918"/>
      <c r="AM80" s="302">
        <f t="shared" si="9"/>
        <v>0</v>
      </c>
    </row>
    <row r="81" spans="1:39" s="8" customFormat="1">
      <c r="A81" s="82" t="s">
        <v>35</v>
      </c>
      <c r="B81" s="161">
        <f t="shared" si="11"/>
        <v>8710000</v>
      </c>
      <c r="C81" s="79" t="s">
        <v>36</v>
      </c>
      <c r="D81" s="79" t="s">
        <v>827</v>
      </c>
      <c r="E81" s="79" t="s">
        <v>37</v>
      </c>
      <c r="F81" s="79" t="s">
        <v>1648</v>
      </c>
      <c r="G81" s="79" t="s">
        <v>38</v>
      </c>
      <c r="H81" s="2064" t="s">
        <v>1638</v>
      </c>
      <c r="I81" s="979">
        <v>485</v>
      </c>
      <c r="J81" s="160"/>
      <c r="K81" s="468"/>
      <c r="L81" s="1583">
        <v>442</v>
      </c>
      <c r="M81" s="1508">
        <v>8710000</v>
      </c>
      <c r="N81" s="1583">
        <v>476</v>
      </c>
      <c r="O81" s="1508">
        <v>8710000</v>
      </c>
      <c r="P81" s="1993">
        <v>344</v>
      </c>
      <c r="Q81" s="449"/>
      <c r="R81" s="449"/>
      <c r="S81" s="449"/>
      <c r="T81" s="166"/>
      <c r="U81" s="166"/>
      <c r="V81" s="166">
        <f>958333+958334</f>
        <v>1916667</v>
      </c>
      <c r="W81" s="166">
        <f>1250000+1250000</f>
        <v>2500000</v>
      </c>
      <c r="X81" s="166">
        <v>2500000</v>
      </c>
      <c r="Y81" s="166">
        <v>1793333</v>
      </c>
      <c r="Z81" s="166">
        <v>0</v>
      </c>
      <c r="AA81" s="166">
        <v>0</v>
      </c>
      <c r="AB81" s="1604">
        <v>0</v>
      </c>
      <c r="AC81" s="450">
        <f t="shared" si="5"/>
        <v>8710000</v>
      </c>
      <c r="AD81" s="701">
        <f t="shared" si="6"/>
        <v>0</v>
      </c>
      <c r="AE81" s="1428"/>
      <c r="AF81" s="888">
        <v>485</v>
      </c>
      <c r="AG81" s="268" t="s">
        <v>316</v>
      </c>
      <c r="AH81" s="268" t="s">
        <v>647</v>
      </c>
      <c r="AI81" s="498">
        <f t="shared" si="8"/>
        <v>344</v>
      </c>
      <c r="AJ81" s="1473">
        <f>9960000-1250000</f>
        <v>8710000</v>
      </c>
      <c r="AK81" s="871">
        <f t="shared" si="10"/>
        <v>0</v>
      </c>
      <c r="AL81" s="918"/>
      <c r="AM81" s="302">
        <f t="shared" si="9"/>
        <v>0</v>
      </c>
    </row>
    <row r="82" spans="1:39" s="8" customFormat="1">
      <c r="A82" s="82" t="s">
        <v>35</v>
      </c>
      <c r="B82" s="161">
        <f t="shared" si="11"/>
        <v>4333333</v>
      </c>
      <c r="C82" s="79" t="s">
        <v>36</v>
      </c>
      <c r="D82" s="79" t="s">
        <v>827</v>
      </c>
      <c r="E82" s="79" t="s">
        <v>37</v>
      </c>
      <c r="F82" s="79" t="s">
        <v>1648</v>
      </c>
      <c r="G82" s="79" t="s">
        <v>38</v>
      </c>
      <c r="H82" s="2064" t="s">
        <v>1638</v>
      </c>
      <c r="I82" s="979" t="s">
        <v>325</v>
      </c>
      <c r="J82" s="160">
        <v>780</v>
      </c>
      <c r="K82" s="468">
        <v>4333333</v>
      </c>
      <c r="L82" s="1583">
        <v>889</v>
      </c>
      <c r="M82" s="1508">
        <v>4333333</v>
      </c>
      <c r="N82" s="1583">
        <v>1097</v>
      </c>
      <c r="O82" s="1508">
        <v>4333333</v>
      </c>
      <c r="P82" s="1993">
        <v>344</v>
      </c>
      <c r="Q82" s="449"/>
      <c r="R82" s="449"/>
      <c r="S82" s="449"/>
      <c r="T82" s="166"/>
      <c r="U82" s="166"/>
      <c r="V82" s="166"/>
      <c r="W82" s="166"/>
      <c r="X82" s="166"/>
      <c r="Y82" s="166"/>
      <c r="Z82" s="166"/>
      <c r="AA82" s="166"/>
      <c r="AB82" s="1604">
        <v>666667</v>
      </c>
      <c r="AC82" s="450">
        <f t="shared" si="5"/>
        <v>666667</v>
      </c>
      <c r="AD82" s="701">
        <f t="shared" si="6"/>
        <v>3666666</v>
      </c>
      <c r="AE82" s="1428"/>
      <c r="AF82" s="888" t="s">
        <v>325</v>
      </c>
      <c r="AG82" s="268" t="s">
        <v>1378</v>
      </c>
      <c r="AH82" s="268" t="s">
        <v>647</v>
      </c>
      <c r="AI82" s="498">
        <f t="shared" si="8"/>
        <v>344</v>
      </c>
      <c r="AJ82" s="1473">
        <f>3083334-3083334+4333333</f>
        <v>4333333</v>
      </c>
      <c r="AK82" s="871">
        <f t="shared" si="10"/>
        <v>0</v>
      </c>
      <c r="AL82" s="918"/>
      <c r="AM82" s="302">
        <f t="shared" si="9"/>
        <v>0</v>
      </c>
    </row>
    <row r="83" spans="1:39" s="8" customFormat="1">
      <c r="A83" s="82" t="s">
        <v>35</v>
      </c>
      <c r="B83" s="161">
        <f t="shared" si="11"/>
        <v>47680000</v>
      </c>
      <c r="C83" s="79" t="s">
        <v>36</v>
      </c>
      <c r="D83" s="79" t="s">
        <v>827</v>
      </c>
      <c r="E83" s="79" t="s">
        <v>37</v>
      </c>
      <c r="F83" s="79" t="s">
        <v>1648</v>
      </c>
      <c r="G83" s="79" t="s">
        <v>38</v>
      </c>
      <c r="H83" s="2064" t="s">
        <v>1638</v>
      </c>
      <c r="I83" s="979">
        <v>486</v>
      </c>
      <c r="J83" s="160"/>
      <c r="K83" s="468"/>
      <c r="L83" s="1583">
        <v>429</v>
      </c>
      <c r="M83" s="1508">
        <v>47680000</v>
      </c>
      <c r="N83" s="1583">
        <v>440</v>
      </c>
      <c r="O83" s="1605">
        <v>47680000</v>
      </c>
      <c r="P83" s="1993">
        <v>320</v>
      </c>
      <c r="Q83" s="449"/>
      <c r="R83" s="449"/>
      <c r="S83" s="449"/>
      <c r="T83" s="166"/>
      <c r="U83" s="166"/>
      <c r="V83" s="166">
        <v>7152000</v>
      </c>
      <c r="W83" s="166">
        <v>5960000</v>
      </c>
      <c r="X83" s="166">
        <v>5960000</v>
      </c>
      <c r="Y83" s="166">
        <v>5960000</v>
      </c>
      <c r="Z83" s="166">
        <v>5960000</v>
      </c>
      <c r="AA83" s="166">
        <v>5960000</v>
      </c>
      <c r="AB83" s="1604">
        <f>5960000+4768000</f>
        <v>10728000</v>
      </c>
      <c r="AC83" s="450">
        <f t="shared" si="5"/>
        <v>47680000</v>
      </c>
      <c r="AD83" s="701">
        <f t="shared" si="6"/>
        <v>0</v>
      </c>
      <c r="AE83" s="1428"/>
      <c r="AF83" s="888">
        <v>486</v>
      </c>
      <c r="AG83" s="268" t="s">
        <v>844</v>
      </c>
      <c r="AH83" s="268" t="s">
        <v>646</v>
      </c>
      <c r="AI83" s="498">
        <f t="shared" ref="AI83:AI114" si="12">P83</f>
        <v>320</v>
      </c>
      <c r="AJ83" s="304">
        <v>47680000</v>
      </c>
      <c r="AK83" s="871">
        <f t="shared" si="10"/>
        <v>0</v>
      </c>
      <c r="AL83" s="918"/>
      <c r="AM83" s="302">
        <f t="shared" ref="AM83:AM114" si="13">AJ83-M83</f>
        <v>0</v>
      </c>
    </row>
    <row r="84" spans="1:39" s="8" customFormat="1">
      <c r="A84" s="82" t="s">
        <v>35</v>
      </c>
      <c r="B84" s="161">
        <f t="shared" si="11"/>
        <v>40950000</v>
      </c>
      <c r="C84" s="79" t="s">
        <v>36</v>
      </c>
      <c r="D84" s="79" t="s">
        <v>827</v>
      </c>
      <c r="E84" s="79" t="s">
        <v>37</v>
      </c>
      <c r="F84" s="79" t="s">
        <v>1648</v>
      </c>
      <c r="G84" s="79" t="s">
        <v>38</v>
      </c>
      <c r="H84" s="2064" t="s">
        <v>1638</v>
      </c>
      <c r="I84" s="979">
        <v>487</v>
      </c>
      <c r="J84" s="160"/>
      <c r="K84" s="468"/>
      <c r="L84" s="1583">
        <v>453</v>
      </c>
      <c r="M84" s="1508">
        <v>40950000</v>
      </c>
      <c r="N84" s="1583">
        <v>468</v>
      </c>
      <c r="O84" s="1605">
        <v>40950000</v>
      </c>
      <c r="P84" s="1993">
        <v>339</v>
      </c>
      <c r="Q84" s="449"/>
      <c r="R84" s="449"/>
      <c r="S84" s="449"/>
      <c r="T84" s="166"/>
      <c r="U84" s="166"/>
      <c r="V84" s="166">
        <v>4368000</v>
      </c>
      <c r="W84" s="166">
        <v>5460000</v>
      </c>
      <c r="X84" s="166">
        <v>5460000</v>
      </c>
      <c r="Y84" s="166">
        <v>5460000</v>
      </c>
      <c r="Z84" s="166">
        <v>5460000</v>
      </c>
      <c r="AA84" s="166">
        <v>5460000</v>
      </c>
      <c r="AB84" s="1604">
        <f>5460000+3822000</f>
        <v>9282000</v>
      </c>
      <c r="AC84" s="450">
        <f t="shared" ref="AC84:AC128" si="14">SUM(Q84:AB84)</f>
        <v>40950000</v>
      </c>
      <c r="AD84" s="701">
        <f t="shared" ref="AD84:AD128" si="15">O84-AC84</f>
        <v>0</v>
      </c>
      <c r="AE84" s="1428"/>
      <c r="AF84" s="888">
        <v>487</v>
      </c>
      <c r="AG84" s="268" t="s">
        <v>312</v>
      </c>
      <c r="AH84" s="268" t="s">
        <v>649</v>
      </c>
      <c r="AI84" s="498">
        <f t="shared" si="12"/>
        <v>339</v>
      </c>
      <c r="AJ84" s="304">
        <f>43680000-2730000</f>
        <v>40950000</v>
      </c>
      <c r="AK84" s="871">
        <f t="shared" si="10"/>
        <v>0</v>
      </c>
      <c r="AL84" s="918"/>
      <c r="AM84" s="302">
        <f t="shared" si="13"/>
        <v>0</v>
      </c>
    </row>
    <row r="85" spans="1:39" s="8" customFormat="1">
      <c r="A85" s="82" t="s">
        <v>35</v>
      </c>
      <c r="B85" s="161">
        <f t="shared" si="11"/>
        <v>16320000</v>
      </c>
      <c r="C85" s="79" t="s">
        <v>36</v>
      </c>
      <c r="D85" s="79" t="s">
        <v>827</v>
      </c>
      <c r="E85" s="79" t="s">
        <v>37</v>
      </c>
      <c r="F85" s="79" t="s">
        <v>1648</v>
      </c>
      <c r="G85" s="79" t="s">
        <v>38</v>
      </c>
      <c r="H85" s="2064" t="s">
        <v>1638</v>
      </c>
      <c r="I85" s="979">
        <v>488</v>
      </c>
      <c r="J85" s="160"/>
      <c r="K85" s="468"/>
      <c r="L85" s="1583">
        <v>451</v>
      </c>
      <c r="M85" s="1508">
        <v>16320000</v>
      </c>
      <c r="N85" s="1583">
        <v>480</v>
      </c>
      <c r="O85" s="1605">
        <v>16320000</v>
      </c>
      <c r="P85" s="1993">
        <v>343</v>
      </c>
      <c r="Q85" s="449"/>
      <c r="R85" s="449"/>
      <c r="S85" s="449"/>
      <c r="T85" s="166"/>
      <c r="U85" s="166"/>
      <c r="V85" s="166">
        <v>2085333</v>
      </c>
      <c r="W85" s="166">
        <v>2720000</v>
      </c>
      <c r="X85" s="166">
        <v>2720000</v>
      </c>
      <c r="Y85" s="166">
        <v>2720000</v>
      </c>
      <c r="Z85" s="166">
        <v>2720000</v>
      </c>
      <c r="AA85" s="166">
        <v>2720000</v>
      </c>
      <c r="AB85" s="1604">
        <v>634667</v>
      </c>
      <c r="AC85" s="450">
        <f t="shared" si="14"/>
        <v>16320000</v>
      </c>
      <c r="AD85" s="701">
        <f t="shared" si="15"/>
        <v>0</v>
      </c>
      <c r="AE85" s="1428"/>
      <c r="AF85" s="888">
        <v>488</v>
      </c>
      <c r="AG85" s="268" t="s">
        <v>320</v>
      </c>
      <c r="AH85" s="268" t="s">
        <v>975</v>
      </c>
      <c r="AI85" s="498">
        <f t="shared" si="12"/>
        <v>343</v>
      </c>
      <c r="AJ85" s="304">
        <f>16480000</f>
        <v>16480000</v>
      </c>
      <c r="AK85" s="871">
        <f t="shared" si="10"/>
        <v>160000</v>
      </c>
      <c r="AL85" s="918"/>
      <c r="AM85" s="302">
        <f t="shared" si="13"/>
        <v>160000</v>
      </c>
    </row>
    <row r="86" spans="1:39" s="8" customFormat="1">
      <c r="A86" s="82" t="s">
        <v>35</v>
      </c>
      <c r="B86" s="161">
        <f t="shared" si="11"/>
        <v>4080000</v>
      </c>
      <c r="C86" s="79" t="s">
        <v>36</v>
      </c>
      <c r="D86" s="79" t="s">
        <v>827</v>
      </c>
      <c r="E86" s="79" t="s">
        <v>37</v>
      </c>
      <c r="F86" s="79" t="s">
        <v>1648</v>
      </c>
      <c r="G86" s="79" t="s">
        <v>38</v>
      </c>
      <c r="H86" s="2064" t="s">
        <v>1638</v>
      </c>
      <c r="I86" s="979" t="s">
        <v>325</v>
      </c>
      <c r="J86" s="160">
        <v>651</v>
      </c>
      <c r="K86" s="468">
        <v>4080000</v>
      </c>
      <c r="L86" s="1583">
        <v>738</v>
      </c>
      <c r="M86" s="1508">
        <v>4080000</v>
      </c>
      <c r="N86" s="1583">
        <v>940</v>
      </c>
      <c r="O86" s="1605">
        <v>4080000</v>
      </c>
      <c r="P86" s="1993">
        <v>343</v>
      </c>
      <c r="Q86" s="449"/>
      <c r="R86" s="449"/>
      <c r="S86" s="449"/>
      <c r="T86" s="166"/>
      <c r="U86" s="166"/>
      <c r="V86" s="166"/>
      <c r="W86" s="166"/>
      <c r="X86" s="166"/>
      <c r="Y86" s="166"/>
      <c r="Z86" s="166"/>
      <c r="AA86" s="166"/>
      <c r="AB86" s="1604">
        <v>2085333</v>
      </c>
      <c r="AC86" s="450">
        <f t="shared" si="14"/>
        <v>2085333</v>
      </c>
      <c r="AD86" s="701">
        <f t="shared" si="15"/>
        <v>1994667</v>
      </c>
      <c r="AE86" s="1428"/>
      <c r="AF86" s="888" t="s">
        <v>325</v>
      </c>
      <c r="AG86" s="268" t="s">
        <v>1209</v>
      </c>
      <c r="AH86" s="268" t="s">
        <v>975</v>
      </c>
      <c r="AI86" s="498">
        <f t="shared" si="12"/>
        <v>343</v>
      </c>
      <c r="AJ86" s="304">
        <v>4080000</v>
      </c>
      <c r="AK86" s="871">
        <f t="shared" si="10"/>
        <v>0</v>
      </c>
      <c r="AL86" s="918"/>
      <c r="AM86" s="302">
        <f t="shared" si="13"/>
        <v>0</v>
      </c>
    </row>
    <row r="87" spans="1:39" s="8" customFormat="1">
      <c r="A87" s="82" t="s">
        <v>35</v>
      </c>
      <c r="B87" s="161">
        <f t="shared" si="11"/>
        <v>4080000</v>
      </c>
      <c r="C87" s="79" t="s">
        <v>36</v>
      </c>
      <c r="D87" s="79" t="s">
        <v>827</v>
      </c>
      <c r="E87" s="79" t="s">
        <v>37</v>
      </c>
      <c r="F87" s="79" t="s">
        <v>1648</v>
      </c>
      <c r="G87" s="79" t="s">
        <v>38</v>
      </c>
      <c r="H87" s="2064" t="s">
        <v>1638</v>
      </c>
      <c r="I87" s="979" t="s">
        <v>325</v>
      </c>
      <c r="J87" s="160">
        <v>779</v>
      </c>
      <c r="K87" s="468">
        <v>4080000</v>
      </c>
      <c r="L87" s="1583">
        <v>933</v>
      </c>
      <c r="M87" s="1508">
        <v>4080000</v>
      </c>
      <c r="N87" s="1583">
        <v>1093</v>
      </c>
      <c r="O87" s="1605">
        <v>4080000</v>
      </c>
      <c r="P87" s="1993">
        <v>343</v>
      </c>
      <c r="Q87" s="449"/>
      <c r="R87" s="449"/>
      <c r="S87" s="449"/>
      <c r="T87" s="166"/>
      <c r="U87" s="166"/>
      <c r="V87" s="166"/>
      <c r="W87" s="166"/>
      <c r="X87" s="166"/>
      <c r="Y87" s="166"/>
      <c r="Z87" s="166"/>
      <c r="AA87" s="166"/>
      <c r="AB87" s="1604">
        <v>2720000</v>
      </c>
      <c r="AC87" s="450">
        <f t="shared" si="14"/>
        <v>2720000</v>
      </c>
      <c r="AD87" s="701">
        <f t="shared" si="15"/>
        <v>1360000</v>
      </c>
      <c r="AE87" s="1428"/>
      <c r="AF87" s="888" t="s">
        <v>325</v>
      </c>
      <c r="AG87" s="268" t="s">
        <v>1377</v>
      </c>
      <c r="AH87" s="268" t="s">
        <v>975</v>
      </c>
      <c r="AI87" s="498">
        <f t="shared" si="12"/>
        <v>343</v>
      </c>
      <c r="AJ87" s="304">
        <f>2720000-2720000+4080000</f>
        <v>4080000</v>
      </c>
      <c r="AK87" s="871">
        <f t="shared" si="10"/>
        <v>0</v>
      </c>
      <c r="AL87" s="918"/>
      <c r="AM87" s="302">
        <f t="shared" si="13"/>
        <v>0</v>
      </c>
    </row>
    <row r="88" spans="1:39" s="8" customFormat="1">
      <c r="A88" s="82" t="s">
        <v>35</v>
      </c>
      <c r="B88" s="161">
        <f t="shared" si="11"/>
        <v>49650000</v>
      </c>
      <c r="C88" s="79" t="s">
        <v>36</v>
      </c>
      <c r="D88" s="79" t="s">
        <v>827</v>
      </c>
      <c r="E88" s="79" t="s">
        <v>37</v>
      </c>
      <c r="F88" s="79" t="s">
        <v>1648</v>
      </c>
      <c r="G88" s="79" t="s">
        <v>38</v>
      </c>
      <c r="H88" s="2064" t="s">
        <v>1638</v>
      </c>
      <c r="I88" s="979">
        <v>489</v>
      </c>
      <c r="J88" s="160"/>
      <c r="K88" s="468"/>
      <c r="L88" s="1583">
        <v>454</v>
      </c>
      <c r="M88" s="1508">
        <v>49650000</v>
      </c>
      <c r="N88" s="1583">
        <v>478</v>
      </c>
      <c r="O88" s="1605">
        <v>49650000</v>
      </c>
      <c r="P88" s="1993">
        <v>347</v>
      </c>
      <c r="Q88" s="449"/>
      <c r="R88" s="449"/>
      <c r="S88" s="449"/>
      <c r="T88" s="166"/>
      <c r="U88" s="166"/>
      <c r="V88" s="166">
        <v>5075333</v>
      </c>
      <c r="W88" s="166">
        <v>6620000</v>
      </c>
      <c r="X88" s="166">
        <v>6620000</v>
      </c>
      <c r="Y88" s="166">
        <v>6620000</v>
      </c>
      <c r="Z88" s="166">
        <v>6620000</v>
      </c>
      <c r="AA88" s="166">
        <v>6620000</v>
      </c>
      <c r="AB88" s="1604">
        <f>6620000+4854667</f>
        <v>11474667</v>
      </c>
      <c r="AC88" s="450">
        <f t="shared" si="14"/>
        <v>49650000</v>
      </c>
      <c r="AD88" s="701">
        <f t="shared" si="15"/>
        <v>0</v>
      </c>
      <c r="AE88" s="1428"/>
      <c r="AF88" s="888">
        <v>489</v>
      </c>
      <c r="AG88" s="268" t="s">
        <v>845</v>
      </c>
      <c r="AH88" s="268" t="s">
        <v>976</v>
      </c>
      <c r="AI88" s="498">
        <f t="shared" si="12"/>
        <v>347</v>
      </c>
      <c r="AJ88" s="304">
        <f>52960000-3310000</f>
        <v>49650000</v>
      </c>
      <c r="AK88" s="871">
        <f t="shared" si="10"/>
        <v>0</v>
      </c>
      <c r="AL88" s="918"/>
      <c r="AM88" s="302">
        <f t="shared" si="13"/>
        <v>0</v>
      </c>
    </row>
    <row r="89" spans="1:39" s="8" customFormat="1">
      <c r="A89" s="82" t="s">
        <v>35</v>
      </c>
      <c r="B89" s="161">
        <f t="shared" si="11"/>
        <v>18938692</v>
      </c>
      <c r="C89" s="79" t="s">
        <v>36</v>
      </c>
      <c r="D89" s="79" t="s">
        <v>827</v>
      </c>
      <c r="E89" s="79" t="s">
        <v>37</v>
      </c>
      <c r="F89" s="79" t="s">
        <v>1648</v>
      </c>
      <c r="G89" s="79" t="s">
        <v>38</v>
      </c>
      <c r="H89" s="2064" t="s">
        <v>1638</v>
      </c>
      <c r="I89" s="979">
        <v>490</v>
      </c>
      <c r="J89" s="160"/>
      <c r="K89" s="468"/>
      <c r="L89" s="1583" t="s">
        <v>929</v>
      </c>
      <c r="M89" s="1508">
        <f>40200000-40200000+41093410-22154718</f>
        <v>18938692</v>
      </c>
      <c r="N89" s="1583">
        <v>489</v>
      </c>
      <c r="O89" s="1605">
        <f>41093410-22154718</f>
        <v>18938692</v>
      </c>
      <c r="P89" s="1993">
        <v>352</v>
      </c>
      <c r="Q89" s="449"/>
      <c r="R89" s="449"/>
      <c r="S89" s="449"/>
      <c r="T89" s="166"/>
      <c r="U89" s="166"/>
      <c r="V89" s="166">
        <v>3216006</v>
      </c>
      <c r="W89" s="166">
        <v>5360000</v>
      </c>
      <c r="X89" s="166">
        <v>5360010</v>
      </c>
      <c r="Y89" s="166">
        <v>5002676</v>
      </c>
      <c r="Z89" s="166"/>
      <c r="AA89" s="166"/>
      <c r="AB89" s="1604"/>
      <c r="AC89" s="450">
        <f t="shared" si="14"/>
        <v>18938692</v>
      </c>
      <c r="AD89" s="701">
        <f t="shared" si="15"/>
        <v>0</v>
      </c>
      <c r="AE89" s="1428"/>
      <c r="AF89" s="888">
        <v>490</v>
      </c>
      <c r="AG89" s="268" t="s">
        <v>846</v>
      </c>
      <c r="AH89" s="268" t="s">
        <v>977</v>
      </c>
      <c r="AI89" s="498">
        <f t="shared" si="12"/>
        <v>352</v>
      </c>
      <c r="AJ89" s="304">
        <f>42880000-1786590-22154718</f>
        <v>18938692</v>
      </c>
      <c r="AK89" s="871">
        <f t="shared" ref="AK89:AK120" si="16">AJ89-O89</f>
        <v>0</v>
      </c>
      <c r="AL89" s="918"/>
      <c r="AM89" s="302">
        <f t="shared" si="13"/>
        <v>0</v>
      </c>
    </row>
    <row r="90" spans="1:39" s="8" customFormat="1">
      <c r="A90" s="82" t="s">
        <v>35</v>
      </c>
      <c r="B90" s="161">
        <f t="shared" si="11"/>
        <v>40200000</v>
      </c>
      <c r="C90" s="79" t="s">
        <v>36</v>
      </c>
      <c r="D90" s="79" t="s">
        <v>827</v>
      </c>
      <c r="E90" s="79" t="s">
        <v>37</v>
      </c>
      <c r="F90" s="79" t="s">
        <v>1648</v>
      </c>
      <c r="G90" s="79" t="s">
        <v>38</v>
      </c>
      <c r="H90" s="2064" t="s">
        <v>1638</v>
      </c>
      <c r="I90" s="979">
        <v>491</v>
      </c>
      <c r="J90" s="160"/>
      <c r="K90" s="468"/>
      <c r="L90" s="1583" t="s">
        <v>930</v>
      </c>
      <c r="M90" s="1508">
        <f>42880000-42880000+40200000</f>
        <v>40200000</v>
      </c>
      <c r="N90" s="1583">
        <v>505</v>
      </c>
      <c r="O90" s="1605">
        <v>40200000</v>
      </c>
      <c r="P90" s="1993">
        <v>358</v>
      </c>
      <c r="Q90" s="449"/>
      <c r="R90" s="449"/>
      <c r="S90" s="449"/>
      <c r="T90" s="166"/>
      <c r="U90" s="166"/>
      <c r="V90" s="166">
        <v>2501333</v>
      </c>
      <c r="W90" s="166">
        <v>5360000</v>
      </c>
      <c r="X90" s="166">
        <v>5360000</v>
      </c>
      <c r="Y90" s="166">
        <v>5360000</v>
      </c>
      <c r="Z90" s="166">
        <v>5360000</v>
      </c>
      <c r="AA90" s="166">
        <v>5360000</v>
      </c>
      <c r="AB90" s="1604">
        <f>5360000+5360000</f>
        <v>10720000</v>
      </c>
      <c r="AC90" s="450">
        <f t="shared" si="14"/>
        <v>40021333</v>
      </c>
      <c r="AD90" s="701">
        <f t="shared" si="15"/>
        <v>178667</v>
      </c>
      <c r="AE90" s="1428"/>
      <c r="AF90" s="888">
        <v>491</v>
      </c>
      <c r="AG90" s="268" t="s">
        <v>847</v>
      </c>
      <c r="AH90" s="268" t="s">
        <v>648</v>
      </c>
      <c r="AI90" s="498">
        <f t="shared" si="12"/>
        <v>358</v>
      </c>
      <c r="AJ90" s="304">
        <f>42880000-2680000</f>
        <v>40200000</v>
      </c>
      <c r="AK90" s="871">
        <f t="shared" si="16"/>
        <v>0</v>
      </c>
      <c r="AL90" s="918"/>
      <c r="AM90" s="302">
        <f t="shared" si="13"/>
        <v>0</v>
      </c>
    </row>
    <row r="91" spans="1:39" s="8" customFormat="1">
      <c r="A91" s="82" t="s">
        <v>35</v>
      </c>
      <c r="B91" s="161">
        <f t="shared" si="11"/>
        <v>30150000</v>
      </c>
      <c r="C91" s="79" t="s">
        <v>36</v>
      </c>
      <c r="D91" s="79" t="s">
        <v>827</v>
      </c>
      <c r="E91" s="79" t="s">
        <v>37</v>
      </c>
      <c r="F91" s="79" t="s">
        <v>1648</v>
      </c>
      <c r="G91" s="79" t="s">
        <v>38</v>
      </c>
      <c r="H91" s="2064" t="s">
        <v>1638</v>
      </c>
      <c r="I91" s="979">
        <v>492</v>
      </c>
      <c r="J91" s="160"/>
      <c r="K91" s="468"/>
      <c r="L91" s="1583">
        <v>456</v>
      </c>
      <c r="M91" s="1508">
        <v>30150000</v>
      </c>
      <c r="N91" s="1583">
        <v>477</v>
      </c>
      <c r="O91" s="1605">
        <v>30150000</v>
      </c>
      <c r="P91" s="1993">
        <v>346</v>
      </c>
      <c r="Q91" s="449"/>
      <c r="R91" s="449"/>
      <c r="S91" s="449"/>
      <c r="T91" s="166"/>
      <c r="U91" s="166"/>
      <c r="V91" s="166">
        <v>3082000</v>
      </c>
      <c r="W91" s="166">
        <v>4020000</v>
      </c>
      <c r="X91" s="166">
        <v>4020000</v>
      </c>
      <c r="Y91" s="166">
        <v>4020000</v>
      </c>
      <c r="Z91" s="166">
        <v>4020000</v>
      </c>
      <c r="AA91" s="166">
        <v>4020000</v>
      </c>
      <c r="AB91" s="1604">
        <f>4020000+2848000</f>
        <v>6868000</v>
      </c>
      <c r="AC91" s="450">
        <f t="shared" si="14"/>
        <v>30050000</v>
      </c>
      <c r="AD91" s="701">
        <f t="shared" si="15"/>
        <v>100000</v>
      </c>
      <c r="AE91" s="1428"/>
      <c r="AF91" s="888">
        <v>492</v>
      </c>
      <c r="AG91" s="268" t="s">
        <v>848</v>
      </c>
      <c r="AH91" s="268" t="s">
        <v>651</v>
      </c>
      <c r="AI91" s="498">
        <f t="shared" si="12"/>
        <v>346</v>
      </c>
      <c r="AJ91" s="304">
        <f>32160000-2010000</f>
        <v>30150000</v>
      </c>
      <c r="AK91" s="871">
        <f t="shared" si="16"/>
        <v>0</v>
      </c>
      <c r="AL91" s="918"/>
      <c r="AM91" s="302">
        <f t="shared" si="13"/>
        <v>0</v>
      </c>
    </row>
    <row r="92" spans="1:39" s="8" customFormat="1">
      <c r="A92" s="82" t="s">
        <v>35</v>
      </c>
      <c r="B92" s="161">
        <f t="shared" si="11"/>
        <v>7102000</v>
      </c>
      <c r="C92" s="79" t="s">
        <v>36</v>
      </c>
      <c r="D92" s="79" t="s">
        <v>827</v>
      </c>
      <c r="E92" s="79" t="s">
        <v>37</v>
      </c>
      <c r="F92" s="79" t="s">
        <v>1648</v>
      </c>
      <c r="G92" s="79" t="s">
        <v>38</v>
      </c>
      <c r="H92" s="2064" t="s">
        <v>1638</v>
      </c>
      <c r="I92" s="979" t="s">
        <v>325</v>
      </c>
      <c r="J92" s="160">
        <v>777</v>
      </c>
      <c r="K92" s="468">
        <v>7102000</v>
      </c>
      <c r="L92" s="1583">
        <v>899</v>
      </c>
      <c r="M92" s="1508">
        <v>7102000</v>
      </c>
      <c r="N92" s="1583">
        <v>1101</v>
      </c>
      <c r="O92" s="1605">
        <v>7102000</v>
      </c>
      <c r="P92" s="1993">
        <v>346</v>
      </c>
      <c r="Q92" s="449"/>
      <c r="R92" s="449"/>
      <c r="S92" s="449"/>
      <c r="T92" s="166"/>
      <c r="U92" s="166"/>
      <c r="V92" s="166"/>
      <c r="W92" s="166"/>
      <c r="X92" s="166"/>
      <c r="Y92" s="166"/>
      <c r="Z92" s="166"/>
      <c r="AA92" s="166"/>
      <c r="AB92" s="1604">
        <v>1172000</v>
      </c>
      <c r="AC92" s="450">
        <f t="shared" si="14"/>
        <v>1172000</v>
      </c>
      <c r="AD92" s="701">
        <f t="shared" si="15"/>
        <v>5930000</v>
      </c>
      <c r="AE92" s="1428"/>
      <c r="AF92" s="888" t="s">
        <v>325</v>
      </c>
      <c r="AG92" s="268" t="s">
        <v>1394</v>
      </c>
      <c r="AH92" s="268" t="s">
        <v>651</v>
      </c>
      <c r="AI92" s="498">
        <f t="shared" si="12"/>
        <v>346</v>
      </c>
      <c r="AJ92" s="304">
        <f>5092000-5092000+7102000</f>
        <v>7102000</v>
      </c>
      <c r="AK92" s="871">
        <f t="shared" si="16"/>
        <v>0</v>
      </c>
      <c r="AL92" s="918"/>
      <c r="AM92" s="302">
        <f t="shared" si="13"/>
        <v>0</v>
      </c>
    </row>
    <row r="93" spans="1:39" s="8" customFormat="1">
      <c r="A93" s="82" t="s">
        <v>35</v>
      </c>
      <c r="B93" s="161">
        <f t="shared" si="11"/>
        <v>30150000</v>
      </c>
      <c r="C93" s="79" t="s">
        <v>36</v>
      </c>
      <c r="D93" s="79" t="s">
        <v>827</v>
      </c>
      <c r="E93" s="79" t="s">
        <v>37</v>
      </c>
      <c r="F93" s="79" t="s">
        <v>1648</v>
      </c>
      <c r="G93" s="79" t="s">
        <v>38</v>
      </c>
      <c r="H93" s="2064" t="s">
        <v>1638</v>
      </c>
      <c r="I93" s="979">
        <v>493</v>
      </c>
      <c r="J93" s="160"/>
      <c r="K93" s="468"/>
      <c r="L93" s="1583">
        <v>457</v>
      </c>
      <c r="M93" s="1508">
        <v>30150000</v>
      </c>
      <c r="N93" s="1583">
        <v>475</v>
      </c>
      <c r="O93" s="1605">
        <v>30150000</v>
      </c>
      <c r="P93" s="1993">
        <v>345</v>
      </c>
      <c r="Q93" s="449"/>
      <c r="R93" s="449"/>
      <c r="S93" s="449"/>
      <c r="T93" s="166"/>
      <c r="U93" s="166">
        <v>4020000</v>
      </c>
      <c r="V93" s="166">
        <v>3082000</v>
      </c>
      <c r="W93" s="166"/>
      <c r="X93" s="166">
        <v>4020000</v>
      </c>
      <c r="Y93" s="166">
        <v>4020000</v>
      </c>
      <c r="Z93" s="166">
        <v>4020000</v>
      </c>
      <c r="AA93" s="166">
        <v>4020000</v>
      </c>
      <c r="AB93" s="1604">
        <f>4020000+2948000</f>
        <v>6968000</v>
      </c>
      <c r="AC93" s="450">
        <f t="shared" si="14"/>
        <v>30150000</v>
      </c>
      <c r="AD93" s="701">
        <f t="shared" si="15"/>
        <v>0</v>
      </c>
      <c r="AE93" s="1428"/>
      <c r="AF93" s="888">
        <v>493</v>
      </c>
      <c r="AG93" s="268" t="s">
        <v>848</v>
      </c>
      <c r="AH93" s="268" t="s">
        <v>652</v>
      </c>
      <c r="AI93" s="498">
        <f t="shared" si="12"/>
        <v>345</v>
      </c>
      <c r="AJ93" s="304">
        <f>32160000-2010000</f>
        <v>30150000</v>
      </c>
      <c r="AK93" s="871">
        <f t="shared" si="16"/>
        <v>0</v>
      </c>
      <c r="AL93" s="918"/>
      <c r="AM93" s="302">
        <f t="shared" si="13"/>
        <v>0</v>
      </c>
    </row>
    <row r="94" spans="1:39" s="8" customFormat="1">
      <c r="A94" s="82" t="s">
        <v>35</v>
      </c>
      <c r="B94" s="161">
        <f t="shared" si="11"/>
        <v>7102000</v>
      </c>
      <c r="C94" s="79" t="s">
        <v>36</v>
      </c>
      <c r="D94" s="79" t="s">
        <v>827</v>
      </c>
      <c r="E94" s="79" t="s">
        <v>37</v>
      </c>
      <c r="F94" s="79" t="s">
        <v>1648</v>
      </c>
      <c r="G94" s="79" t="s">
        <v>38</v>
      </c>
      <c r="H94" s="2064" t="s">
        <v>1638</v>
      </c>
      <c r="I94" s="979" t="s">
        <v>325</v>
      </c>
      <c r="J94" s="160">
        <v>776</v>
      </c>
      <c r="K94" s="468">
        <v>7102000</v>
      </c>
      <c r="L94" s="1583">
        <v>890</v>
      </c>
      <c r="M94" s="1508">
        <v>7102000</v>
      </c>
      <c r="N94" s="1583">
        <v>1100</v>
      </c>
      <c r="O94" s="1605">
        <v>7102000</v>
      </c>
      <c r="P94" s="1993">
        <v>345</v>
      </c>
      <c r="Q94" s="449"/>
      <c r="R94" s="449"/>
      <c r="S94" s="449"/>
      <c r="T94" s="166"/>
      <c r="U94" s="166"/>
      <c r="V94" s="166"/>
      <c r="W94" s="166"/>
      <c r="X94" s="166"/>
      <c r="Y94" s="166"/>
      <c r="Z94" s="166"/>
      <c r="AA94" s="166"/>
      <c r="AB94" s="1604">
        <v>1072000</v>
      </c>
      <c r="AC94" s="450">
        <f t="shared" si="14"/>
        <v>1072000</v>
      </c>
      <c r="AD94" s="701">
        <f t="shared" si="15"/>
        <v>6030000</v>
      </c>
      <c r="AE94" s="1428"/>
      <c r="AF94" s="888" t="s">
        <v>325</v>
      </c>
      <c r="AG94" s="268" t="s">
        <v>1393</v>
      </c>
      <c r="AH94" s="268" t="s">
        <v>652</v>
      </c>
      <c r="AI94" s="498">
        <f t="shared" si="12"/>
        <v>345</v>
      </c>
      <c r="AJ94" s="304">
        <f>5092000-5092000+7102000</f>
        <v>7102000</v>
      </c>
      <c r="AK94" s="871">
        <f t="shared" si="16"/>
        <v>0</v>
      </c>
      <c r="AL94" s="918"/>
      <c r="AM94" s="302">
        <f t="shared" si="13"/>
        <v>0</v>
      </c>
    </row>
    <row r="95" spans="1:39" s="8" customFormat="1">
      <c r="A95" s="82" t="s">
        <v>35</v>
      </c>
      <c r="B95" s="161">
        <f t="shared" si="11"/>
        <v>19350000</v>
      </c>
      <c r="C95" s="79" t="s">
        <v>36</v>
      </c>
      <c r="D95" s="79" t="s">
        <v>827</v>
      </c>
      <c r="E95" s="79" t="s">
        <v>37</v>
      </c>
      <c r="F95" s="79" t="s">
        <v>1648</v>
      </c>
      <c r="G95" s="79" t="s">
        <v>38</v>
      </c>
      <c r="H95" s="2064" t="s">
        <v>1638</v>
      </c>
      <c r="I95" s="979">
        <v>494</v>
      </c>
      <c r="J95" s="160"/>
      <c r="K95" s="468"/>
      <c r="L95" s="1583">
        <v>440</v>
      </c>
      <c r="M95" s="1508">
        <v>19350000</v>
      </c>
      <c r="N95" s="1583">
        <v>479</v>
      </c>
      <c r="O95" s="1605">
        <v>19350000</v>
      </c>
      <c r="P95" s="1993">
        <v>340</v>
      </c>
      <c r="Q95" s="449"/>
      <c r="R95" s="449"/>
      <c r="S95" s="449"/>
      <c r="T95" s="166"/>
      <c r="U95" s="166"/>
      <c r="V95" s="166">
        <v>1978000</v>
      </c>
      <c r="W95" s="166">
        <v>2580000</v>
      </c>
      <c r="X95" s="166">
        <v>2580000</v>
      </c>
      <c r="Y95" s="166">
        <v>2580000</v>
      </c>
      <c r="Z95" s="166">
        <v>2580000</v>
      </c>
      <c r="AA95" s="166">
        <v>2580000</v>
      </c>
      <c r="AB95" s="1604">
        <f>2580000+1892000</f>
        <v>4472000</v>
      </c>
      <c r="AC95" s="450">
        <f t="shared" si="14"/>
        <v>19350000</v>
      </c>
      <c r="AD95" s="701">
        <f t="shared" si="15"/>
        <v>0</v>
      </c>
      <c r="AE95" s="1428"/>
      <c r="AF95" s="888">
        <v>494</v>
      </c>
      <c r="AG95" s="268" t="s">
        <v>849</v>
      </c>
      <c r="AH95" s="268" t="s">
        <v>654</v>
      </c>
      <c r="AI95" s="498">
        <f t="shared" si="12"/>
        <v>340</v>
      </c>
      <c r="AJ95" s="304">
        <f>20640000-1290000</f>
        <v>19350000</v>
      </c>
      <c r="AK95" s="871">
        <f t="shared" si="16"/>
        <v>0</v>
      </c>
      <c r="AL95" s="918"/>
      <c r="AM95" s="302">
        <f t="shared" si="13"/>
        <v>0</v>
      </c>
    </row>
    <row r="96" spans="1:39" s="8" customFormat="1">
      <c r="A96" s="82" t="s">
        <v>35</v>
      </c>
      <c r="B96" s="161">
        <f t="shared" si="11"/>
        <v>4472000</v>
      </c>
      <c r="C96" s="79" t="s">
        <v>36</v>
      </c>
      <c r="D96" s="79" t="s">
        <v>827</v>
      </c>
      <c r="E96" s="79" t="s">
        <v>37</v>
      </c>
      <c r="F96" s="79" t="s">
        <v>1648</v>
      </c>
      <c r="G96" s="79" t="s">
        <v>38</v>
      </c>
      <c r="H96" s="2064" t="s">
        <v>1638</v>
      </c>
      <c r="I96" s="979" t="s">
        <v>325</v>
      </c>
      <c r="J96" s="160">
        <v>778</v>
      </c>
      <c r="K96" s="468">
        <v>4472000</v>
      </c>
      <c r="L96" s="1583">
        <v>891</v>
      </c>
      <c r="M96" s="1508">
        <v>4472000</v>
      </c>
      <c r="N96" s="1583">
        <v>1092</v>
      </c>
      <c r="O96" s="1605">
        <v>4472000</v>
      </c>
      <c r="P96" s="1993">
        <v>340</v>
      </c>
      <c r="Q96" s="449"/>
      <c r="R96" s="449"/>
      <c r="S96" s="449"/>
      <c r="T96" s="166"/>
      <c r="U96" s="166"/>
      <c r="V96" s="166"/>
      <c r="W96" s="166"/>
      <c r="X96" s="166"/>
      <c r="Y96" s="166"/>
      <c r="Z96" s="166"/>
      <c r="AA96" s="166"/>
      <c r="AB96" s="1604">
        <v>688000</v>
      </c>
      <c r="AC96" s="450">
        <f t="shared" si="14"/>
        <v>688000</v>
      </c>
      <c r="AD96" s="701">
        <f t="shared" si="15"/>
        <v>3784000</v>
      </c>
      <c r="AE96" s="1428"/>
      <c r="AF96" s="888" t="s">
        <v>325</v>
      </c>
      <c r="AG96" s="268" t="s">
        <v>1376</v>
      </c>
      <c r="AH96" s="268" t="s">
        <v>654</v>
      </c>
      <c r="AI96" s="498">
        <f t="shared" si="12"/>
        <v>340</v>
      </c>
      <c r="AJ96" s="304">
        <f>3182000-3182000+4472000</f>
        <v>4472000</v>
      </c>
      <c r="AK96" s="871">
        <f t="shared" si="16"/>
        <v>0</v>
      </c>
      <c r="AL96" s="918"/>
      <c r="AM96" s="302">
        <f t="shared" si="13"/>
        <v>0</v>
      </c>
    </row>
    <row r="97" spans="1:39" s="8" customFormat="1">
      <c r="A97" s="82" t="s">
        <v>35</v>
      </c>
      <c r="B97" s="161">
        <f t="shared" si="11"/>
        <v>41850000</v>
      </c>
      <c r="C97" s="79" t="s">
        <v>36</v>
      </c>
      <c r="D97" s="79" t="s">
        <v>827</v>
      </c>
      <c r="E97" s="79" t="s">
        <v>37</v>
      </c>
      <c r="F97" s="79" t="s">
        <v>1648</v>
      </c>
      <c r="G97" s="79" t="s">
        <v>38</v>
      </c>
      <c r="H97" s="2064" t="s">
        <v>1638</v>
      </c>
      <c r="I97" s="979">
        <v>495</v>
      </c>
      <c r="J97" s="160"/>
      <c r="K97" s="468"/>
      <c r="L97" s="1583">
        <v>473</v>
      </c>
      <c r="M97" s="1508">
        <v>41850000</v>
      </c>
      <c r="N97" s="1583">
        <v>508</v>
      </c>
      <c r="O97" s="1605">
        <v>41850000</v>
      </c>
      <c r="P97" s="1993">
        <v>361</v>
      </c>
      <c r="Q97" s="449"/>
      <c r="R97" s="449"/>
      <c r="S97" s="449"/>
      <c r="T97" s="166"/>
      <c r="U97" s="166"/>
      <c r="V97" s="166">
        <v>2418000</v>
      </c>
      <c r="W97" s="166">
        <v>5580000</v>
      </c>
      <c r="X97" s="166">
        <v>5580000</v>
      </c>
      <c r="Y97" s="166">
        <v>4650000</v>
      </c>
      <c r="Z97" s="166">
        <v>2604000</v>
      </c>
      <c r="AA97" s="166">
        <v>5580000</v>
      </c>
      <c r="AB97" s="1604">
        <f>4278000+5580000</f>
        <v>9858000</v>
      </c>
      <c r="AC97" s="450">
        <f t="shared" si="14"/>
        <v>36270000</v>
      </c>
      <c r="AD97" s="701">
        <f t="shared" si="15"/>
        <v>5580000</v>
      </c>
      <c r="AE97" s="1428"/>
      <c r="AF97" s="888">
        <v>495</v>
      </c>
      <c r="AG97" s="268" t="s">
        <v>239</v>
      </c>
      <c r="AH97" s="268" t="s">
        <v>644</v>
      </c>
      <c r="AI97" s="498">
        <f t="shared" si="12"/>
        <v>361</v>
      </c>
      <c r="AJ97" s="304">
        <f>44640000-2790000</f>
        <v>41850000</v>
      </c>
      <c r="AK97" s="871">
        <f t="shared" si="16"/>
        <v>0</v>
      </c>
      <c r="AL97" s="918"/>
      <c r="AM97" s="302">
        <f t="shared" si="13"/>
        <v>0</v>
      </c>
    </row>
    <row r="98" spans="1:39" s="8" customFormat="1">
      <c r="A98" s="82" t="s">
        <v>35</v>
      </c>
      <c r="B98" s="161">
        <f t="shared" si="11"/>
        <v>27000000</v>
      </c>
      <c r="C98" s="79" t="s">
        <v>36</v>
      </c>
      <c r="D98" s="79" t="s">
        <v>827</v>
      </c>
      <c r="E98" s="79" t="s">
        <v>37</v>
      </c>
      <c r="F98" s="79" t="s">
        <v>1648</v>
      </c>
      <c r="G98" s="79" t="s">
        <v>38</v>
      </c>
      <c r="H98" s="2064" t="s">
        <v>1638</v>
      </c>
      <c r="I98" s="979">
        <v>496</v>
      </c>
      <c r="J98" s="160"/>
      <c r="K98" s="468"/>
      <c r="L98" s="1583">
        <v>458</v>
      </c>
      <c r="M98" s="1508">
        <v>27000000</v>
      </c>
      <c r="N98" s="1583">
        <v>472</v>
      </c>
      <c r="O98" s="1605">
        <v>27000000</v>
      </c>
      <c r="P98" s="1993">
        <v>338</v>
      </c>
      <c r="Q98" s="449"/>
      <c r="R98" s="449"/>
      <c r="S98" s="449"/>
      <c r="T98" s="166"/>
      <c r="U98" s="166"/>
      <c r="V98" s="166">
        <v>2760000</v>
      </c>
      <c r="W98" s="166">
        <v>3600000</v>
      </c>
      <c r="X98" s="166">
        <v>3600000</v>
      </c>
      <c r="Y98" s="166">
        <v>3600000</v>
      </c>
      <c r="Z98" s="166">
        <v>3600000</v>
      </c>
      <c r="AA98" s="166">
        <v>3600000</v>
      </c>
      <c r="AB98" s="1604">
        <f>3600000+2640000</f>
        <v>6240000</v>
      </c>
      <c r="AC98" s="450">
        <f t="shared" si="14"/>
        <v>27000000</v>
      </c>
      <c r="AD98" s="701">
        <f t="shared" si="15"/>
        <v>0</v>
      </c>
      <c r="AE98" s="1428"/>
      <c r="AF98" s="888">
        <v>496</v>
      </c>
      <c r="AG98" s="268" t="s">
        <v>850</v>
      </c>
      <c r="AH98" s="268" t="s">
        <v>653</v>
      </c>
      <c r="AI98" s="498">
        <f t="shared" si="12"/>
        <v>338</v>
      </c>
      <c r="AJ98" s="304">
        <f>28800000-1800000</f>
        <v>27000000</v>
      </c>
      <c r="AK98" s="871">
        <f t="shared" si="16"/>
        <v>0</v>
      </c>
      <c r="AL98" s="918"/>
      <c r="AM98" s="302">
        <f t="shared" si="13"/>
        <v>0</v>
      </c>
    </row>
    <row r="99" spans="1:39" s="8" customFormat="1">
      <c r="A99" s="82" t="s">
        <v>35</v>
      </c>
      <c r="B99" s="161">
        <f t="shared" si="11"/>
        <v>4440000</v>
      </c>
      <c r="C99" s="79" t="s">
        <v>36</v>
      </c>
      <c r="D99" s="79" t="s">
        <v>827</v>
      </c>
      <c r="E99" s="79" t="s">
        <v>37</v>
      </c>
      <c r="F99" s="79" t="s">
        <v>1648</v>
      </c>
      <c r="G99" s="79" t="s">
        <v>38</v>
      </c>
      <c r="H99" s="2064" t="s">
        <v>1638</v>
      </c>
      <c r="I99" s="979" t="s">
        <v>325</v>
      </c>
      <c r="J99" s="160">
        <v>775</v>
      </c>
      <c r="K99" s="468">
        <v>4440000</v>
      </c>
      <c r="L99" s="1583">
        <v>892</v>
      </c>
      <c r="M99" s="1508">
        <v>4440000</v>
      </c>
      <c r="N99" s="1583">
        <v>1098</v>
      </c>
      <c r="O99" s="1605">
        <v>4440000</v>
      </c>
      <c r="P99" s="1993">
        <v>338</v>
      </c>
      <c r="Q99" s="449"/>
      <c r="R99" s="449"/>
      <c r="S99" s="449"/>
      <c r="T99" s="166"/>
      <c r="U99" s="166"/>
      <c r="V99" s="166"/>
      <c r="W99" s="166"/>
      <c r="X99" s="166"/>
      <c r="Y99" s="166"/>
      <c r="Z99" s="166"/>
      <c r="AA99" s="166"/>
      <c r="AB99" s="1604">
        <v>960000</v>
      </c>
      <c r="AC99" s="450">
        <f t="shared" si="14"/>
        <v>960000</v>
      </c>
      <c r="AD99" s="701">
        <f t="shared" si="15"/>
        <v>3480000</v>
      </c>
      <c r="AE99" s="1428"/>
      <c r="AF99" s="888" t="s">
        <v>325</v>
      </c>
      <c r="AG99" s="268" t="s">
        <v>1380</v>
      </c>
      <c r="AH99" s="268" t="s">
        <v>653</v>
      </c>
      <c r="AI99" s="498">
        <f t="shared" si="12"/>
        <v>338</v>
      </c>
      <c r="AJ99" s="984">
        <f>4400000-4400000+4440000</f>
        <v>4440000</v>
      </c>
      <c r="AK99" s="871">
        <f t="shared" si="16"/>
        <v>0</v>
      </c>
      <c r="AL99" s="918"/>
      <c r="AM99" s="302">
        <f t="shared" si="13"/>
        <v>0</v>
      </c>
    </row>
    <row r="100" spans="1:39" s="8" customFormat="1">
      <c r="A100" s="82" t="s">
        <v>35</v>
      </c>
      <c r="B100" s="161">
        <f t="shared" si="11"/>
        <v>9650000</v>
      </c>
      <c r="C100" s="79" t="s">
        <v>36</v>
      </c>
      <c r="D100" s="79" t="s">
        <v>827</v>
      </c>
      <c r="E100" s="79" t="s">
        <v>37</v>
      </c>
      <c r="F100" s="79" t="s">
        <v>1648</v>
      </c>
      <c r="G100" s="79" t="s">
        <v>38</v>
      </c>
      <c r="H100" s="2064" t="s">
        <v>1638</v>
      </c>
      <c r="I100" s="979">
        <v>497</v>
      </c>
      <c r="J100" s="160"/>
      <c r="K100" s="468"/>
      <c r="L100" s="1583">
        <v>459</v>
      </c>
      <c r="M100" s="1508">
        <v>9650000</v>
      </c>
      <c r="N100" s="1583">
        <v>484</v>
      </c>
      <c r="O100" s="1508">
        <v>9650000</v>
      </c>
      <c r="P100" s="1993">
        <v>350</v>
      </c>
      <c r="Q100" s="449"/>
      <c r="R100" s="449"/>
      <c r="S100" s="449"/>
      <c r="T100" s="166"/>
      <c r="U100" s="166"/>
      <c r="V100" s="166">
        <v>4854667</v>
      </c>
      <c r="W100" s="166">
        <v>4795333</v>
      </c>
      <c r="X100" s="166">
        <v>0</v>
      </c>
      <c r="Y100" s="166">
        <v>0</v>
      </c>
      <c r="Z100" s="166">
        <v>0</v>
      </c>
      <c r="AA100" s="166">
        <v>0</v>
      </c>
      <c r="AB100" s="1604">
        <v>0</v>
      </c>
      <c r="AC100" s="450">
        <f t="shared" si="14"/>
        <v>9650000</v>
      </c>
      <c r="AD100" s="701">
        <f t="shared" si="15"/>
        <v>0</v>
      </c>
      <c r="AE100" s="1428"/>
      <c r="AF100" s="888">
        <v>497</v>
      </c>
      <c r="AG100" s="268" t="s">
        <v>306</v>
      </c>
      <c r="AH100" s="268" t="s">
        <v>650</v>
      </c>
      <c r="AI100" s="498">
        <f t="shared" si="12"/>
        <v>350</v>
      </c>
      <c r="AJ100" s="984">
        <f>12960000-3310000</f>
        <v>9650000</v>
      </c>
      <c r="AK100" s="871">
        <f t="shared" si="16"/>
        <v>0</v>
      </c>
      <c r="AL100" s="918"/>
      <c r="AM100" s="302">
        <f t="shared" si="13"/>
        <v>0</v>
      </c>
    </row>
    <row r="101" spans="1:39" s="8" customFormat="1">
      <c r="A101" s="82" t="s">
        <v>35</v>
      </c>
      <c r="B101" s="161">
        <f>M101</f>
        <v>0</v>
      </c>
      <c r="C101" s="79" t="s">
        <v>36</v>
      </c>
      <c r="D101" s="79" t="s">
        <v>827</v>
      </c>
      <c r="E101" s="79" t="s">
        <v>37</v>
      </c>
      <c r="F101" s="79" t="s">
        <v>1648</v>
      </c>
      <c r="G101" s="79" t="s">
        <v>38</v>
      </c>
      <c r="H101" s="2064" t="s">
        <v>1638</v>
      </c>
      <c r="I101" s="225" t="s">
        <v>325</v>
      </c>
      <c r="J101" s="160">
        <v>0</v>
      </c>
      <c r="K101" s="468"/>
      <c r="L101" s="1583">
        <v>404</v>
      </c>
      <c r="M101" s="1508">
        <f>38000000-38000000</f>
        <v>0</v>
      </c>
      <c r="N101" s="1583"/>
      <c r="O101" s="1605"/>
      <c r="P101" s="1993"/>
      <c r="Q101" s="449"/>
      <c r="R101" s="449"/>
      <c r="S101" s="449"/>
      <c r="T101" s="166"/>
      <c r="U101" s="166"/>
      <c r="V101" s="166"/>
      <c r="W101" s="166"/>
      <c r="X101" s="166"/>
      <c r="Y101" s="166"/>
      <c r="Z101" s="166"/>
      <c r="AA101" s="166"/>
      <c r="AB101" s="1604"/>
      <c r="AC101" s="450">
        <f t="shared" si="14"/>
        <v>0</v>
      </c>
      <c r="AD101" s="701">
        <f t="shared" si="15"/>
        <v>0</v>
      </c>
      <c r="AE101" s="1428"/>
      <c r="AF101" s="888" t="s">
        <v>325</v>
      </c>
      <c r="AG101" s="268" t="s">
        <v>851</v>
      </c>
      <c r="AH101" s="268" t="s">
        <v>173</v>
      </c>
      <c r="AI101" s="498">
        <f t="shared" si="12"/>
        <v>0</v>
      </c>
      <c r="AJ101" s="984">
        <f>38000000-38000000</f>
        <v>0</v>
      </c>
      <c r="AK101" s="871">
        <f t="shared" si="16"/>
        <v>0</v>
      </c>
      <c r="AL101" s="918"/>
      <c r="AM101" s="302">
        <f t="shared" si="13"/>
        <v>0</v>
      </c>
    </row>
    <row r="102" spans="1:39" s="8" customFormat="1">
      <c r="A102" s="82" t="s">
        <v>35</v>
      </c>
      <c r="B102" s="161">
        <f t="shared" si="11"/>
        <v>11200000</v>
      </c>
      <c r="C102" s="79" t="s">
        <v>36</v>
      </c>
      <c r="D102" s="79" t="s">
        <v>827</v>
      </c>
      <c r="E102" s="79" t="s">
        <v>37</v>
      </c>
      <c r="F102" s="79" t="s">
        <v>1648</v>
      </c>
      <c r="G102" s="79" t="s">
        <v>38</v>
      </c>
      <c r="H102" s="2064" t="s">
        <v>1638</v>
      </c>
      <c r="I102" s="979">
        <v>500</v>
      </c>
      <c r="J102" s="160"/>
      <c r="K102" s="468"/>
      <c r="L102" s="1583">
        <v>489</v>
      </c>
      <c r="M102" s="1508">
        <v>11200000</v>
      </c>
      <c r="N102" s="1583">
        <v>558</v>
      </c>
      <c r="O102" s="1605">
        <v>11200000</v>
      </c>
      <c r="P102" s="1993">
        <v>366</v>
      </c>
      <c r="Q102" s="449"/>
      <c r="R102" s="449"/>
      <c r="S102" s="449"/>
      <c r="T102" s="166"/>
      <c r="U102" s="166"/>
      <c r="V102" s="166"/>
      <c r="W102" s="166">
        <v>3080000</v>
      </c>
      <c r="X102" s="166">
        <v>2800000</v>
      </c>
      <c r="Y102" s="166">
        <v>2800000</v>
      </c>
      <c r="Z102" s="166">
        <v>2520000</v>
      </c>
      <c r="AA102" s="166"/>
      <c r="AB102" s="1604"/>
      <c r="AC102" s="450">
        <f t="shared" si="14"/>
        <v>11200000</v>
      </c>
      <c r="AD102" s="701">
        <f t="shared" si="15"/>
        <v>0</v>
      </c>
      <c r="AE102" s="1428"/>
      <c r="AF102" s="888">
        <v>500</v>
      </c>
      <c r="AG102" s="268" t="s">
        <v>890</v>
      </c>
      <c r="AH102" s="268" t="s">
        <v>1022</v>
      </c>
      <c r="AI102" s="498">
        <f t="shared" si="12"/>
        <v>366</v>
      </c>
      <c r="AJ102" s="984">
        <f>28000000-16800000</f>
        <v>11200000</v>
      </c>
      <c r="AK102" s="871">
        <f t="shared" si="16"/>
        <v>0</v>
      </c>
      <c r="AL102" s="918"/>
      <c r="AM102" s="302">
        <f t="shared" si="13"/>
        <v>0</v>
      </c>
    </row>
    <row r="103" spans="1:39" s="8" customFormat="1">
      <c r="A103" s="82" t="s">
        <v>35</v>
      </c>
      <c r="B103" s="161">
        <f t="shared" si="11"/>
        <v>28000000</v>
      </c>
      <c r="C103" s="79" t="s">
        <v>36</v>
      </c>
      <c r="D103" s="79" t="s">
        <v>827</v>
      </c>
      <c r="E103" s="79" t="s">
        <v>37</v>
      </c>
      <c r="F103" s="79" t="s">
        <v>1648</v>
      </c>
      <c r="G103" s="79" t="s">
        <v>38</v>
      </c>
      <c r="H103" s="2064" t="s">
        <v>1638</v>
      </c>
      <c r="I103" s="979">
        <v>523</v>
      </c>
      <c r="J103" s="160"/>
      <c r="K103" s="468"/>
      <c r="L103" s="1583">
        <v>512</v>
      </c>
      <c r="M103" s="1508">
        <v>28000000</v>
      </c>
      <c r="N103" s="1583">
        <v>579</v>
      </c>
      <c r="O103" s="1605">
        <v>28000000</v>
      </c>
      <c r="P103" s="1993">
        <v>375</v>
      </c>
      <c r="Q103" s="449"/>
      <c r="R103" s="449"/>
      <c r="S103" s="449"/>
      <c r="T103" s="449"/>
      <c r="U103" s="166"/>
      <c r="V103" s="166"/>
      <c r="W103" s="166">
        <v>4000000</v>
      </c>
      <c r="X103" s="166">
        <v>4000000</v>
      </c>
      <c r="Y103" s="166">
        <v>4000000</v>
      </c>
      <c r="Z103" s="166">
        <v>4000000</v>
      </c>
      <c r="AA103" s="166">
        <v>4000000</v>
      </c>
      <c r="AB103" s="1604">
        <f>4000000+4000000</f>
        <v>8000000</v>
      </c>
      <c r="AC103" s="450">
        <f t="shared" si="14"/>
        <v>28000000</v>
      </c>
      <c r="AD103" s="701">
        <f t="shared" si="15"/>
        <v>0</v>
      </c>
      <c r="AE103" s="1428"/>
      <c r="AF103" s="888">
        <v>523</v>
      </c>
      <c r="AG103" s="268" t="s">
        <v>959</v>
      </c>
      <c r="AH103" s="268" t="s">
        <v>1058</v>
      </c>
      <c r="AI103" s="498">
        <f t="shared" si="12"/>
        <v>375</v>
      </c>
      <c r="AJ103" s="984">
        <v>28000000</v>
      </c>
      <c r="AK103" s="871">
        <f t="shared" si="16"/>
        <v>0</v>
      </c>
      <c r="AL103" s="918"/>
      <c r="AM103" s="302">
        <f t="shared" si="13"/>
        <v>0</v>
      </c>
    </row>
    <row r="104" spans="1:39" s="8" customFormat="1">
      <c r="A104" s="82" t="s">
        <v>35</v>
      </c>
      <c r="B104" s="161">
        <f t="shared" si="11"/>
        <v>26600000</v>
      </c>
      <c r="C104" s="79" t="s">
        <v>36</v>
      </c>
      <c r="D104" s="79" t="s">
        <v>827</v>
      </c>
      <c r="E104" s="79" t="s">
        <v>37</v>
      </c>
      <c r="F104" s="79" t="s">
        <v>1648</v>
      </c>
      <c r="G104" s="79" t="s">
        <v>38</v>
      </c>
      <c r="H104" s="2064" t="s">
        <v>1638</v>
      </c>
      <c r="I104" s="979">
        <v>524</v>
      </c>
      <c r="J104" s="160"/>
      <c r="K104" s="468"/>
      <c r="L104" s="1583">
        <v>513</v>
      </c>
      <c r="M104" s="1508">
        <v>26600000</v>
      </c>
      <c r="N104" s="1583">
        <v>580</v>
      </c>
      <c r="O104" s="1605">
        <v>26600000</v>
      </c>
      <c r="P104" s="1993">
        <v>376</v>
      </c>
      <c r="Q104" s="449"/>
      <c r="R104" s="449"/>
      <c r="S104" s="449"/>
      <c r="T104" s="449"/>
      <c r="U104" s="166"/>
      <c r="V104" s="166"/>
      <c r="W104" s="166">
        <v>3800000</v>
      </c>
      <c r="X104" s="166">
        <v>3800000</v>
      </c>
      <c r="Y104" s="166">
        <v>3800000</v>
      </c>
      <c r="Z104" s="166">
        <v>3800000</v>
      </c>
      <c r="AA104" s="166">
        <v>3800000</v>
      </c>
      <c r="AB104" s="1604">
        <f>3800000+3800000</f>
        <v>7600000</v>
      </c>
      <c r="AC104" s="450">
        <f t="shared" si="14"/>
        <v>26600000</v>
      </c>
      <c r="AD104" s="701">
        <f t="shared" si="15"/>
        <v>0</v>
      </c>
      <c r="AE104" s="1428"/>
      <c r="AF104" s="888">
        <v>524</v>
      </c>
      <c r="AG104" s="268" t="s">
        <v>960</v>
      </c>
      <c r="AH104" s="268" t="s">
        <v>1059</v>
      </c>
      <c r="AI104" s="498">
        <f t="shared" si="12"/>
        <v>376</v>
      </c>
      <c r="AJ104" s="984">
        <v>26600000</v>
      </c>
      <c r="AK104" s="871">
        <f t="shared" si="16"/>
        <v>0</v>
      </c>
      <c r="AL104" s="918"/>
      <c r="AM104" s="302">
        <f t="shared" si="13"/>
        <v>0</v>
      </c>
    </row>
    <row r="105" spans="1:39" s="8" customFormat="1">
      <c r="A105" s="82" t="s">
        <v>35</v>
      </c>
      <c r="B105" s="161">
        <f t="shared" si="11"/>
        <v>5700000</v>
      </c>
      <c r="C105" s="79" t="s">
        <v>36</v>
      </c>
      <c r="D105" s="79" t="s">
        <v>827</v>
      </c>
      <c r="E105" s="79" t="s">
        <v>37</v>
      </c>
      <c r="F105" s="79" t="s">
        <v>1648</v>
      </c>
      <c r="G105" s="79" t="s">
        <v>38</v>
      </c>
      <c r="H105" s="2064" t="s">
        <v>1638</v>
      </c>
      <c r="I105" s="979" t="s">
        <v>325</v>
      </c>
      <c r="J105" s="160">
        <v>781</v>
      </c>
      <c r="K105" s="468">
        <v>5700000</v>
      </c>
      <c r="L105" s="1583">
        <v>900</v>
      </c>
      <c r="M105" s="1508">
        <v>5700000</v>
      </c>
      <c r="N105" s="1583">
        <v>1099</v>
      </c>
      <c r="O105" s="1605">
        <v>5700000</v>
      </c>
      <c r="P105" s="1993">
        <v>376</v>
      </c>
      <c r="Q105" s="449"/>
      <c r="R105" s="449"/>
      <c r="S105" s="449"/>
      <c r="T105" s="449"/>
      <c r="U105" s="166"/>
      <c r="V105" s="449"/>
      <c r="W105" s="449"/>
      <c r="X105" s="166"/>
      <c r="Y105" s="166"/>
      <c r="Z105" s="166"/>
      <c r="AA105" s="166"/>
      <c r="AB105" s="1604"/>
      <c r="AC105" s="450">
        <f t="shared" si="14"/>
        <v>0</v>
      </c>
      <c r="AD105" s="701">
        <f t="shared" si="15"/>
        <v>5700000</v>
      </c>
      <c r="AE105" s="1428"/>
      <c r="AF105" s="888" t="s">
        <v>325</v>
      </c>
      <c r="AG105" s="268" t="s">
        <v>1379</v>
      </c>
      <c r="AH105" s="268" t="s">
        <v>1059</v>
      </c>
      <c r="AI105" s="498">
        <f t="shared" si="12"/>
        <v>376</v>
      </c>
      <c r="AJ105" s="984">
        <f>3800000-3800000+5700000</f>
        <v>5700000</v>
      </c>
      <c r="AK105" s="871">
        <f t="shared" si="16"/>
        <v>0</v>
      </c>
      <c r="AL105" s="918"/>
      <c r="AM105" s="302">
        <f t="shared" si="13"/>
        <v>0</v>
      </c>
    </row>
    <row r="106" spans="1:39" s="8" customFormat="1">
      <c r="A106" s="82" t="s">
        <v>35</v>
      </c>
      <c r="B106" s="161">
        <f t="shared" si="11"/>
        <v>21000000</v>
      </c>
      <c r="C106" s="79" t="s">
        <v>36</v>
      </c>
      <c r="D106" s="79" t="s">
        <v>827</v>
      </c>
      <c r="E106" s="79" t="s">
        <v>37</v>
      </c>
      <c r="F106" s="79" t="s">
        <v>1648</v>
      </c>
      <c r="G106" s="79" t="s">
        <v>38</v>
      </c>
      <c r="H106" s="2064" t="s">
        <v>1638</v>
      </c>
      <c r="I106" s="979">
        <v>525</v>
      </c>
      <c r="J106" s="160">
        <v>567</v>
      </c>
      <c r="K106" s="468">
        <v>36000000</v>
      </c>
      <c r="L106" s="1583">
        <v>649</v>
      </c>
      <c r="M106" s="1508">
        <f>36000000-15000000</f>
        <v>21000000</v>
      </c>
      <c r="N106" s="1583">
        <v>821</v>
      </c>
      <c r="O106" s="1605">
        <v>21000000</v>
      </c>
      <c r="P106" s="1993">
        <v>451</v>
      </c>
      <c r="Q106" s="449"/>
      <c r="R106" s="449"/>
      <c r="S106" s="449"/>
      <c r="T106" s="449"/>
      <c r="U106" s="166"/>
      <c r="V106" s="449"/>
      <c r="W106" s="449"/>
      <c r="X106" s="166"/>
      <c r="Y106" s="166"/>
      <c r="Z106" s="166">
        <v>3000000</v>
      </c>
      <c r="AA106" s="166">
        <v>6000000</v>
      </c>
      <c r="AB106" s="1604">
        <f>6000000+6000000</f>
        <v>12000000</v>
      </c>
      <c r="AC106" s="450">
        <f t="shared" si="14"/>
        <v>21000000</v>
      </c>
      <c r="AD106" s="701">
        <f t="shared" si="15"/>
        <v>0</v>
      </c>
      <c r="AE106" s="1428"/>
      <c r="AF106" s="888">
        <v>525</v>
      </c>
      <c r="AG106" s="268" t="s">
        <v>961</v>
      </c>
      <c r="AH106" s="268" t="s">
        <v>1270</v>
      </c>
      <c r="AI106" s="498">
        <f t="shared" si="12"/>
        <v>451</v>
      </c>
      <c r="AJ106" s="984">
        <f>36000000-15000000</f>
        <v>21000000</v>
      </c>
      <c r="AK106" s="871">
        <f t="shared" si="16"/>
        <v>0</v>
      </c>
      <c r="AL106" s="918"/>
      <c r="AM106" s="302">
        <f t="shared" si="13"/>
        <v>0</v>
      </c>
    </row>
    <row r="107" spans="1:39" s="8" customFormat="1">
      <c r="A107" s="82" t="s">
        <v>35</v>
      </c>
      <c r="B107" s="161">
        <f t="shared" si="11"/>
        <v>1500000</v>
      </c>
      <c r="C107" s="79" t="s">
        <v>36</v>
      </c>
      <c r="D107" s="79" t="s">
        <v>827</v>
      </c>
      <c r="E107" s="79" t="s">
        <v>37</v>
      </c>
      <c r="F107" s="79" t="s">
        <v>1648</v>
      </c>
      <c r="G107" s="79" t="s">
        <v>38</v>
      </c>
      <c r="H107" s="2064" t="s">
        <v>1638</v>
      </c>
      <c r="I107" s="979" t="s">
        <v>325</v>
      </c>
      <c r="J107" s="160">
        <v>688</v>
      </c>
      <c r="K107" s="468">
        <v>3000000</v>
      </c>
      <c r="L107" s="1583">
        <v>786</v>
      </c>
      <c r="M107" s="1508">
        <f>3000000-1500000</f>
        <v>1500000</v>
      </c>
      <c r="N107" s="1583">
        <v>1028</v>
      </c>
      <c r="O107" s="1605">
        <v>1500000</v>
      </c>
      <c r="P107" s="1993">
        <v>451</v>
      </c>
      <c r="Q107" s="449"/>
      <c r="R107" s="449"/>
      <c r="S107" s="449"/>
      <c r="T107" s="449"/>
      <c r="U107" s="166"/>
      <c r="V107" s="449"/>
      <c r="W107" s="449"/>
      <c r="X107" s="166"/>
      <c r="Y107" s="166"/>
      <c r="Z107" s="166"/>
      <c r="AA107" s="166"/>
      <c r="AB107" s="1604">
        <v>1500000</v>
      </c>
      <c r="AC107" s="450">
        <f t="shared" si="14"/>
        <v>1500000</v>
      </c>
      <c r="AD107" s="701">
        <f t="shared" si="15"/>
        <v>0</v>
      </c>
      <c r="AE107" s="1428"/>
      <c r="AF107" s="888" t="s">
        <v>325</v>
      </c>
      <c r="AG107" s="268" t="s">
        <v>1303</v>
      </c>
      <c r="AH107" s="268" t="s">
        <v>1270</v>
      </c>
      <c r="AI107" s="498">
        <f t="shared" si="12"/>
        <v>451</v>
      </c>
      <c r="AJ107" s="984">
        <v>3000000</v>
      </c>
      <c r="AK107" s="871">
        <f t="shared" si="16"/>
        <v>1500000</v>
      </c>
      <c r="AL107" s="918"/>
      <c r="AM107" s="302">
        <f t="shared" si="13"/>
        <v>1500000</v>
      </c>
    </row>
    <row r="108" spans="1:39" s="8" customFormat="1">
      <c r="A108" s="82" t="s">
        <v>35</v>
      </c>
      <c r="B108" s="161">
        <f t="shared" si="11"/>
        <v>12250000</v>
      </c>
      <c r="C108" s="79" t="s">
        <v>36</v>
      </c>
      <c r="D108" s="79" t="s">
        <v>827</v>
      </c>
      <c r="E108" s="79" t="s">
        <v>37</v>
      </c>
      <c r="F108" s="79" t="s">
        <v>1648</v>
      </c>
      <c r="G108" s="79" t="s">
        <v>38</v>
      </c>
      <c r="H108" s="2064" t="s">
        <v>1638</v>
      </c>
      <c r="I108" s="979">
        <v>526</v>
      </c>
      <c r="J108" s="160"/>
      <c r="K108" s="468"/>
      <c r="L108" s="1583">
        <v>645</v>
      </c>
      <c r="M108" s="1508">
        <f>18000000-5750000</f>
        <v>12250000</v>
      </c>
      <c r="N108" s="1583">
        <v>802</v>
      </c>
      <c r="O108" s="1605">
        <v>12250000</v>
      </c>
      <c r="P108" s="1993">
        <v>450</v>
      </c>
      <c r="Q108" s="449"/>
      <c r="R108" s="449"/>
      <c r="S108" s="449"/>
      <c r="T108" s="449"/>
      <c r="U108" s="166"/>
      <c r="V108" s="449"/>
      <c r="W108" s="449"/>
      <c r="X108" s="166"/>
      <c r="Y108" s="166"/>
      <c r="Z108" s="166">
        <v>3383334</v>
      </c>
      <c r="AA108" s="166">
        <v>3500000</v>
      </c>
      <c r="AB108" s="1604">
        <f>3500000+1866666</f>
        <v>5366666</v>
      </c>
      <c r="AC108" s="450">
        <f t="shared" si="14"/>
        <v>12250000</v>
      </c>
      <c r="AD108" s="701">
        <f t="shared" si="15"/>
        <v>0</v>
      </c>
      <c r="AE108" s="1428"/>
      <c r="AF108" s="888">
        <v>526</v>
      </c>
      <c r="AG108" s="268" t="s">
        <v>962</v>
      </c>
      <c r="AH108" s="268" t="s">
        <v>1233</v>
      </c>
      <c r="AI108" s="498">
        <f t="shared" si="12"/>
        <v>450</v>
      </c>
      <c r="AJ108" s="984">
        <f>18000000-5750000</f>
        <v>12250000</v>
      </c>
      <c r="AK108" s="871">
        <f t="shared" si="16"/>
        <v>0</v>
      </c>
      <c r="AL108" s="918"/>
      <c r="AM108" s="302">
        <f t="shared" si="13"/>
        <v>0</v>
      </c>
    </row>
    <row r="109" spans="1:39" s="8" customFormat="1">
      <c r="A109" s="82" t="s">
        <v>35</v>
      </c>
      <c r="B109" s="161">
        <f t="shared" si="11"/>
        <v>0</v>
      </c>
      <c r="C109" s="79" t="s">
        <v>36</v>
      </c>
      <c r="D109" s="79" t="s">
        <v>827</v>
      </c>
      <c r="E109" s="79" t="s">
        <v>37</v>
      </c>
      <c r="F109" s="79" t="s">
        <v>1648</v>
      </c>
      <c r="G109" s="79" t="s">
        <v>38</v>
      </c>
      <c r="H109" s="2064" t="s">
        <v>1638</v>
      </c>
      <c r="I109" s="979">
        <v>527</v>
      </c>
      <c r="J109" s="160"/>
      <c r="K109" s="468"/>
      <c r="L109" s="1583"/>
      <c r="M109" s="1508"/>
      <c r="N109" s="1583"/>
      <c r="O109" s="1605"/>
      <c r="P109" s="1993"/>
      <c r="Q109" s="449"/>
      <c r="R109" s="449"/>
      <c r="S109" s="449"/>
      <c r="T109" s="449"/>
      <c r="U109" s="166"/>
      <c r="V109" s="449"/>
      <c r="W109" s="449"/>
      <c r="X109" s="166"/>
      <c r="Y109" s="166"/>
      <c r="Z109" s="166"/>
      <c r="AA109" s="166"/>
      <c r="AB109" s="1604"/>
      <c r="AC109" s="450">
        <f t="shared" si="14"/>
        <v>0</v>
      </c>
      <c r="AD109" s="701">
        <f t="shared" si="15"/>
        <v>0</v>
      </c>
      <c r="AE109" s="1428"/>
      <c r="AF109" s="888">
        <v>527</v>
      </c>
      <c r="AG109" s="268" t="s">
        <v>963</v>
      </c>
      <c r="AH109" s="268" t="s">
        <v>173</v>
      </c>
      <c r="AI109" s="498">
        <f t="shared" si="12"/>
        <v>0</v>
      </c>
      <c r="AJ109" s="984">
        <f>10500000-10500000</f>
        <v>0</v>
      </c>
      <c r="AK109" s="871">
        <f t="shared" si="16"/>
        <v>0</v>
      </c>
      <c r="AL109" s="918"/>
      <c r="AM109" s="302">
        <f t="shared" si="13"/>
        <v>0</v>
      </c>
    </row>
    <row r="110" spans="1:39" s="8" customFormat="1">
      <c r="A110" s="82" t="s">
        <v>35</v>
      </c>
      <c r="B110" s="161">
        <f t="shared" si="11"/>
        <v>0</v>
      </c>
      <c r="C110" s="79" t="s">
        <v>36</v>
      </c>
      <c r="D110" s="79" t="s">
        <v>827</v>
      </c>
      <c r="E110" s="79" t="s">
        <v>37</v>
      </c>
      <c r="F110" s="79" t="s">
        <v>1648</v>
      </c>
      <c r="G110" s="79" t="s">
        <v>38</v>
      </c>
      <c r="H110" s="2064" t="s">
        <v>1638</v>
      </c>
      <c r="I110" s="979">
        <v>528</v>
      </c>
      <c r="J110" s="160"/>
      <c r="K110" s="468"/>
      <c r="L110" s="1583"/>
      <c r="M110" s="1508"/>
      <c r="N110" s="1583"/>
      <c r="O110" s="1605"/>
      <c r="P110" s="1993"/>
      <c r="Q110" s="449"/>
      <c r="R110" s="449"/>
      <c r="S110" s="449"/>
      <c r="T110" s="449"/>
      <c r="U110" s="166"/>
      <c r="V110" s="449"/>
      <c r="W110" s="449"/>
      <c r="X110" s="166"/>
      <c r="Y110" s="166"/>
      <c r="Z110" s="166"/>
      <c r="AA110" s="166"/>
      <c r="AB110" s="1604"/>
      <c r="AC110" s="450">
        <f t="shared" si="14"/>
        <v>0</v>
      </c>
      <c r="AD110" s="701">
        <f t="shared" si="15"/>
        <v>0</v>
      </c>
      <c r="AE110" s="1428"/>
      <c r="AF110" s="888">
        <v>528</v>
      </c>
      <c r="AG110" s="268" t="s">
        <v>964</v>
      </c>
      <c r="AH110" s="268" t="s">
        <v>173</v>
      </c>
      <c r="AI110" s="498">
        <f t="shared" si="12"/>
        <v>0</v>
      </c>
      <c r="AJ110" s="984">
        <f>6000000-6000000</f>
        <v>0</v>
      </c>
      <c r="AK110" s="871">
        <f t="shared" si="16"/>
        <v>0</v>
      </c>
      <c r="AL110" s="918"/>
      <c r="AM110" s="302">
        <f t="shared" si="13"/>
        <v>0</v>
      </c>
    </row>
    <row r="111" spans="1:39" s="8" customFormat="1">
      <c r="A111" s="82" t="s">
        <v>35</v>
      </c>
      <c r="B111" s="161">
        <f t="shared" si="11"/>
        <v>15000000</v>
      </c>
      <c r="C111" s="79" t="s">
        <v>36</v>
      </c>
      <c r="D111" s="79" t="s">
        <v>827</v>
      </c>
      <c r="E111" s="79" t="s">
        <v>37</v>
      </c>
      <c r="F111" s="79" t="s">
        <v>1648</v>
      </c>
      <c r="G111" s="79" t="s">
        <v>38</v>
      </c>
      <c r="H111" s="2064" t="s">
        <v>1638</v>
      </c>
      <c r="I111" s="979">
        <v>529</v>
      </c>
      <c r="J111" s="160"/>
      <c r="K111" s="468"/>
      <c r="L111" s="1583">
        <v>591</v>
      </c>
      <c r="M111" s="1508">
        <v>15000000</v>
      </c>
      <c r="N111" s="1583">
        <v>705</v>
      </c>
      <c r="O111" s="1605">
        <v>15000000</v>
      </c>
      <c r="P111" s="1993">
        <v>418</v>
      </c>
      <c r="Q111" s="449"/>
      <c r="R111" s="449"/>
      <c r="S111" s="449"/>
      <c r="T111" s="449"/>
      <c r="U111" s="166"/>
      <c r="V111" s="449"/>
      <c r="W111" s="449"/>
      <c r="X111" s="166"/>
      <c r="Y111" s="166">
        <v>3800000</v>
      </c>
      <c r="Z111" s="166">
        <v>3000000</v>
      </c>
      <c r="AA111" s="166">
        <v>3000000</v>
      </c>
      <c r="AB111" s="1604">
        <f>3000000+2200000</f>
        <v>5200000</v>
      </c>
      <c r="AC111" s="450">
        <f t="shared" si="14"/>
        <v>15000000</v>
      </c>
      <c r="AD111" s="701">
        <f t="shared" si="15"/>
        <v>0</v>
      </c>
      <c r="AE111" s="1428"/>
      <c r="AF111" s="888">
        <v>529</v>
      </c>
      <c r="AG111" s="268" t="s">
        <v>965</v>
      </c>
      <c r="AH111" s="268" t="s">
        <v>1126</v>
      </c>
      <c r="AI111" s="498">
        <f t="shared" si="12"/>
        <v>418</v>
      </c>
      <c r="AJ111" s="984">
        <f>24500000-9500000</f>
        <v>15000000</v>
      </c>
      <c r="AK111" s="871">
        <f t="shared" si="16"/>
        <v>0</v>
      </c>
      <c r="AL111" s="918"/>
      <c r="AM111" s="302">
        <f t="shared" si="13"/>
        <v>0</v>
      </c>
    </row>
    <row r="112" spans="1:39" s="8" customFormat="1">
      <c r="A112" s="82" t="s">
        <v>35</v>
      </c>
      <c r="B112" s="161">
        <f t="shared" si="11"/>
        <v>14577500</v>
      </c>
      <c r="C112" s="79" t="s">
        <v>36</v>
      </c>
      <c r="D112" s="79" t="s">
        <v>827</v>
      </c>
      <c r="E112" s="79" t="s">
        <v>37</v>
      </c>
      <c r="F112" s="79" t="s">
        <v>1648</v>
      </c>
      <c r="G112" s="79" t="s">
        <v>38</v>
      </c>
      <c r="H112" s="2064" t="s">
        <v>1638</v>
      </c>
      <c r="I112" s="979">
        <v>530</v>
      </c>
      <c r="J112" s="160"/>
      <c r="K112" s="468"/>
      <c r="L112" s="1583">
        <v>646</v>
      </c>
      <c r="M112" s="1508">
        <f>20000000-5422500</f>
        <v>14577500</v>
      </c>
      <c r="N112" s="1583">
        <v>810</v>
      </c>
      <c r="O112" s="1605">
        <v>14577500</v>
      </c>
      <c r="P112" s="1993">
        <v>445</v>
      </c>
      <c r="Q112" s="449"/>
      <c r="R112" s="449"/>
      <c r="S112" s="449"/>
      <c r="T112" s="449"/>
      <c r="U112" s="166"/>
      <c r="V112" s="449"/>
      <c r="W112" s="449"/>
      <c r="X112" s="450"/>
      <c r="Y112" s="166"/>
      <c r="Z112" s="166">
        <v>2082500</v>
      </c>
      <c r="AA112" s="166">
        <v>4165000</v>
      </c>
      <c r="AB112" s="1604">
        <f>4165000+4165000</f>
        <v>8330000</v>
      </c>
      <c r="AC112" s="450">
        <f t="shared" si="14"/>
        <v>14577500</v>
      </c>
      <c r="AD112" s="701">
        <f t="shared" si="15"/>
        <v>0</v>
      </c>
      <c r="AE112" s="1428"/>
      <c r="AF112" s="888">
        <v>530</v>
      </c>
      <c r="AG112" s="268" t="s">
        <v>966</v>
      </c>
      <c r="AH112" s="268" t="s">
        <v>1268</v>
      </c>
      <c r="AI112" s="498">
        <f t="shared" si="12"/>
        <v>445</v>
      </c>
      <c r="AJ112" s="984">
        <f>15000000+5000000-5422500</f>
        <v>14577500</v>
      </c>
      <c r="AK112" s="871">
        <f t="shared" si="16"/>
        <v>0</v>
      </c>
      <c r="AL112" s="918"/>
      <c r="AM112" s="302">
        <f t="shared" si="13"/>
        <v>0</v>
      </c>
    </row>
    <row r="113" spans="1:39" s="8" customFormat="1">
      <c r="A113" s="82" t="s">
        <v>35</v>
      </c>
      <c r="B113" s="161">
        <f t="shared" si="11"/>
        <v>0</v>
      </c>
      <c r="C113" s="79" t="s">
        <v>36</v>
      </c>
      <c r="D113" s="79" t="s">
        <v>827</v>
      </c>
      <c r="E113" s="79" t="s">
        <v>37</v>
      </c>
      <c r="F113" s="79" t="s">
        <v>1648</v>
      </c>
      <c r="G113" s="79" t="s">
        <v>38</v>
      </c>
      <c r="H113" s="2064" t="s">
        <v>1638</v>
      </c>
      <c r="I113" s="979">
        <v>531</v>
      </c>
      <c r="J113" s="160"/>
      <c r="K113" s="468"/>
      <c r="L113" s="1583"/>
      <c r="M113" s="1508"/>
      <c r="N113" s="1583"/>
      <c r="O113" s="1605"/>
      <c r="P113" s="1993"/>
      <c r="Q113" s="449"/>
      <c r="R113" s="449"/>
      <c r="S113" s="449"/>
      <c r="T113" s="449"/>
      <c r="U113" s="166"/>
      <c r="V113" s="449"/>
      <c r="W113" s="449"/>
      <c r="X113" s="450"/>
      <c r="Y113" s="166"/>
      <c r="Z113" s="166"/>
      <c r="AA113" s="166"/>
      <c r="AB113" s="1604"/>
      <c r="AC113" s="450">
        <f t="shared" si="14"/>
        <v>0</v>
      </c>
      <c r="AD113" s="701">
        <f t="shared" si="15"/>
        <v>0</v>
      </c>
      <c r="AE113" s="1428"/>
      <c r="AF113" s="888">
        <v>531</v>
      </c>
      <c r="AG113" s="268" t="s">
        <v>967</v>
      </c>
      <c r="AH113" s="268" t="s">
        <v>173</v>
      </c>
      <c r="AI113" s="498">
        <f t="shared" si="12"/>
        <v>0</v>
      </c>
      <c r="AJ113" s="984">
        <f>6000000-6000000</f>
        <v>0</v>
      </c>
      <c r="AK113" s="871">
        <f t="shared" si="16"/>
        <v>0</v>
      </c>
      <c r="AL113" s="918"/>
      <c r="AM113" s="302">
        <f t="shared" si="13"/>
        <v>0</v>
      </c>
    </row>
    <row r="114" spans="1:39" s="8" customFormat="1">
      <c r="A114" s="82" t="s">
        <v>35</v>
      </c>
      <c r="B114" s="161">
        <f t="shared" si="11"/>
        <v>17900000</v>
      </c>
      <c r="C114" s="79" t="s">
        <v>36</v>
      </c>
      <c r="D114" s="79" t="s">
        <v>827</v>
      </c>
      <c r="E114" s="79" t="s">
        <v>37</v>
      </c>
      <c r="F114" s="79" t="s">
        <v>1648</v>
      </c>
      <c r="G114" s="79" t="s">
        <v>38</v>
      </c>
      <c r="H114" s="2064" t="s">
        <v>1638</v>
      </c>
      <c r="I114" s="979">
        <v>532</v>
      </c>
      <c r="J114" s="160">
        <v>729</v>
      </c>
      <c r="K114" s="468">
        <v>18050000</v>
      </c>
      <c r="L114" s="1583">
        <v>840</v>
      </c>
      <c r="M114" s="1508">
        <f>18050000-150000</f>
        <v>17900000</v>
      </c>
      <c r="N114" s="1583">
        <v>1195</v>
      </c>
      <c r="O114" s="1605">
        <v>17900000</v>
      </c>
      <c r="P114" s="1993">
        <v>515</v>
      </c>
      <c r="Q114" s="449"/>
      <c r="R114" s="449"/>
      <c r="S114" s="449"/>
      <c r="T114" s="449"/>
      <c r="U114" s="166"/>
      <c r="V114" s="449"/>
      <c r="W114" s="449"/>
      <c r="X114" s="450"/>
      <c r="Y114" s="166"/>
      <c r="Z114" s="166"/>
      <c r="AA114" s="166"/>
      <c r="AB114" s="1604"/>
      <c r="AC114" s="450">
        <f t="shared" si="14"/>
        <v>0</v>
      </c>
      <c r="AD114" s="701">
        <f t="shared" si="15"/>
        <v>17900000</v>
      </c>
      <c r="AE114" s="1428"/>
      <c r="AF114" s="888">
        <v>532</v>
      </c>
      <c r="AG114" s="268" t="s">
        <v>968</v>
      </c>
      <c r="AH114" s="268" t="s">
        <v>1614</v>
      </c>
      <c r="AI114" s="498">
        <f t="shared" si="12"/>
        <v>515</v>
      </c>
      <c r="AJ114" s="984">
        <f>23550000-5500000</f>
        <v>18050000</v>
      </c>
      <c r="AK114" s="871">
        <f t="shared" si="16"/>
        <v>150000</v>
      </c>
      <c r="AL114" s="918"/>
      <c r="AM114" s="302">
        <f t="shared" si="13"/>
        <v>150000</v>
      </c>
    </row>
    <row r="115" spans="1:39" s="8" customFormat="1">
      <c r="A115" s="82" t="s">
        <v>35</v>
      </c>
      <c r="B115" s="161">
        <f t="shared" si="11"/>
        <v>0</v>
      </c>
      <c r="C115" s="79" t="s">
        <v>36</v>
      </c>
      <c r="D115" s="79" t="s">
        <v>827</v>
      </c>
      <c r="E115" s="79" t="s">
        <v>37</v>
      </c>
      <c r="F115" s="79" t="s">
        <v>1648</v>
      </c>
      <c r="G115" s="79" t="s">
        <v>38</v>
      </c>
      <c r="H115" s="2064" t="s">
        <v>1638</v>
      </c>
      <c r="I115" s="979">
        <v>533</v>
      </c>
      <c r="J115" s="160"/>
      <c r="K115" s="468"/>
      <c r="L115" s="1583"/>
      <c r="M115" s="1508"/>
      <c r="N115" s="1583"/>
      <c r="O115" s="1605"/>
      <c r="P115" s="1993"/>
      <c r="Q115" s="449"/>
      <c r="R115" s="449"/>
      <c r="S115" s="449"/>
      <c r="T115" s="449"/>
      <c r="U115" s="166"/>
      <c r="V115" s="449"/>
      <c r="W115" s="449"/>
      <c r="X115" s="450"/>
      <c r="Y115" s="166"/>
      <c r="Z115" s="166"/>
      <c r="AA115" s="166"/>
      <c r="AB115" s="1604"/>
      <c r="AC115" s="450">
        <f t="shared" si="14"/>
        <v>0</v>
      </c>
      <c r="AD115" s="701">
        <f t="shared" si="15"/>
        <v>0</v>
      </c>
      <c r="AE115" s="1428"/>
      <c r="AF115" s="888">
        <v>533</v>
      </c>
      <c r="AG115" s="268" t="s">
        <v>969</v>
      </c>
      <c r="AH115" s="268" t="s">
        <v>173</v>
      </c>
      <c r="AI115" s="498">
        <f t="shared" ref="AI115:AI128" si="17">P115</f>
        <v>0</v>
      </c>
      <c r="AJ115" s="984">
        <f>20000000-20000000</f>
        <v>0</v>
      </c>
      <c r="AK115" s="871">
        <f t="shared" si="16"/>
        <v>0</v>
      </c>
      <c r="AL115" s="918"/>
      <c r="AM115" s="302">
        <f t="shared" ref="AM115:AM128" si="18">AJ115-M115</f>
        <v>0</v>
      </c>
    </row>
    <row r="116" spans="1:39" s="8" customFormat="1">
      <c r="A116" s="82" t="s">
        <v>35</v>
      </c>
      <c r="B116" s="161">
        <f t="shared" si="11"/>
        <v>30878276</v>
      </c>
      <c r="C116" s="79" t="s">
        <v>36</v>
      </c>
      <c r="D116" s="79" t="s">
        <v>827</v>
      </c>
      <c r="E116" s="79" t="s">
        <v>37</v>
      </c>
      <c r="F116" s="79" t="s">
        <v>1648</v>
      </c>
      <c r="G116" s="79" t="s">
        <v>38</v>
      </c>
      <c r="H116" s="2064" t="s">
        <v>1638</v>
      </c>
      <c r="I116" s="979">
        <v>556</v>
      </c>
      <c r="J116" s="1555" t="s">
        <v>1278</v>
      </c>
      <c r="K116" s="139">
        <v>30878276</v>
      </c>
      <c r="L116" s="1583" t="s">
        <v>1279</v>
      </c>
      <c r="M116" s="1508">
        <f>30878276-30878276+30878276</f>
        <v>30878276</v>
      </c>
      <c r="N116" s="1583">
        <v>862</v>
      </c>
      <c r="O116" s="1508">
        <f>30878276-30878276+30878276</f>
        <v>30878276</v>
      </c>
      <c r="P116" s="1993">
        <v>469</v>
      </c>
      <c r="Q116" s="449"/>
      <c r="R116" s="449"/>
      <c r="S116" s="449"/>
      <c r="T116" s="449"/>
      <c r="U116" s="166"/>
      <c r="V116" s="449"/>
      <c r="W116" s="449"/>
      <c r="X116" s="450"/>
      <c r="Y116" s="166"/>
      <c r="Z116" s="166"/>
      <c r="AA116" s="166">
        <v>10292758</v>
      </c>
      <c r="AB116" s="1604">
        <f>10292758+10292758</f>
        <v>20585516</v>
      </c>
      <c r="AC116" s="450">
        <f t="shared" si="14"/>
        <v>30878274</v>
      </c>
      <c r="AD116" s="701">
        <f t="shared" si="15"/>
        <v>2</v>
      </c>
      <c r="AE116" s="1428"/>
      <c r="AF116" s="888">
        <v>556</v>
      </c>
      <c r="AG116" s="1378" t="s">
        <v>1248</v>
      </c>
      <c r="AH116" s="268" t="s">
        <v>1291</v>
      </c>
      <c r="AI116" s="498">
        <f t="shared" si="17"/>
        <v>469</v>
      </c>
      <c r="AJ116" s="984">
        <v>30878276</v>
      </c>
      <c r="AK116" s="871">
        <f t="shared" si="16"/>
        <v>0</v>
      </c>
      <c r="AL116" s="918"/>
      <c r="AM116" s="302">
        <f t="shared" si="18"/>
        <v>0</v>
      </c>
    </row>
    <row r="117" spans="1:39" s="8" customFormat="1">
      <c r="A117" s="82" t="s">
        <v>35</v>
      </c>
      <c r="B117" s="161">
        <f t="shared" si="11"/>
        <v>13723678</v>
      </c>
      <c r="C117" s="79" t="s">
        <v>36</v>
      </c>
      <c r="D117" s="79" t="s">
        <v>827</v>
      </c>
      <c r="E117" s="79" t="s">
        <v>37</v>
      </c>
      <c r="F117" s="79" t="s">
        <v>1648</v>
      </c>
      <c r="G117" s="79" t="s">
        <v>38</v>
      </c>
      <c r="H117" s="2064" t="s">
        <v>1638</v>
      </c>
      <c r="I117" s="1911" t="s">
        <v>325</v>
      </c>
      <c r="J117" s="1555" t="s">
        <v>1569</v>
      </c>
      <c r="K117" s="1924">
        <v>14000000</v>
      </c>
      <c r="L117" s="1583">
        <v>971</v>
      </c>
      <c r="M117" s="1508">
        <f>14000000-276322</f>
        <v>13723678</v>
      </c>
      <c r="N117" s="1583">
        <v>1218</v>
      </c>
      <c r="O117" s="1508">
        <v>13723678</v>
      </c>
      <c r="P117" s="1993">
        <v>469</v>
      </c>
      <c r="Q117" s="449"/>
      <c r="R117" s="449"/>
      <c r="S117" s="449"/>
      <c r="T117" s="449"/>
      <c r="U117" s="166"/>
      <c r="V117" s="449"/>
      <c r="W117" s="449"/>
      <c r="X117" s="450"/>
      <c r="Y117" s="166"/>
      <c r="Z117" s="166"/>
      <c r="AA117" s="166"/>
      <c r="AB117" s="1604"/>
      <c r="AC117" s="450">
        <f t="shared" si="14"/>
        <v>0</v>
      </c>
      <c r="AD117" s="701">
        <f t="shared" si="15"/>
        <v>13723678</v>
      </c>
      <c r="AE117" s="1428"/>
      <c r="AF117" s="888" t="s">
        <v>325</v>
      </c>
      <c r="AG117" s="1925" t="s">
        <v>1542</v>
      </c>
      <c r="AH117" s="268" t="s">
        <v>1291</v>
      </c>
      <c r="AI117" s="498">
        <f t="shared" si="17"/>
        <v>469</v>
      </c>
      <c r="AJ117" s="984">
        <f>7000000+7000000</f>
        <v>14000000</v>
      </c>
      <c r="AK117" s="871">
        <f t="shared" si="16"/>
        <v>276322</v>
      </c>
      <c r="AL117" s="918"/>
      <c r="AM117" s="302">
        <f t="shared" si="18"/>
        <v>276322</v>
      </c>
    </row>
    <row r="118" spans="1:39" s="8" customFormat="1">
      <c r="A118" s="82" t="s">
        <v>35</v>
      </c>
      <c r="B118" s="161">
        <f t="shared" si="11"/>
        <v>0</v>
      </c>
      <c r="C118" s="79" t="s">
        <v>36</v>
      </c>
      <c r="D118" s="79" t="s">
        <v>827</v>
      </c>
      <c r="E118" s="79" t="s">
        <v>37</v>
      </c>
      <c r="F118" s="79" t="s">
        <v>1648</v>
      </c>
      <c r="G118" s="79" t="s">
        <v>38</v>
      </c>
      <c r="H118" s="2064" t="s">
        <v>1638</v>
      </c>
      <c r="I118" s="979">
        <v>559</v>
      </c>
      <c r="J118" s="160"/>
      <c r="K118" s="468"/>
      <c r="L118" s="1583"/>
      <c r="M118" s="1508"/>
      <c r="N118" s="1583"/>
      <c r="O118" s="1605"/>
      <c r="P118" s="1993"/>
      <c r="Q118" s="449"/>
      <c r="R118" s="449"/>
      <c r="S118" s="449"/>
      <c r="T118" s="449"/>
      <c r="U118" s="166"/>
      <c r="V118" s="449"/>
      <c r="W118" s="449"/>
      <c r="X118" s="450"/>
      <c r="Y118" s="166"/>
      <c r="Z118" s="166"/>
      <c r="AA118" s="166"/>
      <c r="AB118" s="1604"/>
      <c r="AC118" s="450">
        <f t="shared" si="14"/>
        <v>0</v>
      </c>
      <c r="AD118" s="701">
        <f t="shared" si="15"/>
        <v>0</v>
      </c>
      <c r="AE118" s="1428"/>
      <c r="AF118" s="888">
        <v>559</v>
      </c>
      <c r="AG118" s="1378" t="s">
        <v>1205</v>
      </c>
      <c r="AH118" s="268"/>
      <c r="AI118" s="498">
        <f t="shared" si="17"/>
        <v>0</v>
      </c>
      <c r="AJ118" s="984">
        <f>8000000-8000000</f>
        <v>0</v>
      </c>
      <c r="AK118" s="871">
        <f t="shared" si="16"/>
        <v>0</v>
      </c>
      <c r="AL118" s="918"/>
      <c r="AM118" s="302">
        <f t="shared" si="18"/>
        <v>0</v>
      </c>
    </row>
    <row r="119" spans="1:39" s="8" customFormat="1">
      <c r="A119" s="82" t="s">
        <v>35</v>
      </c>
      <c r="B119" s="161">
        <f t="shared" si="11"/>
        <v>6125000</v>
      </c>
      <c r="C119" s="79" t="s">
        <v>36</v>
      </c>
      <c r="D119" s="79" t="s">
        <v>827</v>
      </c>
      <c r="E119" s="79" t="s">
        <v>37</v>
      </c>
      <c r="F119" s="79" t="s">
        <v>1648</v>
      </c>
      <c r="G119" s="79" t="s">
        <v>38</v>
      </c>
      <c r="H119" s="2064" t="s">
        <v>1638</v>
      </c>
      <c r="I119" s="979">
        <v>560</v>
      </c>
      <c r="J119" s="160"/>
      <c r="K119" s="468"/>
      <c r="L119" s="1583">
        <v>634</v>
      </c>
      <c r="M119" s="1508">
        <f>7500000-1375000</f>
        <v>6125000</v>
      </c>
      <c r="N119" s="1583">
        <v>800</v>
      </c>
      <c r="O119" s="1605">
        <v>6125000</v>
      </c>
      <c r="P119" s="1993">
        <v>448</v>
      </c>
      <c r="Q119" s="449"/>
      <c r="R119" s="449"/>
      <c r="S119" s="449"/>
      <c r="T119" s="449"/>
      <c r="U119" s="166"/>
      <c r="V119" s="449"/>
      <c r="W119" s="449"/>
      <c r="X119" s="450"/>
      <c r="Y119" s="166"/>
      <c r="Z119" s="166">
        <v>1633334</v>
      </c>
      <c r="AA119" s="166">
        <v>1750000</v>
      </c>
      <c r="AB119" s="1604">
        <f>1750000+991666</f>
        <v>2741666</v>
      </c>
      <c r="AC119" s="450">
        <f t="shared" si="14"/>
        <v>6125000</v>
      </c>
      <c r="AD119" s="701">
        <f t="shared" si="15"/>
        <v>0</v>
      </c>
      <c r="AE119" s="1428"/>
      <c r="AF119" s="888">
        <v>560</v>
      </c>
      <c r="AG119" s="268" t="s">
        <v>1206</v>
      </c>
      <c r="AH119" s="268" t="s">
        <v>1228</v>
      </c>
      <c r="AI119" s="498">
        <f t="shared" si="17"/>
        <v>448</v>
      </c>
      <c r="AJ119" s="984">
        <f>7500000-1375000</f>
        <v>6125000</v>
      </c>
      <c r="AK119" s="871">
        <f t="shared" si="16"/>
        <v>0</v>
      </c>
      <c r="AL119" s="918"/>
      <c r="AM119" s="302">
        <f t="shared" si="18"/>
        <v>0</v>
      </c>
    </row>
    <row r="120" spans="1:39" s="8" customFormat="1">
      <c r="A120" s="82" t="s">
        <v>35</v>
      </c>
      <c r="B120" s="161">
        <f t="shared" si="11"/>
        <v>3699500</v>
      </c>
      <c r="C120" s="79" t="s">
        <v>36</v>
      </c>
      <c r="D120" s="79" t="s">
        <v>827</v>
      </c>
      <c r="E120" s="79" t="s">
        <v>37</v>
      </c>
      <c r="F120" s="79" t="s">
        <v>1648</v>
      </c>
      <c r="G120" s="79" t="s">
        <v>38</v>
      </c>
      <c r="H120" s="2064" t="s">
        <v>1638</v>
      </c>
      <c r="I120" s="979">
        <v>571</v>
      </c>
      <c r="J120" s="160">
        <v>650</v>
      </c>
      <c r="K120" s="468">
        <v>13176305</v>
      </c>
      <c r="L120" s="1583">
        <v>736</v>
      </c>
      <c r="M120" s="1508">
        <f>13176305-9476805</f>
        <v>3699500</v>
      </c>
      <c r="N120" s="1583">
        <v>1012</v>
      </c>
      <c r="O120" s="1605">
        <v>3699500</v>
      </c>
      <c r="P120" s="1993">
        <v>493</v>
      </c>
      <c r="Q120" s="449"/>
      <c r="R120" s="449"/>
      <c r="S120" s="449"/>
      <c r="T120" s="449"/>
      <c r="U120" s="166"/>
      <c r="V120" s="449"/>
      <c r="W120" s="449"/>
      <c r="X120" s="450"/>
      <c r="Y120" s="166"/>
      <c r="Z120" s="166"/>
      <c r="AA120" s="166"/>
      <c r="AB120" s="1604">
        <v>3699500</v>
      </c>
      <c r="AC120" s="450">
        <f t="shared" si="14"/>
        <v>3699500</v>
      </c>
      <c r="AD120" s="701">
        <f t="shared" si="15"/>
        <v>0</v>
      </c>
      <c r="AE120" s="1428"/>
      <c r="AF120" s="888">
        <v>571</v>
      </c>
      <c r="AG120" s="268" t="s">
        <v>1207</v>
      </c>
      <c r="AH120" s="268" t="s">
        <v>1551</v>
      </c>
      <c r="AI120" s="498">
        <f t="shared" si="17"/>
        <v>493</v>
      </c>
      <c r="AJ120" s="984">
        <v>13176305</v>
      </c>
      <c r="AK120" s="871">
        <f t="shared" si="16"/>
        <v>9476805</v>
      </c>
      <c r="AL120" s="918"/>
      <c r="AM120" s="302">
        <f t="shared" si="18"/>
        <v>9476805</v>
      </c>
    </row>
    <row r="121" spans="1:39" s="8" customFormat="1">
      <c r="A121" s="82" t="s">
        <v>35</v>
      </c>
      <c r="B121" s="161">
        <f t="shared" si="11"/>
        <v>20860000</v>
      </c>
      <c r="C121" s="79" t="s">
        <v>36</v>
      </c>
      <c r="D121" s="79" t="s">
        <v>827</v>
      </c>
      <c r="E121" s="79" t="s">
        <v>37</v>
      </c>
      <c r="F121" s="79" t="s">
        <v>1648</v>
      </c>
      <c r="G121" s="79" t="s">
        <v>38</v>
      </c>
      <c r="H121" s="2064" t="s">
        <v>1638</v>
      </c>
      <c r="I121" s="979">
        <v>583</v>
      </c>
      <c r="J121" s="160">
        <v>580</v>
      </c>
      <c r="K121" s="468">
        <v>21120000</v>
      </c>
      <c r="L121" s="1583">
        <v>673</v>
      </c>
      <c r="M121" s="1508">
        <f>21120000-260000</f>
        <v>20860000</v>
      </c>
      <c r="N121" s="1583">
        <v>822</v>
      </c>
      <c r="O121" s="1605">
        <v>20860000</v>
      </c>
      <c r="P121" s="1993">
        <v>460</v>
      </c>
      <c r="Q121" s="449"/>
      <c r="R121" s="449"/>
      <c r="S121" s="449"/>
      <c r="T121" s="449"/>
      <c r="U121" s="449"/>
      <c r="V121" s="449"/>
      <c r="W121" s="449"/>
      <c r="X121" s="450"/>
      <c r="Y121" s="166"/>
      <c r="Z121" s="166">
        <v>2980000</v>
      </c>
      <c r="AA121" s="166">
        <v>5960000</v>
      </c>
      <c r="AB121" s="1604">
        <f>4768000+5960000</f>
        <v>10728000</v>
      </c>
      <c r="AC121" s="450">
        <f t="shared" si="14"/>
        <v>19668000</v>
      </c>
      <c r="AD121" s="701">
        <f t="shared" si="15"/>
        <v>1192000</v>
      </c>
      <c r="AE121" s="1428"/>
      <c r="AF121" s="888">
        <v>583</v>
      </c>
      <c r="AG121" s="268" t="s">
        <v>1218</v>
      </c>
      <c r="AH121" s="268" t="s">
        <v>1269</v>
      </c>
      <c r="AI121" s="498">
        <f t="shared" si="17"/>
        <v>460</v>
      </c>
      <c r="AJ121" s="984">
        <f>21120000-260000</f>
        <v>20860000</v>
      </c>
      <c r="AK121" s="871">
        <f t="shared" ref="AK121:AK128" si="19">AJ121-O121</f>
        <v>0</v>
      </c>
      <c r="AL121" s="918"/>
      <c r="AM121" s="302">
        <f t="shared" si="18"/>
        <v>0</v>
      </c>
    </row>
    <row r="122" spans="1:39" s="8" customFormat="1">
      <c r="A122" s="82" t="s">
        <v>35</v>
      </c>
      <c r="B122" s="161">
        <f t="shared" si="11"/>
        <v>8280000</v>
      </c>
      <c r="C122" s="79" t="s">
        <v>36</v>
      </c>
      <c r="D122" s="79" t="s">
        <v>827</v>
      </c>
      <c r="E122" s="79" t="s">
        <v>37</v>
      </c>
      <c r="F122" s="79" t="s">
        <v>1648</v>
      </c>
      <c r="G122" s="79" t="s">
        <v>38</v>
      </c>
      <c r="H122" s="2064" t="s">
        <v>1638</v>
      </c>
      <c r="I122" s="979">
        <v>591</v>
      </c>
      <c r="J122" s="160">
        <v>620</v>
      </c>
      <c r="K122" s="468">
        <v>9660000</v>
      </c>
      <c r="L122" s="1583">
        <v>711</v>
      </c>
      <c r="M122" s="1562">
        <f>9660000-1380000</f>
        <v>8280000</v>
      </c>
      <c r="N122" s="1583">
        <v>864</v>
      </c>
      <c r="O122" s="1605">
        <v>8280000</v>
      </c>
      <c r="P122" s="1993">
        <v>468</v>
      </c>
      <c r="Q122" s="449"/>
      <c r="R122" s="449"/>
      <c r="S122" s="449"/>
      <c r="T122" s="449"/>
      <c r="U122" s="449"/>
      <c r="V122" s="449"/>
      <c r="W122" s="449"/>
      <c r="X122" s="450"/>
      <c r="Y122" s="166"/>
      <c r="Z122" s="166"/>
      <c r="AA122" s="166">
        <v>2852000</v>
      </c>
      <c r="AB122" s="1604">
        <f>2760000+2668000</f>
        <v>5428000</v>
      </c>
      <c r="AC122" s="450">
        <f t="shared" si="14"/>
        <v>8280000</v>
      </c>
      <c r="AD122" s="701">
        <f t="shared" si="15"/>
        <v>0</v>
      </c>
      <c r="AE122" s="1428"/>
      <c r="AF122" s="888">
        <v>591</v>
      </c>
      <c r="AG122" s="268" t="s">
        <v>1246</v>
      </c>
      <c r="AH122" s="268" t="s">
        <v>977</v>
      </c>
      <c r="AI122" s="498">
        <f t="shared" si="17"/>
        <v>468</v>
      </c>
      <c r="AJ122" s="984">
        <v>9660000</v>
      </c>
      <c r="AK122" s="871">
        <f t="shared" si="19"/>
        <v>1380000</v>
      </c>
      <c r="AL122" s="918"/>
      <c r="AM122" s="302">
        <f t="shared" si="18"/>
        <v>1380000</v>
      </c>
    </row>
    <row r="123" spans="1:39" s="8" customFormat="1">
      <c r="A123" s="82" t="s">
        <v>35</v>
      </c>
      <c r="B123" s="161">
        <f t="shared" si="11"/>
        <v>11400000</v>
      </c>
      <c r="C123" s="79" t="s">
        <v>36</v>
      </c>
      <c r="D123" s="79" t="s">
        <v>827</v>
      </c>
      <c r="E123" s="79" t="s">
        <v>37</v>
      </c>
      <c r="F123" s="79" t="s">
        <v>1648</v>
      </c>
      <c r="G123" s="79" t="s">
        <v>38</v>
      </c>
      <c r="H123" s="2064" t="s">
        <v>1638</v>
      </c>
      <c r="I123" s="979">
        <v>592</v>
      </c>
      <c r="J123" s="160">
        <v>621</v>
      </c>
      <c r="K123" s="468">
        <v>13300000</v>
      </c>
      <c r="L123" s="1583">
        <v>710</v>
      </c>
      <c r="M123" s="1562">
        <f>13300000-1900000</f>
        <v>11400000</v>
      </c>
      <c r="N123" s="1583">
        <v>863</v>
      </c>
      <c r="O123" s="1605">
        <v>11400000</v>
      </c>
      <c r="P123" s="1993">
        <v>467</v>
      </c>
      <c r="Q123" s="449"/>
      <c r="R123" s="449"/>
      <c r="S123" s="449"/>
      <c r="T123" s="449"/>
      <c r="U123" s="449"/>
      <c r="V123" s="449"/>
      <c r="W123" s="449"/>
      <c r="X123" s="450"/>
      <c r="Y123" s="166"/>
      <c r="Z123" s="166"/>
      <c r="AA123" s="166">
        <v>3926667</v>
      </c>
      <c r="AB123" s="1604">
        <f>3800000+3673333</f>
        <v>7473333</v>
      </c>
      <c r="AC123" s="450">
        <f t="shared" si="14"/>
        <v>11400000</v>
      </c>
      <c r="AD123" s="701">
        <f t="shared" si="15"/>
        <v>0</v>
      </c>
      <c r="AE123" s="1428"/>
      <c r="AF123" s="888">
        <v>592</v>
      </c>
      <c r="AG123" s="268" t="s">
        <v>1247</v>
      </c>
      <c r="AH123" s="268" t="s">
        <v>1292</v>
      </c>
      <c r="AI123" s="498">
        <f t="shared" si="17"/>
        <v>467</v>
      </c>
      <c r="AJ123" s="984">
        <v>13300000</v>
      </c>
      <c r="AK123" s="871">
        <f t="shared" si="19"/>
        <v>1900000</v>
      </c>
      <c r="AL123" s="918"/>
      <c r="AM123" s="302">
        <f t="shared" si="18"/>
        <v>1900000</v>
      </c>
    </row>
    <row r="124" spans="1:39" s="8" customFormat="1">
      <c r="A124" s="82" t="s">
        <v>35</v>
      </c>
      <c r="B124" s="161">
        <f t="shared" si="11"/>
        <v>0</v>
      </c>
      <c r="C124" s="79" t="s">
        <v>36</v>
      </c>
      <c r="D124" s="79" t="s">
        <v>827</v>
      </c>
      <c r="E124" s="79" t="s">
        <v>37</v>
      </c>
      <c r="F124" s="79" t="s">
        <v>1648</v>
      </c>
      <c r="G124" s="79" t="s">
        <v>38</v>
      </c>
      <c r="H124" s="2064" t="s">
        <v>1638</v>
      </c>
      <c r="I124" s="979">
        <v>593</v>
      </c>
      <c r="J124" s="160"/>
      <c r="K124" s="468"/>
      <c r="L124" s="1583"/>
      <c r="M124" s="1508"/>
      <c r="N124" s="1583"/>
      <c r="O124" s="1605"/>
      <c r="P124" s="1993"/>
      <c r="Q124" s="449"/>
      <c r="R124" s="449"/>
      <c r="S124" s="449"/>
      <c r="T124" s="449"/>
      <c r="U124" s="449"/>
      <c r="V124" s="449"/>
      <c r="W124" s="449"/>
      <c r="X124" s="450"/>
      <c r="Y124" s="166"/>
      <c r="Z124" s="449"/>
      <c r="AA124" s="449"/>
      <c r="AB124" s="2012"/>
      <c r="AC124" s="450">
        <f t="shared" si="14"/>
        <v>0</v>
      </c>
      <c r="AD124" s="701">
        <f t="shared" si="15"/>
        <v>0</v>
      </c>
      <c r="AE124" s="1428"/>
      <c r="AF124" s="888">
        <v>593</v>
      </c>
      <c r="AG124" s="351" t="s">
        <v>1289</v>
      </c>
      <c r="AH124" s="268"/>
      <c r="AI124" s="498">
        <f t="shared" si="17"/>
        <v>0</v>
      </c>
      <c r="AJ124" s="984">
        <f>10000000-10000000</f>
        <v>0</v>
      </c>
      <c r="AK124" s="871">
        <f t="shared" si="19"/>
        <v>0</v>
      </c>
      <c r="AL124" s="918"/>
      <c r="AM124" s="302">
        <f t="shared" si="18"/>
        <v>0</v>
      </c>
    </row>
    <row r="125" spans="1:39" s="8" customFormat="1">
      <c r="A125" s="82" t="s">
        <v>35</v>
      </c>
      <c r="B125" s="161">
        <f t="shared" si="11"/>
        <v>0</v>
      </c>
      <c r="C125" s="79" t="s">
        <v>36</v>
      </c>
      <c r="D125" s="79" t="s">
        <v>827</v>
      </c>
      <c r="E125" s="79" t="s">
        <v>37</v>
      </c>
      <c r="F125" s="79" t="s">
        <v>1648</v>
      </c>
      <c r="G125" s="79" t="s">
        <v>38</v>
      </c>
      <c r="H125" s="2064" t="s">
        <v>1638</v>
      </c>
      <c r="I125" s="979">
        <v>0</v>
      </c>
      <c r="J125" s="160"/>
      <c r="K125" s="468"/>
      <c r="L125" s="1583"/>
      <c r="M125" s="1508"/>
      <c r="N125" s="1583"/>
      <c r="O125" s="1605"/>
      <c r="P125" s="1993"/>
      <c r="Q125" s="449"/>
      <c r="R125" s="449"/>
      <c r="S125" s="449"/>
      <c r="T125" s="449"/>
      <c r="U125" s="449"/>
      <c r="V125" s="449"/>
      <c r="W125" s="449"/>
      <c r="X125" s="450"/>
      <c r="Y125" s="166"/>
      <c r="Z125" s="449"/>
      <c r="AA125" s="449"/>
      <c r="AB125" s="2012"/>
      <c r="AC125" s="450">
        <f t="shared" si="14"/>
        <v>0</v>
      </c>
      <c r="AD125" s="701">
        <f t="shared" si="15"/>
        <v>0</v>
      </c>
      <c r="AE125" s="1428"/>
      <c r="AF125" s="888">
        <f>619</f>
        <v>619</v>
      </c>
      <c r="AG125" s="351" t="s">
        <v>1529</v>
      </c>
      <c r="AH125" s="268"/>
      <c r="AI125" s="498">
        <f t="shared" si="17"/>
        <v>0</v>
      </c>
      <c r="AJ125" s="984">
        <v>220000000</v>
      </c>
      <c r="AK125" s="871">
        <f t="shared" si="19"/>
        <v>220000000</v>
      </c>
      <c r="AL125" s="918"/>
      <c r="AM125" s="302">
        <f t="shared" si="18"/>
        <v>220000000</v>
      </c>
    </row>
    <row r="126" spans="1:39" s="8" customFormat="1">
      <c r="A126" s="82" t="s">
        <v>35</v>
      </c>
      <c r="B126" s="161">
        <f t="shared" si="11"/>
        <v>0</v>
      </c>
      <c r="C126" s="79" t="s">
        <v>36</v>
      </c>
      <c r="D126" s="79" t="s">
        <v>827</v>
      </c>
      <c r="E126" s="79" t="s">
        <v>37</v>
      </c>
      <c r="F126" s="79" t="s">
        <v>1648</v>
      </c>
      <c r="G126" s="79" t="s">
        <v>38</v>
      </c>
      <c r="H126" s="2064" t="s">
        <v>1638</v>
      </c>
      <c r="I126" s="979">
        <v>605</v>
      </c>
      <c r="J126" s="160"/>
      <c r="K126" s="468"/>
      <c r="L126" s="1583"/>
      <c r="M126" s="1508"/>
      <c r="N126" s="1583"/>
      <c r="O126" s="1605"/>
      <c r="P126" s="1993"/>
      <c r="Q126" s="449"/>
      <c r="R126" s="449"/>
      <c r="S126" s="449"/>
      <c r="T126" s="449"/>
      <c r="U126" s="449"/>
      <c r="V126" s="449"/>
      <c r="W126" s="449"/>
      <c r="X126" s="450"/>
      <c r="Y126" s="166"/>
      <c r="Z126" s="449"/>
      <c r="AA126" s="449"/>
      <c r="AB126" s="2012"/>
      <c r="AC126" s="450">
        <f t="shared" si="14"/>
        <v>0</v>
      </c>
      <c r="AD126" s="701">
        <f t="shared" si="15"/>
        <v>0</v>
      </c>
      <c r="AE126" s="1428"/>
      <c r="AF126" s="888">
        <v>605</v>
      </c>
      <c r="AG126" s="351" t="s">
        <v>1304</v>
      </c>
      <c r="AH126" s="268"/>
      <c r="AI126" s="498">
        <f t="shared" si="17"/>
        <v>0</v>
      </c>
      <c r="AJ126" s="984">
        <v>20000000</v>
      </c>
      <c r="AK126" s="871">
        <f t="shared" si="19"/>
        <v>20000000</v>
      </c>
      <c r="AL126" s="791"/>
      <c r="AM126" s="302">
        <f t="shared" si="18"/>
        <v>20000000</v>
      </c>
    </row>
    <row r="127" spans="1:39" s="8" customFormat="1">
      <c r="A127" s="82" t="s">
        <v>35</v>
      </c>
      <c r="B127" s="161">
        <f t="shared" si="11"/>
        <v>0</v>
      </c>
      <c r="C127" s="79" t="s">
        <v>36</v>
      </c>
      <c r="D127" s="79" t="s">
        <v>827</v>
      </c>
      <c r="E127" s="79" t="s">
        <v>37</v>
      </c>
      <c r="F127" s="79" t="s">
        <v>1648</v>
      </c>
      <c r="G127" s="79" t="s">
        <v>38</v>
      </c>
      <c r="H127" s="2064" t="s">
        <v>1638</v>
      </c>
      <c r="I127" s="979">
        <v>619</v>
      </c>
      <c r="J127" s="160"/>
      <c r="K127" s="468"/>
      <c r="L127" s="1583"/>
      <c r="M127" s="1508"/>
      <c r="N127" s="1583"/>
      <c r="O127" s="1605"/>
      <c r="P127" s="1993"/>
      <c r="Q127" s="449"/>
      <c r="R127" s="449"/>
      <c r="S127" s="449"/>
      <c r="T127" s="449"/>
      <c r="U127" s="449"/>
      <c r="V127" s="449"/>
      <c r="W127" s="449"/>
      <c r="X127" s="450"/>
      <c r="Y127" s="166"/>
      <c r="Z127" s="449"/>
      <c r="AA127" s="449"/>
      <c r="AB127" s="2012"/>
      <c r="AC127" s="450">
        <f t="shared" si="14"/>
        <v>0</v>
      </c>
      <c r="AD127" s="701">
        <f t="shared" si="15"/>
        <v>0</v>
      </c>
      <c r="AE127" s="1428"/>
      <c r="AF127" s="888" t="s">
        <v>147</v>
      </c>
      <c r="AG127" s="351" t="s">
        <v>1428</v>
      </c>
      <c r="AH127" s="268"/>
      <c r="AI127" s="498">
        <f t="shared" si="17"/>
        <v>0</v>
      </c>
      <c r="AJ127" s="984">
        <f>476000000-476000000</f>
        <v>0</v>
      </c>
      <c r="AK127" s="871">
        <f t="shared" si="19"/>
        <v>0</v>
      </c>
      <c r="AL127" s="918"/>
      <c r="AM127" s="302">
        <f t="shared" si="18"/>
        <v>0</v>
      </c>
    </row>
    <row r="128" spans="1:39" s="8" customFormat="1">
      <c r="A128" s="82" t="s">
        <v>35</v>
      </c>
      <c r="B128" s="161">
        <f t="shared" si="11"/>
        <v>0</v>
      </c>
      <c r="C128" s="79" t="s">
        <v>36</v>
      </c>
      <c r="D128" s="79" t="s">
        <v>827</v>
      </c>
      <c r="E128" s="79" t="s">
        <v>37</v>
      </c>
      <c r="F128" s="79" t="s">
        <v>1648</v>
      </c>
      <c r="G128" s="79" t="s">
        <v>38</v>
      </c>
      <c r="H128" s="2064" t="s">
        <v>1638</v>
      </c>
      <c r="I128" s="979" t="s">
        <v>173</v>
      </c>
      <c r="J128" s="160"/>
      <c r="K128" s="468"/>
      <c r="L128" s="1583"/>
      <c r="M128" s="1508"/>
      <c r="N128" s="1583"/>
      <c r="O128" s="1605"/>
      <c r="P128" s="1993"/>
      <c r="Q128" s="449"/>
      <c r="R128" s="449"/>
      <c r="S128" s="449"/>
      <c r="T128" s="449"/>
      <c r="U128" s="449"/>
      <c r="V128" s="449"/>
      <c r="W128" s="449"/>
      <c r="X128" s="450"/>
      <c r="Y128" s="166"/>
      <c r="Z128" s="449"/>
      <c r="AA128" s="449"/>
      <c r="AB128" s="2012"/>
      <c r="AC128" s="450">
        <f t="shared" si="14"/>
        <v>0</v>
      </c>
      <c r="AD128" s="701">
        <f t="shared" si="15"/>
        <v>0</v>
      </c>
      <c r="AE128" s="1428"/>
      <c r="AF128" s="888" t="s">
        <v>325</v>
      </c>
      <c r="AG128" s="268" t="s">
        <v>493</v>
      </c>
      <c r="AH128" s="268" t="s">
        <v>173</v>
      </c>
      <c r="AI128" s="498">
        <f t="shared" si="17"/>
        <v>0</v>
      </c>
      <c r="AJ128" s="984">
        <f>16684337-12000000+14838667+201718+23834167+21000000+113850000+256000000-72831629-300000000-4200000</f>
        <v>57377260</v>
      </c>
      <c r="AK128" s="871">
        <f t="shared" si="19"/>
        <v>57377260</v>
      </c>
      <c r="AL128" s="791"/>
      <c r="AM128" s="302">
        <f t="shared" si="18"/>
        <v>57377260</v>
      </c>
    </row>
    <row r="129" spans="1:39" s="8" customFormat="1" ht="15">
      <c r="A129" s="159" t="s">
        <v>24</v>
      </c>
      <c r="B129" s="51">
        <f>B18-SUM(B19:B128)</f>
        <v>965698932</v>
      </c>
      <c r="C129" s="52"/>
      <c r="D129" s="52"/>
      <c r="E129" s="52"/>
      <c r="F129" s="52"/>
      <c r="G129" s="52"/>
      <c r="H129" s="2068"/>
      <c r="I129" s="941"/>
      <c r="J129" s="53"/>
      <c r="K129" s="465"/>
      <c r="L129" s="1584"/>
      <c r="M129" s="1563">
        <f>SUM(M19:M128)</f>
        <v>2731707600</v>
      </c>
      <c r="N129" s="1584"/>
      <c r="O129" s="1563">
        <f>SUM(O19:O128)</f>
        <v>2731707600</v>
      </c>
      <c r="P129" s="1994"/>
      <c r="Q129" s="162">
        <f t="shared" ref="Q129:AD129" si="20">SUM(Q19:Q128)</f>
        <v>0</v>
      </c>
      <c r="R129" s="162">
        <f t="shared" si="20"/>
        <v>2957333</v>
      </c>
      <c r="S129" s="162">
        <f t="shared" si="20"/>
        <v>90145335</v>
      </c>
      <c r="T129" s="162">
        <f t="shared" si="20"/>
        <v>123282740</v>
      </c>
      <c r="U129" s="162">
        <f t="shared" si="20"/>
        <v>114073333</v>
      </c>
      <c r="V129" s="162">
        <f t="shared" si="20"/>
        <v>193021552</v>
      </c>
      <c r="W129" s="162">
        <f t="shared" si="20"/>
        <v>147201860</v>
      </c>
      <c r="X129" s="162">
        <f t="shared" si="20"/>
        <v>228873464</v>
      </c>
      <c r="Y129" s="162">
        <f t="shared" si="20"/>
        <v>223267472</v>
      </c>
      <c r="Z129" s="162">
        <f t="shared" si="20"/>
        <v>160935203</v>
      </c>
      <c r="AA129" s="162">
        <f t="shared" si="20"/>
        <v>190908348</v>
      </c>
      <c r="AB129" s="1563">
        <f>SUM(AB19:AB128)</f>
        <v>375728751</v>
      </c>
      <c r="AC129" s="162">
        <f t="shared" si="20"/>
        <v>1850395391</v>
      </c>
      <c r="AD129" s="162">
        <f t="shared" si="20"/>
        <v>881312209</v>
      </c>
      <c r="AE129" s="229"/>
      <c r="AF129" s="1812"/>
      <c r="AG129" s="451"/>
      <c r="AH129" s="451"/>
      <c r="AI129" s="1033"/>
      <c r="AJ129" s="162">
        <f>SUM(AJ19:AJ128)</f>
        <v>3097406532</v>
      </c>
      <c r="AK129" s="162">
        <f>SUM(AK19:AK128)</f>
        <v>365698932</v>
      </c>
      <c r="AL129" s="791">
        <f>B18-AJ129</f>
        <v>0</v>
      </c>
      <c r="AM129" s="305"/>
    </row>
    <row r="130" spans="1:39" s="8" customFormat="1" ht="31.5" customHeight="1">
      <c r="A130" s="594" t="s">
        <v>35</v>
      </c>
      <c r="B130" s="172">
        <f>340000000-100000000</f>
        <v>240000000</v>
      </c>
      <c r="C130" s="1249" t="s">
        <v>39</v>
      </c>
      <c r="D130" s="1249" t="s">
        <v>827</v>
      </c>
      <c r="E130" s="1249" t="s">
        <v>37</v>
      </c>
      <c r="F130" s="1249" t="s">
        <v>1648</v>
      </c>
      <c r="G130" s="1249" t="s">
        <v>38</v>
      </c>
      <c r="H130" s="2069" t="s">
        <v>1638</v>
      </c>
      <c r="I130" s="940"/>
      <c r="J130" s="422">
        <v>0</v>
      </c>
      <c r="K130" s="466"/>
      <c r="L130" s="1585"/>
      <c r="M130" s="1564"/>
      <c r="N130" s="1585"/>
      <c r="O130" s="1606"/>
      <c r="P130" s="1995"/>
      <c r="Q130" s="424"/>
      <c r="R130" s="420"/>
      <c r="S130" s="420"/>
      <c r="T130" s="420"/>
      <c r="U130" s="420"/>
      <c r="V130" s="420"/>
      <c r="W130" s="420"/>
      <c r="X130" s="420"/>
      <c r="Y130" s="420"/>
      <c r="Z130" s="420"/>
      <c r="AA130" s="420"/>
      <c r="AB130" s="1606"/>
      <c r="AC130" s="696"/>
      <c r="AD130" s="724"/>
      <c r="AE130" s="1435"/>
      <c r="AF130" s="889"/>
      <c r="AG130" s="363"/>
      <c r="AH130" s="363"/>
      <c r="AI130" s="1034"/>
      <c r="AJ130" s="421"/>
      <c r="AK130" s="692"/>
      <c r="AL130" s="791"/>
      <c r="AM130" s="305"/>
    </row>
    <row r="131" spans="1:39" s="8" customFormat="1" ht="15">
      <c r="A131" s="82" t="s">
        <v>35</v>
      </c>
      <c r="B131" s="169">
        <f>K131</f>
        <v>0</v>
      </c>
      <c r="C131" s="78" t="s">
        <v>39</v>
      </c>
      <c r="D131" s="78" t="s">
        <v>827</v>
      </c>
      <c r="E131" s="78" t="s">
        <v>37</v>
      </c>
      <c r="F131" s="78" t="s">
        <v>1648</v>
      </c>
      <c r="G131" s="78" t="s">
        <v>38</v>
      </c>
      <c r="H131" s="2064" t="s">
        <v>1638</v>
      </c>
      <c r="I131" s="2059">
        <v>36</v>
      </c>
      <c r="J131" s="160"/>
      <c r="K131" s="468"/>
      <c r="L131" s="1583"/>
      <c r="M131" s="1508"/>
      <c r="N131" s="1607"/>
      <c r="O131" s="1604"/>
      <c r="P131" s="1993"/>
      <c r="Q131" s="225"/>
      <c r="R131" s="166"/>
      <c r="S131" s="166"/>
      <c r="T131" s="166"/>
      <c r="U131" s="166"/>
      <c r="V131" s="166"/>
      <c r="W131" s="166"/>
      <c r="X131" s="166"/>
      <c r="Y131" s="166"/>
      <c r="Z131" s="166"/>
      <c r="AA131" s="166"/>
      <c r="AB131" s="1604"/>
      <c r="AC131" s="695">
        <f>SUM(Q131:AB131)</f>
        <v>0</v>
      </c>
      <c r="AD131" s="701">
        <f>O131-AC131</f>
        <v>0</v>
      </c>
      <c r="AE131" s="1428"/>
      <c r="AF131" s="888" t="s">
        <v>325</v>
      </c>
      <c r="AG131" s="252" t="s">
        <v>809</v>
      </c>
      <c r="AH131" s="268" t="s">
        <v>173</v>
      </c>
      <c r="AI131" s="498">
        <f>P131</f>
        <v>0</v>
      </c>
      <c r="AJ131" s="304">
        <f>340000000-200000000-100000000-40000000</f>
        <v>0</v>
      </c>
      <c r="AK131" s="871">
        <f>AJ131-O131</f>
        <v>0</v>
      </c>
      <c r="AL131" s="918"/>
      <c r="AM131" s="302">
        <f>AJ131-M131</f>
        <v>0</v>
      </c>
    </row>
    <row r="132" spans="1:39" s="8" customFormat="1" ht="15">
      <c r="A132" s="82" t="s">
        <v>35</v>
      </c>
      <c r="B132" s="169">
        <f>K132</f>
        <v>0</v>
      </c>
      <c r="C132" s="78" t="s">
        <v>39</v>
      </c>
      <c r="D132" s="79" t="s">
        <v>827</v>
      </c>
      <c r="E132" s="79" t="s">
        <v>37</v>
      </c>
      <c r="F132" s="79" t="s">
        <v>1648</v>
      </c>
      <c r="G132" s="79" t="s">
        <v>38</v>
      </c>
      <c r="H132" s="2064" t="s">
        <v>1638</v>
      </c>
      <c r="I132" s="2059">
        <v>439</v>
      </c>
      <c r="J132" s="160"/>
      <c r="K132" s="468"/>
      <c r="L132" s="1586"/>
      <c r="M132" s="1572"/>
      <c r="N132" s="1586"/>
      <c r="O132" s="1604"/>
      <c r="P132" s="1993"/>
      <c r="Q132" s="225"/>
      <c r="R132" s="166"/>
      <c r="S132" s="166"/>
      <c r="T132" s="166"/>
      <c r="U132" s="166"/>
      <c r="V132" s="166"/>
      <c r="W132" s="166"/>
      <c r="X132" s="166"/>
      <c r="Y132" s="166"/>
      <c r="Z132" s="166"/>
      <c r="AA132" s="166"/>
      <c r="AB132" s="1604"/>
      <c r="AC132" s="695">
        <f t="shared" ref="AC132:AC133" si="21">SUM(Q132:AB132)</f>
        <v>0</v>
      </c>
      <c r="AD132" s="701">
        <f t="shared" ref="AD132:AD133" si="22">O132-AC132</f>
        <v>0</v>
      </c>
      <c r="AE132" s="1428"/>
      <c r="AF132" s="888">
        <v>439</v>
      </c>
      <c r="AG132" s="252" t="s">
        <v>318</v>
      </c>
      <c r="AH132" s="268" t="s">
        <v>173</v>
      </c>
      <c r="AI132" s="498">
        <f>P132</f>
        <v>0</v>
      </c>
      <c r="AJ132" s="304">
        <f>200000000-200000000</f>
        <v>0</v>
      </c>
      <c r="AK132" s="871">
        <f>AJ132-O132</f>
        <v>0</v>
      </c>
      <c r="AL132" s="918"/>
      <c r="AM132" s="302">
        <f>AJ132-M132</f>
        <v>0</v>
      </c>
    </row>
    <row r="133" spans="1:39" s="8" customFormat="1" ht="15">
      <c r="A133" s="82" t="s">
        <v>35</v>
      </c>
      <c r="B133" s="169">
        <f>K133</f>
        <v>0</v>
      </c>
      <c r="C133" s="78" t="s">
        <v>1545</v>
      </c>
      <c r="D133" s="79" t="s">
        <v>827</v>
      </c>
      <c r="E133" s="79" t="s">
        <v>37</v>
      </c>
      <c r="F133" s="79" t="s">
        <v>1648</v>
      </c>
      <c r="G133" s="79" t="s">
        <v>38</v>
      </c>
      <c r="H133" s="2064" t="s">
        <v>1638</v>
      </c>
      <c r="I133" s="1928" t="s">
        <v>325</v>
      </c>
      <c r="J133" s="160">
        <v>823</v>
      </c>
      <c r="K133" s="468">
        <f>240000000-240000000</f>
        <v>0</v>
      </c>
      <c r="L133" s="1586">
        <v>915</v>
      </c>
      <c r="M133" s="1572">
        <f>240000000-240000000</f>
        <v>0</v>
      </c>
      <c r="N133" s="1586"/>
      <c r="O133" s="1605"/>
      <c r="P133" s="1993"/>
      <c r="Q133" s="449"/>
      <c r="R133" s="450"/>
      <c r="S133" s="450"/>
      <c r="T133" s="450"/>
      <c r="U133" s="450"/>
      <c r="V133" s="450"/>
      <c r="W133" s="450"/>
      <c r="X133" s="450"/>
      <c r="Y133" s="450"/>
      <c r="Z133" s="450"/>
      <c r="AA133" s="450"/>
      <c r="AB133" s="1605"/>
      <c r="AC133" s="695">
        <f t="shared" si="21"/>
        <v>0</v>
      </c>
      <c r="AD133" s="701">
        <f t="shared" si="22"/>
        <v>0</v>
      </c>
      <c r="AE133" s="1428"/>
      <c r="AF133" s="888" t="s">
        <v>325</v>
      </c>
      <c r="AG133" s="252" t="s">
        <v>1546</v>
      </c>
      <c r="AH133" s="268"/>
      <c r="AI133" s="498">
        <f>P133</f>
        <v>0</v>
      </c>
      <c r="AJ133" s="304">
        <v>240000000</v>
      </c>
      <c r="AK133" s="871">
        <f>AJ133-O133</f>
        <v>240000000</v>
      </c>
      <c r="AL133" s="918"/>
      <c r="AM133" s="302">
        <f>AJ133-M133</f>
        <v>240000000</v>
      </c>
    </row>
    <row r="134" spans="1:39" s="8" customFormat="1" ht="15">
      <c r="A134" s="167" t="s">
        <v>24</v>
      </c>
      <c r="B134" s="173">
        <f>B130-SUM(B131:B133)</f>
        <v>240000000</v>
      </c>
      <c r="C134" s="83"/>
      <c r="D134" s="83"/>
      <c r="E134" s="83"/>
      <c r="F134" s="83"/>
      <c r="G134" s="83"/>
      <c r="H134" s="2070"/>
      <c r="I134" s="942"/>
      <c r="J134" s="53"/>
      <c r="K134" s="465"/>
      <c r="L134" s="1584"/>
      <c r="M134" s="1563">
        <f>SUM(M131:M133)</f>
        <v>0</v>
      </c>
      <c r="N134" s="1584"/>
      <c r="O134" s="1563">
        <f>SUM(O131:O132)</f>
        <v>0</v>
      </c>
      <c r="P134" s="1994"/>
      <c r="Q134" s="226">
        <f>SUM(Q131:Q132)</f>
        <v>0</v>
      </c>
      <c r="R134" s="162">
        <f>SUM(R131:R132)</f>
        <v>0</v>
      </c>
      <c r="S134" s="162">
        <f t="shared" ref="S134:AC134" si="23">SUM(S131:S132)</f>
        <v>0</v>
      </c>
      <c r="T134" s="162">
        <f t="shared" si="23"/>
        <v>0</v>
      </c>
      <c r="U134" s="162">
        <f t="shared" si="23"/>
        <v>0</v>
      </c>
      <c r="V134" s="162">
        <f>SUM(V131:V132)</f>
        <v>0</v>
      </c>
      <c r="W134" s="162">
        <f>SUM(W131:W132)</f>
        <v>0</v>
      </c>
      <c r="X134" s="162">
        <f t="shared" si="23"/>
        <v>0</v>
      </c>
      <c r="Y134" s="162">
        <f t="shared" si="23"/>
        <v>0</v>
      </c>
      <c r="Z134" s="162">
        <f t="shared" si="23"/>
        <v>0</v>
      </c>
      <c r="AA134" s="162">
        <f t="shared" si="23"/>
        <v>0</v>
      </c>
      <c r="AB134" s="1563">
        <f t="shared" si="23"/>
        <v>0</v>
      </c>
      <c r="AC134" s="162">
        <f t="shared" si="23"/>
        <v>0</v>
      </c>
      <c r="AD134" s="700">
        <f>SUM(AD131:AD132)</f>
        <v>0</v>
      </c>
      <c r="AE134" s="1436"/>
      <c r="AF134" s="1812"/>
      <c r="AG134" s="451"/>
      <c r="AH134" s="451"/>
      <c r="AI134" s="1033"/>
      <c r="AJ134" s="54">
        <f>SUM(AJ131:AJ133)</f>
        <v>240000000</v>
      </c>
      <c r="AK134" s="180">
        <f>SUM(AK131:AK133)</f>
        <v>240000000</v>
      </c>
      <c r="AL134" s="791">
        <f>B130-AJ134</f>
        <v>0</v>
      </c>
      <c r="AM134" s="305"/>
    </row>
    <row r="135" spans="1:39" s="8" customFormat="1" ht="29.25" customHeight="1">
      <c r="A135" s="594" t="s">
        <v>35</v>
      </c>
      <c r="B135" s="172">
        <v>63000000</v>
      </c>
      <c r="C135" s="1249" t="s">
        <v>1097</v>
      </c>
      <c r="D135" s="1249" t="s">
        <v>827</v>
      </c>
      <c r="E135" s="1249" t="s">
        <v>37</v>
      </c>
      <c r="F135" s="1249" t="s">
        <v>1648</v>
      </c>
      <c r="G135" s="1249" t="s">
        <v>38</v>
      </c>
      <c r="H135" s="2069" t="s">
        <v>1638</v>
      </c>
      <c r="I135" s="1258" t="s">
        <v>173</v>
      </c>
      <c r="J135" s="1259"/>
      <c r="K135" s="1260"/>
      <c r="L135" s="1587"/>
      <c r="M135" s="1566"/>
      <c r="N135" s="1587"/>
      <c r="O135" s="1566"/>
      <c r="P135" s="1996"/>
      <c r="Q135" s="1264"/>
      <c r="R135" s="1262"/>
      <c r="S135" s="1262"/>
      <c r="T135" s="1262"/>
      <c r="U135" s="1262"/>
      <c r="V135" s="1262"/>
      <c r="W135" s="1262"/>
      <c r="X135" s="1262"/>
      <c r="Y135" s="1262"/>
      <c r="Z135" s="1262"/>
      <c r="AA135" s="1262"/>
      <c r="AB135" s="1566"/>
      <c r="AC135" s="1262"/>
      <c r="AD135" s="1265"/>
      <c r="AE135" s="1436"/>
      <c r="AF135" s="1813"/>
      <c r="AG135" s="1266"/>
      <c r="AH135" s="1266"/>
      <c r="AI135" s="1267"/>
      <c r="AJ135" s="1268"/>
      <c r="AK135" s="1263"/>
      <c r="AL135" s="791"/>
      <c r="AM135" s="305"/>
    </row>
    <row r="136" spans="1:39" s="8" customFormat="1">
      <c r="A136" s="82" t="s">
        <v>35</v>
      </c>
      <c r="B136" s="1255">
        <f>M136</f>
        <v>52960000</v>
      </c>
      <c r="C136" s="1257" t="s">
        <v>1097</v>
      </c>
      <c r="D136" s="1257" t="s">
        <v>827</v>
      </c>
      <c r="E136" s="1257" t="s">
        <v>37</v>
      </c>
      <c r="F136" s="1257" t="s">
        <v>1648</v>
      </c>
      <c r="G136" s="1257" t="s">
        <v>38</v>
      </c>
      <c r="H136" s="2064" t="s">
        <v>1638</v>
      </c>
      <c r="I136" s="1304">
        <v>498</v>
      </c>
      <c r="J136" s="1256"/>
      <c r="K136" s="469"/>
      <c r="L136" s="1583">
        <v>430</v>
      </c>
      <c r="M136" s="1508">
        <v>52960000</v>
      </c>
      <c r="N136" s="1583">
        <v>441</v>
      </c>
      <c r="O136" s="1508">
        <v>52960000</v>
      </c>
      <c r="P136" s="1949">
        <v>321</v>
      </c>
      <c r="Q136" s="229"/>
      <c r="R136" s="138"/>
      <c r="S136" s="138"/>
      <c r="T136" s="138"/>
      <c r="U136" s="166"/>
      <c r="V136" s="166">
        <v>7944000</v>
      </c>
      <c r="W136" s="166">
        <v>6620000</v>
      </c>
      <c r="X136" s="166">
        <v>6620000</v>
      </c>
      <c r="Y136" s="166">
        <v>6620000</v>
      </c>
      <c r="Z136" s="166">
        <v>6620000</v>
      </c>
      <c r="AA136" s="166">
        <v>6620000</v>
      </c>
      <c r="AB136" s="1604">
        <f>6620000+5296000</f>
        <v>11916000</v>
      </c>
      <c r="AC136" s="695">
        <f>SUM(Q136:AB136)</f>
        <v>52960000</v>
      </c>
      <c r="AD136" s="701">
        <f>O136-AC136</f>
        <v>0</v>
      </c>
      <c r="AE136" s="1428"/>
      <c r="AF136" s="891">
        <v>498</v>
      </c>
      <c r="AG136" s="252" t="s">
        <v>302</v>
      </c>
      <c r="AH136" s="252" t="s">
        <v>913</v>
      </c>
      <c r="AI136" s="498">
        <f>P136</f>
        <v>321</v>
      </c>
      <c r="AJ136" s="1462">
        <v>52960000</v>
      </c>
      <c r="AK136" s="871">
        <f>AJ136-O136</f>
        <v>0</v>
      </c>
      <c r="AL136" s="791"/>
      <c r="AM136" s="302">
        <f>AJ136-M136</f>
        <v>0</v>
      </c>
    </row>
    <row r="137" spans="1:39" s="8" customFormat="1">
      <c r="A137" s="82" t="s">
        <v>35</v>
      </c>
      <c r="B137" s="1255">
        <f>M137</f>
        <v>10040000</v>
      </c>
      <c r="C137" s="1257" t="s">
        <v>1097</v>
      </c>
      <c r="D137" s="1257" t="s">
        <v>827</v>
      </c>
      <c r="E137" s="1257" t="s">
        <v>37</v>
      </c>
      <c r="F137" s="1257" t="s">
        <v>1648</v>
      </c>
      <c r="G137" s="1257" t="s">
        <v>38</v>
      </c>
      <c r="H137" s="2064" t="s">
        <v>1638</v>
      </c>
      <c r="I137" s="1304">
        <v>499</v>
      </c>
      <c r="J137" s="1256"/>
      <c r="K137" s="469"/>
      <c r="L137" s="1583">
        <v>442</v>
      </c>
      <c r="M137" s="1508">
        <v>10040000</v>
      </c>
      <c r="N137" s="1583">
        <v>476</v>
      </c>
      <c r="O137" s="1508">
        <v>10040000</v>
      </c>
      <c r="P137" s="1949">
        <v>344</v>
      </c>
      <c r="Q137" s="229"/>
      <c r="R137" s="138"/>
      <c r="S137" s="138"/>
      <c r="T137" s="138"/>
      <c r="U137" s="166"/>
      <c r="V137" s="166"/>
      <c r="W137" s="166"/>
      <c r="X137" s="166">
        <v>0</v>
      </c>
      <c r="Y137" s="166">
        <v>706667</v>
      </c>
      <c r="Z137" s="166">
        <v>2500000</v>
      </c>
      <c r="AA137" s="166">
        <v>2500000</v>
      </c>
      <c r="AB137" s="1604">
        <f>2500000+1833333</f>
        <v>4333333</v>
      </c>
      <c r="AC137" s="695">
        <f>SUM(Q137:AB137)</f>
        <v>10040000</v>
      </c>
      <c r="AD137" s="701">
        <f>O137-AC137</f>
        <v>0</v>
      </c>
      <c r="AE137" s="1428"/>
      <c r="AF137" s="891">
        <v>499</v>
      </c>
      <c r="AG137" s="252" t="s">
        <v>316</v>
      </c>
      <c r="AH137" s="252" t="s">
        <v>647</v>
      </c>
      <c r="AI137" s="498">
        <f>P137</f>
        <v>344</v>
      </c>
      <c r="AJ137" s="131">
        <v>10040000</v>
      </c>
      <c r="AK137" s="871">
        <f>AJ137-O137</f>
        <v>0</v>
      </c>
      <c r="AL137" s="791"/>
      <c r="AM137" s="302">
        <f>AJ137-M137</f>
        <v>0</v>
      </c>
    </row>
    <row r="138" spans="1:39" s="8" customFormat="1" ht="15">
      <c r="A138" s="167" t="s">
        <v>24</v>
      </c>
      <c r="B138" s="173">
        <f>B135-SUM(B136:B137)</f>
        <v>0</v>
      </c>
      <c r="C138" s="83"/>
      <c r="D138" s="83"/>
      <c r="E138" s="83"/>
      <c r="F138" s="83"/>
      <c r="G138" s="83"/>
      <c r="H138" s="2070"/>
      <c r="I138" s="942"/>
      <c r="J138" s="53"/>
      <c r="K138" s="465"/>
      <c r="L138" s="1584"/>
      <c r="M138" s="1563">
        <f>SUM(M136:M137)</f>
        <v>63000000</v>
      </c>
      <c r="N138" s="1584"/>
      <c r="O138" s="1563">
        <f>SUM(O136:O137)</f>
        <v>63000000</v>
      </c>
      <c r="P138" s="1994"/>
      <c r="Q138" s="162">
        <f>SUM(Q136:Q137)</f>
        <v>0</v>
      </c>
      <c r="R138" s="162">
        <f t="shared" ref="R138:AD138" si="24">SUM(R136:R137)</f>
        <v>0</v>
      </c>
      <c r="S138" s="162">
        <f t="shared" si="24"/>
        <v>0</v>
      </c>
      <c r="T138" s="162">
        <f t="shared" si="24"/>
        <v>0</v>
      </c>
      <c r="U138" s="162">
        <f t="shared" si="24"/>
        <v>0</v>
      </c>
      <c r="V138" s="162">
        <f>SUM(V136:V137)</f>
        <v>7944000</v>
      </c>
      <c r="W138" s="162">
        <f>SUM(W136:W137)</f>
        <v>6620000</v>
      </c>
      <c r="X138" s="162">
        <f t="shared" si="24"/>
        <v>6620000</v>
      </c>
      <c r="Y138" s="162">
        <f t="shared" si="24"/>
        <v>7326667</v>
      </c>
      <c r="Z138" s="162">
        <f t="shared" si="24"/>
        <v>9120000</v>
      </c>
      <c r="AA138" s="162">
        <f t="shared" si="24"/>
        <v>9120000</v>
      </c>
      <c r="AB138" s="1563">
        <f>SUM(AB136:AB137)</f>
        <v>16249333</v>
      </c>
      <c r="AC138" s="162">
        <f t="shared" si="24"/>
        <v>63000000</v>
      </c>
      <c r="AD138" s="162">
        <f t="shared" si="24"/>
        <v>0</v>
      </c>
      <c r="AE138" s="229"/>
      <c r="AF138" s="867"/>
      <c r="AG138" s="451"/>
      <c r="AH138" s="451"/>
      <c r="AI138" s="1033"/>
      <c r="AJ138" s="162">
        <f>SUM(AJ136:AJ137)</f>
        <v>63000000</v>
      </c>
      <c r="AK138" s="162">
        <f>SUM(AK136:AK137)</f>
        <v>0</v>
      </c>
      <c r="AL138" s="791">
        <f>B135-AJ138</f>
        <v>0</v>
      </c>
      <c r="AM138" s="305"/>
    </row>
    <row r="139" spans="1:39" s="8" customFormat="1" ht="29.25" customHeight="1">
      <c r="A139" s="594" t="s">
        <v>35</v>
      </c>
      <c r="B139" s="172">
        <f>40000000+100000000</f>
        <v>140000000</v>
      </c>
      <c r="C139" s="1249" t="s">
        <v>835</v>
      </c>
      <c r="D139" s="1249" t="s">
        <v>827</v>
      </c>
      <c r="E139" s="1249" t="s">
        <v>37</v>
      </c>
      <c r="F139" s="1249" t="s">
        <v>1648</v>
      </c>
      <c r="G139" s="1249" t="s">
        <v>38</v>
      </c>
      <c r="H139" s="2069" t="s">
        <v>1638</v>
      </c>
      <c r="I139" s="940"/>
      <c r="J139" s="422">
        <v>0</v>
      </c>
      <c r="K139" s="1139"/>
      <c r="L139" s="1585"/>
      <c r="M139" s="1564"/>
      <c r="N139" s="1585"/>
      <c r="O139" s="1564"/>
      <c r="P139" s="1997"/>
      <c r="Q139" s="1141"/>
      <c r="R139" s="401"/>
      <c r="S139" s="401"/>
      <c r="T139" s="401"/>
      <c r="U139" s="401"/>
      <c r="V139" s="401"/>
      <c r="W139" s="401"/>
      <c r="X139" s="401"/>
      <c r="Y139" s="401"/>
      <c r="Z139" s="401"/>
      <c r="AA139" s="401"/>
      <c r="AB139" s="1564"/>
      <c r="AC139" s="694">
        <f>SUM(Q139:AB139)</f>
        <v>0</v>
      </c>
      <c r="AD139" s="723">
        <f>O139-AC139</f>
        <v>0</v>
      </c>
      <c r="AE139" s="1428"/>
      <c r="AF139" s="1142"/>
      <c r="AG139" s="363"/>
      <c r="AH139" s="363"/>
      <c r="AI139" s="1034"/>
      <c r="AJ139" s="1143"/>
      <c r="AK139" s="1140"/>
      <c r="AL139" s="791"/>
    </row>
    <row r="140" spans="1:39" s="8" customFormat="1" ht="15">
      <c r="A140" s="82" t="s">
        <v>35</v>
      </c>
      <c r="B140" s="161">
        <f>M140</f>
        <v>0</v>
      </c>
      <c r="C140" s="78" t="s">
        <v>835</v>
      </c>
      <c r="D140" s="78" t="s">
        <v>827</v>
      </c>
      <c r="E140" s="78" t="s">
        <v>37</v>
      </c>
      <c r="F140" s="78" t="s">
        <v>1648</v>
      </c>
      <c r="G140" s="78" t="s">
        <v>38</v>
      </c>
      <c r="H140" s="2064" t="s">
        <v>1638</v>
      </c>
      <c r="I140" s="2061" t="s">
        <v>325</v>
      </c>
      <c r="J140" s="160">
        <v>0</v>
      </c>
      <c r="K140" s="469"/>
      <c r="L140" s="1583"/>
      <c r="M140" s="1508"/>
      <c r="N140" s="1583"/>
      <c r="O140" s="1508"/>
      <c r="P140" s="1949"/>
      <c r="Q140" s="229"/>
      <c r="R140" s="138"/>
      <c r="S140" s="138"/>
      <c r="T140" s="138"/>
      <c r="U140" s="166"/>
      <c r="V140" s="138"/>
      <c r="W140" s="138"/>
      <c r="X140" s="138"/>
      <c r="Y140" s="166"/>
      <c r="Z140" s="138"/>
      <c r="AA140" s="138"/>
      <c r="AB140" s="1565"/>
      <c r="AC140" s="695">
        <f>SUM(Q140:AB140)</f>
        <v>0</v>
      </c>
      <c r="AD140" s="701">
        <f>O140-AC140</f>
        <v>0</v>
      </c>
      <c r="AE140" s="1428"/>
      <c r="AF140" s="891" t="s">
        <v>325</v>
      </c>
      <c r="AG140" s="268" t="s">
        <v>326</v>
      </c>
      <c r="AH140" s="268" t="s">
        <v>173</v>
      </c>
      <c r="AI140" s="498">
        <f>P140</f>
        <v>0</v>
      </c>
      <c r="AJ140" s="105">
        <f>40000000-40000000</f>
        <v>0</v>
      </c>
      <c r="AK140" s="892">
        <f>AJ140-O140</f>
        <v>0</v>
      </c>
      <c r="AL140" s="791"/>
      <c r="AM140" s="302">
        <f>AJ140-M140</f>
        <v>0</v>
      </c>
    </row>
    <row r="141" spans="1:39" s="8" customFormat="1">
      <c r="A141" s="82" t="s">
        <v>35</v>
      </c>
      <c r="B141" s="161">
        <f>M141</f>
        <v>98876000</v>
      </c>
      <c r="C141" s="78" t="s">
        <v>835</v>
      </c>
      <c r="D141" s="79" t="s">
        <v>827</v>
      </c>
      <c r="E141" s="79" t="s">
        <v>37</v>
      </c>
      <c r="F141" s="79" t="s">
        <v>1648</v>
      </c>
      <c r="G141" s="79" t="s">
        <v>38</v>
      </c>
      <c r="H141" s="2064" t="s">
        <v>1638</v>
      </c>
      <c r="I141" s="979">
        <v>454</v>
      </c>
      <c r="J141" s="160">
        <v>0</v>
      </c>
      <c r="K141" s="469"/>
      <c r="L141" s="1583">
        <v>399</v>
      </c>
      <c r="M141" s="1508">
        <f>99186546-310546</f>
        <v>98876000</v>
      </c>
      <c r="N141" s="1583">
        <v>462</v>
      </c>
      <c r="O141" s="1508">
        <v>98876000</v>
      </c>
      <c r="P141" s="1949">
        <v>335</v>
      </c>
      <c r="Q141" s="229"/>
      <c r="R141" s="138"/>
      <c r="S141" s="138"/>
      <c r="T141" s="138"/>
      <c r="U141" s="166"/>
      <c r="V141" s="166"/>
      <c r="W141" s="138"/>
      <c r="X141" s="166">
        <v>25716000</v>
      </c>
      <c r="Y141" s="166">
        <v>65844000</v>
      </c>
      <c r="Z141" s="166">
        <v>7316000</v>
      </c>
      <c r="AA141" s="166"/>
      <c r="AB141" s="1604"/>
      <c r="AC141" s="695">
        <f t="shared" ref="AC141:AC143" si="25">SUM(Q141:AB141)</f>
        <v>98876000</v>
      </c>
      <c r="AD141" s="701">
        <f t="shared" ref="AD141:AD143" si="26">O141-AC141</f>
        <v>0</v>
      </c>
      <c r="AE141" s="1428"/>
      <c r="AF141" s="891">
        <v>454</v>
      </c>
      <c r="AG141" s="268" t="s">
        <v>808</v>
      </c>
      <c r="AH141" s="268" t="s">
        <v>931</v>
      </c>
      <c r="AI141" s="498">
        <f>P141</f>
        <v>335</v>
      </c>
      <c r="AJ141" s="105">
        <f>100000000</f>
        <v>100000000</v>
      </c>
      <c r="AK141" s="892">
        <f>AJ141-O141</f>
        <v>1124000</v>
      </c>
      <c r="AL141" s="791"/>
      <c r="AM141" s="302">
        <f>AJ141-M141</f>
        <v>1124000</v>
      </c>
    </row>
    <row r="142" spans="1:39" s="8" customFormat="1">
      <c r="A142" s="82" t="s">
        <v>35</v>
      </c>
      <c r="B142" s="161">
        <f>M142</f>
        <v>40000000</v>
      </c>
      <c r="C142" s="78" t="s">
        <v>835</v>
      </c>
      <c r="D142" s="79" t="s">
        <v>827</v>
      </c>
      <c r="E142" s="79" t="s">
        <v>37</v>
      </c>
      <c r="F142" s="79" t="s">
        <v>1648</v>
      </c>
      <c r="G142" s="79" t="s">
        <v>38</v>
      </c>
      <c r="H142" s="2064" t="s">
        <v>1638</v>
      </c>
      <c r="I142" s="979">
        <v>497</v>
      </c>
      <c r="J142" s="160"/>
      <c r="K142" s="469"/>
      <c r="L142" s="1583">
        <v>459</v>
      </c>
      <c r="M142" s="1508">
        <v>40000000</v>
      </c>
      <c r="N142" s="1583">
        <v>484</v>
      </c>
      <c r="O142" s="1508">
        <v>40000000</v>
      </c>
      <c r="P142" s="1949">
        <v>350</v>
      </c>
      <c r="Q142" s="229"/>
      <c r="R142" s="138"/>
      <c r="S142" s="138"/>
      <c r="T142" s="138"/>
      <c r="U142" s="166"/>
      <c r="V142" s="166">
        <v>0</v>
      </c>
      <c r="W142" s="1508">
        <v>1824667</v>
      </c>
      <c r="X142" s="1508">
        <v>6620000</v>
      </c>
      <c r="Y142" s="166">
        <v>6620000</v>
      </c>
      <c r="Z142" s="166">
        <v>6620000</v>
      </c>
      <c r="AA142" s="166">
        <v>6620000</v>
      </c>
      <c r="AB142" s="1604">
        <f>6620000+5075333</f>
        <v>11695333</v>
      </c>
      <c r="AC142" s="695">
        <f t="shared" si="25"/>
        <v>40000000</v>
      </c>
      <c r="AD142" s="701">
        <f t="shared" si="26"/>
        <v>0</v>
      </c>
      <c r="AE142" s="1428"/>
      <c r="AF142" s="891">
        <v>497</v>
      </c>
      <c r="AG142" s="268" t="s">
        <v>306</v>
      </c>
      <c r="AH142" s="268" t="s">
        <v>650</v>
      </c>
      <c r="AI142" s="498">
        <f>P142</f>
        <v>350</v>
      </c>
      <c r="AJ142" s="105">
        <v>40000000</v>
      </c>
      <c r="AK142" s="892">
        <f>AJ142-O142</f>
        <v>0</v>
      </c>
      <c r="AL142" s="791"/>
      <c r="AM142" s="302">
        <f>AJ142-M142</f>
        <v>0</v>
      </c>
    </row>
    <row r="143" spans="1:39" s="8" customFormat="1" ht="15">
      <c r="A143" s="82" t="s">
        <v>35</v>
      </c>
      <c r="B143" s="161">
        <f>M143</f>
        <v>0</v>
      </c>
      <c r="C143" s="78" t="s">
        <v>835</v>
      </c>
      <c r="D143" s="79" t="s">
        <v>827</v>
      </c>
      <c r="E143" s="79" t="s">
        <v>37</v>
      </c>
      <c r="F143" s="79" t="s">
        <v>1648</v>
      </c>
      <c r="G143" s="79" t="s">
        <v>38</v>
      </c>
      <c r="H143" s="2064" t="s">
        <v>1638</v>
      </c>
      <c r="I143" s="959" t="s">
        <v>173</v>
      </c>
      <c r="J143" s="160"/>
      <c r="K143" s="469"/>
      <c r="L143" s="1583"/>
      <c r="M143" s="1508"/>
      <c r="N143" s="1583"/>
      <c r="O143" s="1508"/>
      <c r="P143" s="1949"/>
      <c r="Q143" s="229"/>
      <c r="R143" s="138"/>
      <c r="S143" s="138"/>
      <c r="T143" s="138"/>
      <c r="U143" s="166"/>
      <c r="V143" s="138"/>
      <c r="W143" s="138"/>
      <c r="X143" s="138"/>
      <c r="Y143" s="166"/>
      <c r="Z143" s="138"/>
      <c r="AA143" s="138"/>
      <c r="AB143" s="1565"/>
      <c r="AC143" s="695">
        <f t="shared" si="25"/>
        <v>0</v>
      </c>
      <c r="AD143" s="701">
        <f t="shared" si="26"/>
        <v>0</v>
      </c>
      <c r="AE143" s="1428"/>
      <c r="AF143" s="891" t="s">
        <v>173</v>
      </c>
      <c r="AG143" s="268"/>
      <c r="AH143" s="268"/>
      <c r="AI143" s="498">
        <f>P143</f>
        <v>0</v>
      </c>
      <c r="AJ143" s="105"/>
      <c r="AK143" s="892">
        <f>AJ143-O143</f>
        <v>0</v>
      </c>
      <c r="AL143" s="791"/>
      <c r="AM143" s="302">
        <f>AJ143-M143</f>
        <v>0</v>
      </c>
    </row>
    <row r="144" spans="1:39" s="8" customFormat="1" ht="15">
      <c r="A144" s="167" t="s">
        <v>24</v>
      </c>
      <c r="B144" s="173">
        <f>B139-SUM(B140:B143)</f>
        <v>1124000</v>
      </c>
      <c r="C144" s="83"/>
      <c r="D144" s="83"/>
      <c r="E144" s="83"/>
      <c r="F144" s="83"/>
      <c r="G144" s="83"/>
      <c r="H144" s="2070"/>
      <c r="I144" s="942"/>
      <c r="J144" s="53"/>
      <c r="K144" s="465"/>
      <c r="L144" s="1584"/>
      <c r="M144" s="1563">
        <f>SUM(M140:M143)</f>
        <v>138876000</v>
      </c>
      <c r="N144" s="1584"/>
      <c r="O144" s="1563">
        <f>SUM(O140:O143)</f>
        <v>138876000</v>
      </c>
      <c r="P144" s="1994"/>
      <c r="Q144" s="162">
        <f>SUM(Q140:Q143)</f>
        <v>0</v>
      </c>
      <c r="R144" s="162">
        <f t="shared" ref="R144:AD144" si="27">SUM(R140:R143)</f>
        <v>0</v>
      </c>
      <c r="S144" s="162">
        <f t="shared" si="27"/>
        <v>0</v>
      </c>
      <c r="T144" s="162">
        <f t="shared" si="27"/>
        <v>0</v>
      </c>
      <c r="U144" s="162">
        <f t="shared" si="27"/>
        <v>0</v>
      </c>
      <c r="V144" s="162">
        <f t="shared" si="27"/>
        <v>0</v>
      </c>
      <c r="W144" s="162">
        <f>SUM(W140:W143)</f>
        <v>1824667</v>
      </c>
      <c r="X144" s="162">
        <f t="shared" si="27"/>
        <v>32336000</v>
      </c>
      <c r="Y144" s="162">
        <f t="shared" si="27"/>
        <v>72464000</v>
      </c>
      <c r="Z144" s="162">
        <f t="shared" si="27"/>
        <v>13936000</v>
      </c>
      <c r="AA144" s="162">
        <f t="shared" si="27"/>
        <v>6620000</v>
      </c>
      <c r="AB144" s="1563">
        <f>SUM(AB140:AB143)</f>
        <v>11695333</v>
      </c>
      <c r="AC144" s="162">
        <f t="shared" si="27"/>
        <v>138876000</v>
      </c>
      <c r="AD144" s="162">
        <f t="shared" si="27"/>
        <v>0</v>
      </c>
      <c r="AE144" s="229"/>
      <c r="AF144" s="867"/>
      <c r="AG144" s="451"/>
      <c r="AH144" s="451"/>
      <c r="AI144" s="1033"/>
      <c r="AJ144" s="162">
        <f>SUM(AJ140:AJ143)</f>
        <v>140000000</v>
      </c>
      <c r="AK144" s="162">
        <f>SUM(AK140:AK143)</f>
        <v>1124000</v>
      </c>
      <c r="AL144" s="791">
        <f>B139-AJ144</f>
        <v>0</v>
      </c>
      <c r="AM144" s="305"/>
    </row>
    <row r="145" spans="1:39" s="6" customFormat="1" ht="39" customHeight="1">
      <c r="A145" s="691" t="s">
        <v>595</v>
      </c>
      <c r="B145" s="174">
        <f>620000000-33780000-12635500</f>
        <v>573584500</v>
      </c>
      <c r="C145" s="1252" t="s">
        <v>36</v>
      </c>
      <c r="D145" s="1253" t="s">
        <v>828</v>
      </c>
      <c r="E145" s="1253" t="s">
        <v>37</v>
      </c>
      <c r="F145" s="1253" t="s">
        <v>1649</v>
      </c>
      <c r="G145" s="1253" t="s">
        <v>38</v>
      </c>
      <c r="H145" s="2071" t="s">
        <v>1639</v>
      </c>
      <c r="I145" s="943"/>
      <c r="J145" s="429">
        <v>0</v>
      </c>
      <c r="K145" s="467"/>
      <c r="L145" s="1588"/>
      <c r="M145" s="1567"/>
      <c r="N145" s="1588"/>
      <c r="O145" s="1608"/>
      <c r="P145" s="1998"/>
      <c r="Q145" s="426"/>
      <c r="R145" s="427"/>
      <c r="S145" s="427"/>
      <c r="T145" s="427"/>
      <c r="U145" s="427"/>
      <c r="V145" s="427"/>
      <c r="W145" s="427"/>
      <c r="X145" s="427"/>
      <c r="Y145" s="427"/>
      <c r="Z145" s="427"/>
      <c r="AA145" s="427"/>
      <c r="AB145" s="2013"/>
      <c r="AC145" s="697"/>
      <c r="AD145" s="725"/>
      <c r="AE145" s="1437"/>
      <c r="AF145" s="893"/>
      <c r="AG145" s="428"/>
      <c r="AH145" s="428"/>
      <c r="AI145" s="507"/>
      <c r="AJ145" s="338"/>
      <c r="AK145" s="894"/>
      <c r="AL145" s="918"/>
    </row>
    <row r="146" spans="1:39" s="8" customFormat="1">
      <c r="A146" s="86" t="s">
        <v>595</v>
      </c>
      <c r="B146" s="169">
        <f>M146</f>
        <v>73645000</v>
      </c>
      <c r="C146" s="85" t="s">
        <v>36</v>
      </c>
      <c r="D146" s="85" t="s">
        <v>828</v>
      </c>
      <c r="E146" s="85" t="s">
        <v>37</v>
      </c>
      <c r="F146" s="85" t="s">
        <v>1649</v>
      </c>
      <c r="G146" s="85" t="s">
        <v>38</v>
      </c>
      <c r="H146" s="2072" t="s">
        <v>1639</v>
      </c>
      <c r="I146" s="2062">
        <v>71</v>
      </c>
      <c r="J146" s="160">
        <v>0</v>
      </c>
      <c r="K146" s="468"/>
      <c r="L146" s="1583">
        <v>81</v>
      </c>
      <c r="M146" s="1508">
        <v>73645000</v>
      </c>
      <c r="N146" s="1583">
        <v>61</v>
      </c>
      <c r="O146" s="1604">
        <v>73645000</v>
      </c>
      <c r="P146" s="1993">
        <v>35</v>
      </c>
      <c r="Q146" s="225"/>
      <c r="R146" s="166"/>
      <c r="S146" s="166">
        <v>7364500</v>
      </c>
      <c r="T146" s="166">
        <v>6695000</v>
      </c>
      <c r="U146" s="166">
        <v>6695000</v>
      </c>
      <c r="V146" s="166">
        <v>6695000</v>
      </c>
      <c r="W146" s="166">
        <v>6695000</v>
      </c>
      <c r="X146" s="166">
        <v>5802333</v>
      </c>
      <c r="Y146" s="166">
        <v>6695000</v>
      </c>
      <c r="Z146" s="166">
        <v>6695000</v>
      </c>
      <c r="AA146" s="166">
        <v>6695000</v>
      </c>
      <c r="AB146" s="1604">
        <f>6695000+6695000</f>
        <v>13390000</v>
      </c>
      <c r="AC146" s="695">
        <f t="shared" ref="AC146" si="28">SUM(Q146:AB146)</f>
        <v>73421833</v>
      </c>
      <c r="AD146" s="701">
        <f t="shared" ref="AD146" si="29">O146-AC146</f>
        <v>223167</v>
      </c>
      <c r="AE146" s="1428"/>
      <c r="AF146" s="895">
        <v>71</v>
      </c>
      <c r="AG146" s="252" t="s">
        <v>277</v>
      </c>
      <c r="AH146" s="268" t="s">
        <v>1530</v>
      </c>
      <c r="AI146" s="498">
        <f t="shared" ref="AI146:AI187" si="30">P146</f>
        <v>35</v>
      </c>
      <c r="AJ146" s="304">
        <v>73645000</v>
      </c>
      <c r="AK146" s="871">
        <f t="shared" ref="AK146:AK156" si="31">AJ146-O146</f>
        <v>0</v>
      </c>
      <c r="AL146" s="918"/>
      <c r="AM146" s="302">
        <f t="shared" ref="AM146:AM164" si="32">AJ146-M146</f>
        <v>0</v>
      </c>
    </row>
    <row r="147" spans="1:39" s="8" customFormat="1">
      <c r="A147" s="86" t="s">
        <v>595</v>
      </c>
      <c r="B147" s="169">
        <f>M147</f>
        <v>6695000</v>
      </c>
      <c r="C147" s="85" t="s">
        <v>36</v>
      </c>
      <c r="D147" s="85" t="s">
        <v>828</v>
      </c>
      <c r="E147" s="85" t="s">
        <v>37</v>
      </c>
      <c r="F147" s="85" t="s">
        <v>1649</v>
      </c>
      <c r="G147" s="85" t="s">
        <v>38</v>
      </c>
      <c r="H147" s="2072" t="s">
        <v>1639</v>
      </c>
      <c r="I147" s="2062" t="s">
        <v>325</v>
      </c>
      <c r="J147" s="160">
        <v>769</v>
      </c>
      <c r="K147" s="468">
        <v>6695000</v>
      </c>
      <c r="L147" s="1583">
        <v>901</v>
      </c>
      <c r="M147" s="1508">
        <v>6695000</v>
      </c>
      <c r="N147" s="1583">
        <v>1108</v>
      </c>
      <c r="O147" s="1604">
        <v>6695000</v>
      </c>
      <c r="P147" s="1993">
        <v>35</v>
      </c>
      <c r="Q147" s="225"/>
      <c r="R147" s="166"/>
      <c r="S147" s="166"/>
      <c r="T147" s="166"/>
      <c r="U147" s="166"/>
      <c r="V147" s="166"/>
      <c r="W147" s="166"/>
      <c r="X147" s="166"/>
      <c r="Y147" s="166"/>
      <c r="Z147" s="166"/>
      <c r="AA147" s="166"/>
      <c r="AB147" s="1604"/>
      <c r="AC147" s="695">
        <f t="shared" ref="AC147:AC204" si="33">SUM(Q147:AB147)</f>
        <v>0</v>
      </c>
      <c r="AD147" s="701">
        <f t="shared" ref="AD147:AD204" si="34">O147-AC147</f>
        <v>6695000</v>
      </c>
      <c r="AE147" s="1428"/>
      <c r="AF147" s="887" t="s">
        <v>325</v>
      </c>
      <c r="AG147" s="268" t="s">
        <v>1531</v>
      </c>
      <c r="AH147" s="268" t="s">
        <v>1530</v>
      </c>
      <c r="AI147" s="498">
        <f t="shared" si="30"/>
        <v>35</v>
      </c>
      <c r="AJ147" s="304">
        <f>7298424-7298424+6695000</f>
        <v>6695000</v>
      </c>
      <c r="AK147" s="871">
        <f t="shared" si="31"/>
        <v>0</v>
      </c>
      <c r="AL147" s="918"/>
      <c r="AM147" s="302">
        <f t="shared" si="32"/>
        <v>0</v>
      </c>
    </row>
    <row r="148" spans="1:39" s="8" customFormat="1">
      <c r="A148" s="86" t="s">
        <v>595</v>
      </c>
      <c r="B148" s="169">
        <f t="shared" ref="B148:B204" si="35">M148</f>
        <v>49000000</v>
      </c>
      <c r="C148" s="85" t="s">
        <v>36</v>
      </c>
      <c r="D148" s="85" t="s">
        <v>828</v>
      </c>
      <c r="E148" s="85" t="s">
        <v>37</v>
      </c>
      <c r="F148" s="85" t="s">
        <v>1649</v>
      </c>
      <c r="G148" s="85" t="s">
        <v>38</v>
      </c>
      <c r="H148" s="2072" t="s">
        <v>1639</v>
      </c>
      <c r="I148" s="2059">
        <v>85</v>
      </c>
      <c r="J148" s="160">
        <v>0</v>
      </c>
      <c r="K148" s="468"/>
      <c r="L148" s="1583">
        <v>230</v>
      </c>
      <c r="M148" s="1508">
        <v>49000000</v>
      </c>
      <c r="N148" s="1583">
        <v>218</v>
      </c>
      <c r="O148" s="1604">
        <v>49000000</v>
      </c>
      <c r="P148" s="1993">
        <v>183</v>
      </c>
      <c r="Q148" s="225"/>
      <c r="R148" s="166"/>
      <c r="S148" s="166">
        <v>4410000</v>
      </c>
      <c r="T148" s="166">
        <v>4900000</v>
      </c>
      <c r="U148" s="166">
        <v>4900000</v>
      </c>
      <c r="V148" s="166">
        <v>4900000</v>
      </c>
      <c r="W148" s="166">
        <v>4900000</v>
      </c>
      <c r="X148" s="166">
        <v>4900000</v>
      </c>
      <c r="Y148" s="166">
        <v>4900000</v>
      </c>
      <c r="Z148" s="166">
        <v>4900000</v>
      </c>
      <c r="AA148" s="166">
        <v>4900000</v>
      </c>
      <c r="AB148" s="1604">
        <f>4900000+490000</f>
        <v>5390000</v>
      </c>
      <c r="AC148" s="695">
        <f t="shared" si="33"/>
        <v>49000000</v>
      </c>
      <c r="AD148" s="701">
        <f t="shared" si="34"/>
        <v>0</v>
      </c>
      <c r="AE148" s="1428"/>
      <c r="AF148" s="887">
        <v>85</v>
      </c>
      <c r="AG148" s="252" t="s">
        <v>278</v>
      </c>
      <c r="AH148" s="268" t="s">
        <v>658</v>
      </c>
      <c r="AI148" s="498">
        <f t="shared" si="30"/>
        <v>183</v>
      </c>
      <c r="AJ148" s="304">
        <f>51040000-2040000</f>
        <v>49000000</v>
      </c>
      <c r="AK148" s="871">
        <f t="shared" si="31"/>
        <v>0</v>
      </c>
      <c r="AL148" s="918"/>
      <c r="AM148" s="302">
        <f t="shared" si="32"/>
        <v>0</v>
      </c>
    </row>
    <row r="149" spans="1:39" s="8" customFormat="1">
      <c r="A149" s="86" t="s">
        <v>595</v>
      </c>
      <c r="B149" s="169">
        <f t="shared" si="35"/>
        <v>3267000</v>
      </c>
      <c r="C149" s="85" t="s">
        <v>36</v>
      </c>
      <c r="D149" s="85" t="s">
        <v>828</v>
      </c>
      <c r="E149" s="85" t="s">
        <v>37</v>
      </c>
      <c r="F149" s="85" t="s">
        <v>1649</v>
      </c>
      <c r="G149" s="85" t="s">
        <v>38</v>
      </c>
      <c r="H149" s="2072" t="s">
        <v>1639</v>
      </c>
      <c r="I149" s="225" t="s">
        <v>325</v>
      </c>
      <c r="J149" s="160">
        <v>652</v>
      </c>
      <c r="K149" s="468">
        <v>3267000</v>
      </c>
      <c r="L149" s="1583">
        <v>740</v>
      </c>
      <c r="M149" s="1508">
        <v>3267000</v>
      </c>
      <c r="N149" s="1583">
        <v>938</v>
      </c>
      <c r="O149" s="1508">
        <v>3267000</v>
      </c>
      <c r="P149" s="1993">
        <v>183</v>
      </c>
      <c r="Q149" s="225"/>
      <c r="R149" s="166"/>
      <c r="S149" s="166"/>
      <c r="T149" s="166"/>
      <c r="U149" s="166"/>
      <c r="V149" s="166"/>
      <c r="W149" s="166"/>
      <c r="X149" s="166"/>
      <c r="Y149" s="166"/>
      <c r="Z149" s="166"/>
      <c r="AA149" s="166"/>
      <c r="AB149" s="1604">
        <v>3266667</v>
      </c>
      <c r="AC149" s="695">
        <f t="shared" si="33"/>
        <v>3266667</v>
      </c>
      <c r="AD149" s="701">
        <f t="shared" si="34"/>
        <v>333</v>
      </c>
      <c r="AE149" s="1428"/>
      <c r="AF149" s="887" t="s">
        <v>325</v>
      </c>
      <c r="AG149" s="252" t="s">
        <v>1272</v>
      </c>
      <c r="AH149" s="268" t="s">
        <v>658</v>
      </c>
      <c r="AI149" s="498">
        <f t="shared" si="30"/>
        <v>183</v>
      </c>
      <c r="AJ149" s="304">
        <v>3267000</v>
      </c>
      <c r="AK149" s="871">
        <f t="shared" si="31"/>
        <v>0</v>
      </c>
      <c r="AL149" s="918"/>
      <c r="AM149" s="302">
        <f t="shared" si="32"/>
        <v>0</v>
      </c>
    </row>
    <row r="150" spans="1:39" s="8" customFormat="1">
      <c r="A150" s="86" t="s">
        <v>595</v>
      </c>
      <c r="B150" s="169">
        <f t="shared" si="35"/>
        <v>30000000</v>
      </c>
      <c r="C150" s="85" t="s">
        <v>36</v>
      </c>
      <c r="D150" s="85" t="s">
        <v>828</v>
      </c>
      <c r="E150" s="85" t="s">
        <v>37</v>
      </c>
      <c r="F150" s="85" t="s">
        <v>1649</v>
      </c>
      <c r="G150" s="85" t="s">
        <v>38</v>
      </c>
      <c r="H150" s="2072" t="s">
        <v>1639</v>
      </c>
      <c r="I150" s="2059" t="s">
        <v>148</v>
      </c>
      <c r="J150" s="160"/>
      <c r="K150" s="468"/>
      <c r="L150" s="1583">
        <v>272</v>
      </c>
      <c r="M150" s="1508">
        <v>30000000</v>
      </c>
      <c r="N150" s="1583">
        <v>584</v>
      </c>
      <c r="O150" s="1604">
        <v>30000000</v>
      </c>
      <c r="P150" s="1999" t="s">
        <v>1044</v>
      </c>
      <c r="Q150" s="225" t="s">
        <v>173</v>
      </c>
      <c r="R150" s="166"/>
      <c r="S150" s="166"/>
      <c r="T150" s="166"/>
      <c r="U150" s="166"/>
      <c r="V150" s="166">
        <v>15000000</v>
      </c>
      <c r="W150" s="166" t="s">
        <v>173</v>
      </c>
      <c r="X150" s="166"/>
      <c r="Y150" s="166">
        <v>12000000</v>
      </c>
      <c r="Z150" s="166"/>
      <c r="AA150" s="166"/>
      <c r="AB150" s="1604">
        <v>3000000</v>
      </c>
      <c r="AC150" s="695">
        <f t="shared" si="33"/>
        <v>30000000</v>
      </c>
      <c r="AD150" s="701">
        <f t="shared" si="34"/>
        <v>0</v>
      </c>
      <c r="AE150" s="1428"/>
      <c r="AF150" s="887" t="s">
        <v>148</v>
      </c>
      <c r="AG150" s="252" t="s">
        <v>623</v>
      </c>
      <c r="AH150" s="268" t="s">
        <v>1045</v>
      </c>
      <c r="AI150" s="498" t="str">
        <f t="shared" si="30"/>
        <v>Resolución 355</v>
      </c>
      <c r="AJ150" s="304">
        <v>30000000</v>
      </c>
      <c r="AK150" s="871">
        <f t="shared" si="31"/>
        <v>0</v>
      </c>
      <c r="AL150" s="918"/>
      <c r="AM150" s="302">
        <f t="shared" si="32"/>
        <v>0</v>
      </c>
    </row>
    <row r="151" spans="1:39" s="8" customFormat="1">
      <c r="A151" s="86" t="s">
        <v>595</v>
      </c>
      <c r="B151" s="169">
        <f t="shared" si="35"/>
        <v>20000000</v>
      </c>
      <c r="C151" s="85" t="s">
        <v>36</v>
      </c>
      <c r="D151" s="85" t="s">
        <v>828</v>
      </c>
      <c r="E151" s="85" t="s">
        <v>37</v>
      </c>
      <c r="F151" s="85" t="s">
        <v>1649</v>
      </c>
      <c r="G151" s="85" t="s">
        <v>38</v>
      </c>
      <c r="H151" s="2072" t="s">
        <v>1639</v>
      </c>
      <c r="I151" s="2059" t="s">
        <v>148</v>
      </c>
      <c r="J151" s="160"/>
      <c r="K151" s="468"/>
      <c r="L151" s="1583">
        <v>276</v>
      </c>
      <c r="M151" s="1508">
        <v>20000000</v>
      </c>
      <c r="N151" s="1583">
        <v>588</v>
      </c>
      <c r="O151" s="1604">
        <v>20000000</v>
      </c>
      <c r="P151" s="1999" t="s">
        <v>1046</v>
      </c>
      <c r="Q151" s="225" t="s">
        <v>173</v>
      </c>
      <c r="R151" s="166"/>
      <c r="S151" s="166"/>
      <c r="T151" s="166"/>
      <c r="U151" s="166"/>
      <c r="V151" s="166">
        <v>10000000</v>
      </c>
      <c r="W151" s="166" t="s">
        <v>173</v>
      </c>
      <c r="X151" s="166"/>
      <c r="Y151" s="166">
        <v>8000000</v>
      </c>
      <c r="Z151" s="166"/>
      <c r="AA151" s="166"/>
      <c r="AB151" s="1604">
        <v>2000000</v>
      </c>
      <c r="AC151" s="695">
        <f t="shared" si="33"/>
        <v>20000000</v>
      </c>
      <c r="AD151" s="701">
        <f t="shared" si="34"/>
        <v>0</v>
      </c>
      <c r="AE151" s="1428"/>
      <c r="AF151" s="887" t="s">
        <v>148</v>
      </c>
      <c r="AG151" s="252" t="s">
        <v>624</v>
      </c>
      <c r="AH151" s="268" t="s">
        <v>1047</v>
      </c>
      <c r="AI151" s="498" t="str">
        <f t="shared" si="30"/>
        <v>Resolución 314</v>
      </c>
      <c r="AJ151" s="304">
        <v>20000000</v>
      </c>
      <c r="AK151" s="871">
        <f t="shared" si="31"/>
        <v>0</v>
      </c>
      <c r="AL151" s="918"/>
      <c r="AM151" s="302">
        <f t="shared" si="32"/>
        <v>0</v>
      </c>
    </row>
    <row r="152" spans="1:39" s="8" customFormat="1">
      <c r="A152" s="86" t="s">
        <v>595</v>
      </c>
      <c r="B152" s="169">
        <f t="shared" si="35"/>
        <v>0</v>
      </c>
      <c r="C152" s="85" t="s">
        <v>36</v>
      </c>
      <c r="D152" s="85" t="s">
        <v>828</v>
      </c>
      <c r="E152" s="85" t="s">
        <v>37</v>
      </c>
      <c r="F152" s="85" t="s">
        <v>1649</v>
      </c>
      <c r="G152" s="85" t="s">
        <v>38</v>
      </c>
      <c r="H152" s="2072" t="s">
        <v>1639</v>
      </c>
      <c r="I152" s="2059" t="s">
        <v>148</v>
      </c>
      <c r="J152" s="160"/>
      <c r="K152" s="468"/>
      <c r="L152" s="1583">
        <v>278</v>
      </c>
      <c r="M152" s="1508">
        <f>20000000-20000000</f>
        <v>0</v>
      </c>
      <c r="N152" s="1583"/>
      <c r="O152" s="1604"/>
      <c r="P152" s="1993"/>
      <c r="Q152" s="225" t="s">
        <v>173</v>
      </c>
      <c r="R152" s="166"/>
      <c r="S152" s="166"/>
      <c r="T152" s="166"/>
      <c r="U152" s="166"/>
      <c r="V152" s="166"/>
      <c r="W152" s="166" t="s">
        <v>173</v>
      </c>
      <c r="X152" s="166"/>
      <c r="Y152" s="166"/>
      <c r="Z152" s="166"/>
      <c r="AA152" s="166"/>
      <c r="AB152" s="1604"/>
      <c r="AC152" s="695">
        <f t="shared" si="33"/>
        <v>0</v>
      </c>
      <c r="AD152" s="701">
        <f t="shared" si="34"/>
        <v>0</v>
      </c>
      <c r="AE152" s="1428"/>
      <c r="AF152" s="887" t="s">
        <v>148</v>
      </c>
      <c r="AG152" s="252" t="s">
        <v>625</v>
      </c>
      <c r="AH152" s="268" t="s">
        <v>173</v>
      </c>
      <c r="AI152" s="498">
        <f t="shared" si="30"/>
        <v>0</v>
      </c>
      <c r="AJ152" s="304">
        <f>20000000-20000000</f>
        <v>0</v>
      </c>
      <c r="AK152" s="871">
        <f t="shared" si="31"/>
        <v>0</v>
      </c>
      <c r="AL152" s="918"/>
      <c r="AM152" s="302">
        <f t="shared" si="32"/>
        <v>0</v>
      </c>
    </row>
    <row r="153" spans="1:39" s="8" customFormat="1">
      <c r="A153" s="86" t="s">
        <v>595</v>
      </c>
      <c r="B153" s="169">
        <f t="shared" si="35"/>
        <v>35000000</v>
      </c>
      <c r="C153" s="85" t="s">
        <v>36</v>
      </c>
      <c r="D153" s="85" t="s">
        <v>828</v>
      </c>
      <c r="E153" s="85" t="s">
        <v>37</v>
      </c>
      <c r="F153" s="85" t="s">
        <v>1649</v>
      </c>
      <c r="G153" s="85" t="s">
        <v>38</v>
      </c>
      <c r="H153" s="2072" t="s">
        <v>1639</v>
      </c>
      <c r="I153" s="2059" t="s">
        <v>148</v>
      </c>
      <c r="J153" s="160"/>
      <c r="K153" s="468"/>
      <c r="L153" s="1583">
        <v>279</v>
      </c>
      <c r="M153" s="1508">
        <v>35000000</v>
      </c>
      <c r="N153" s="1583">
        <v>601</v>
      </c>
      <c r="O153" s="1604">
        <v>35000000</v>
      </c>
      <c r="P153" s="1999" t="s">
        <v>1050</v>
      </c>
      <c r="Q153" s="225" t="s">
        <v>173</v>
      </c>
      <c r="R153" s="166"/>
      <c r="S153" s="166"/>
      <c r="T153" s="166"/>
      <c r="U153" s="166"/>
      <c r="V153" s="166">
        <v>17500000</v>
      </c>
      <c r="W153" s="166" t="s">
        <v>173</v>
      </c>
      <c r="X153" s="166"/>
      <c r="Y153" s="166">
        <v>14000000</v>
      </c>
      <c r="Z153" s="166"/>
      <c r="AA153" s="166"/>
      <c r="AB153" s="1604">
        <v>3500000</v>
      </c>
      <c r="AC153" s="695">
        <f t="shared" si="33"/>
        <v>35000000</v>
      </c>
      <c r="AD153" s="701">
        <f t="shared" si="34"/>
        <v>0</v>
      </c>
      <c r="AE153" s="1428"/>
      <c r="AF153" s="887" t="s">
        <v>148</v>
      </c>
      <c r="AG153" s="252" t="s">
        <v>626</v>
      </c>
      <c r="AH153" s="268" t="s">
        <v>1051</v>
      </c>
      <c r="AI153" s="498" t="str">
        <f t="shared" si="30"/>
        <v>Resolución 341</v>
      </c>
      <c r="AJ153" s="304">
        <v>35000000</v>
      </c>
      <c r="AK153" s="871">
        <f t="shared" si="31"/>
        <v>0</v>
      </c>
      <c r="AL153" s="918"/>
      <c r="AM153" s="302">
        <f t="shared" si="32"/>
        <v>0</v>
      </c>
    </row>
    <row r="154" spans="1:39" s="8" customFormat="1">
      <c r="A154" s="86" t="s">
        <v>595</v>
      </c>
      <c r="B154" s="169">
        <f t="shared" si="35"/>
        <v>25000000</v>
      </c>
      <c r="C154" s="85" t="s">
        <v>36</v>
      </c>
      <c r="D154" s="85" t="s">
        <v>828</v>
      </c>
      <c r="E154" s="85" t="s">
        <v>37</v>
      </c>
      <c r="F154" s="85" t="s">
        <v>1649</v>
      </c>
      <c r="G154" s="85" t="s">
        <v>38</v>
      </c>
      <c r="H154" s="2072" t="s">
        <v>1639</v>
      </c>
      <c r="I154" s="2059" t="s">
        <v>148</v>
      </c>
      <c r="J154" s="160"/>
      <c r="K154" s="468"/>
      <c r="L154" s="1583">
        <v>280</v>
      </c>
      <c r="M154" s="1508">
        <v>25000000</v>
      </c>
      <c r="N154" s="1583">
        <v>581</v>
      </c>
      <c r="O154" s="1604">
        <v>25000000</v>
      </c>
      <c r="P154" s="1999" t="s">
        <v>1053</v>
      </c>
      <c r="Q154" s="225" t="s">
        <v>173</v>
      </c>
      <c r="R154" s="166"/>
      <c r="S154" s="166"/>
      <c r="T154" s="166"/>
      <c r="U154" s="166"/>
      <c r="V154" s="166">
        <f>12500000-12500000</f>
        <v>0</v>
      </c>
      <c r="W154" s="166">
        <v>12500000</v>
      </c>
      <c r="X154" s="166"/>
      <c r="Y154" s="166">
        <v>10000000</v>
      </c>
      <c r="Z154" s="166"/>
      <c r="AA154" s="166"/>
      <c r="AB154" s="1604">
        <v>2500000</v>
      </c>
      <c r="AC154" s="695">
        <f t="shared" si="33"/>
        <v>25000000</v>
      </c>
      <c r="AD154" s="701">
        <f t="shared" si="34"/>
        <v>0</v>
      </c>
      <c r="AE154" s="1428"/>
      <c r="AF154" s="887" t="s">
        <v>148</v>
      </c>
      <c r="AG154" s="252" t="s">
        <v>627</v>
      </c>
      <c r="AH154" s="268" t="s">
        <v>1054</v>
      </c>
      <c r="AI154" s="498" t="str">
        <f t="shared" si="30"/>
        <v>Resolución 340</v>
      </c>
      <c r="AJ154" s="304">
        <v>25000000</v>
      </c>
      <c r="AK154" s="871">
        <f t="shared" si="31"/>
        <v>0</v>
      </c>
      <c r="AL154" s="918"/>
      <c r="AM154" s="302">
        <f t="shared" si="32"/>
        <v>0</v>
      </c>
    </row>
    <row r="155" spans="1:39" s="8" customFormat="1">
      <c r="A155" s="86" t="s">
        <v>595</v>
      </c>
      <c r="B155" s="169">
        <f t="shared" si="35"/>
        <v>30000000</v>
      </c>
      <c r="C155" s="85" t="s">
        <v>36</v>
      </c>
      <c r="D155" s="85" t="s">
        <v>828</v>
      </c>
      <c r="E155" s="85" t="s">
        <v>37</v>
      </c>
      <c r="F155" s="85" t="s">
        <v>1649</v>
      </c>
      <c r="G155" s="85" t="s">
        <v>38</v>
      </c>
      <c r="H155" s="2072" t="s">
        <v>1639</v>
      </c>
      <c r="I155" s="2059" t="s">
        <v>148</v>
      </c>
      <c r="J155" s="160"/>
      <c r="K155" s="468"/>
      <c r="L155" s="1583">
        <v>281</v>
      </c>
      <c r="M155" s="1508">
        <v>30000000</v>
      </c>
      <c r="N155" s="1583">
        <v>582</v>
      </c>
      <c r="O155" s="1604">
        <v>30000000</v>
      </c>
      <c r="P155" s="1999" t="s">
        <v>1052</v>
      </c>
      <c r="Q155" s="225" t="s">
        <v>173</v>
      </c>
      <c r="R155" s="166"/>
      <c r="S155" s="166"/>
      <c r="T155" s="166"/>
      <c r="U155" s="166"/>
      <c r="V155" s="166">
        <v>15000000</v>
      </c>
      <c r="W155" s="166" t="s">
        <v>173</v>
      </c>
      <c r="X155" s="166"/>
      <c r="Y155" s="166">
        <v>12000000</v>
      </c>
      <c r="Z155" s="166"/>
      <c r="AA155" s="166"/>
      <c r="AB155" s="1604"/>
      <c r="AC155" s="695">
        <f t="shared" si="33"/>
        <v>27000000</v>
      </c>
      <c r="AD155" s="701">
        <f t="shared" si="34"/>
        <v>3000000</v>
      </c>
      <c r="AE155" s="1428"/>
      <c r="AF155" s="887" t="s">
        <v>148</v>
      </c>
      <c r="AG155" s="252" t="s">
        <v>628</v>
      </c>
      <c r="AH155" s="268" t="s">
        <v>1055</v>
      </c>
      <c r="AI155" s="498" t="str">
        <f t="shared" si="30"/>
        <v>Resolución 342</v>
      </c>
      <c r="AJ155" s="304">
        <v>30000000</v>
      </c>
      <c r="AK155" s="871">
        <f t="shared" si="31"/>
        <v>0</v>
      </c>
      <c r="AL155" s="918"/>
      <c r="AM155" s="302">
        <f t="shared" si="32"/>
        <v>0</v>
      </c>
    </row>
    <row r="156" spans="1:39" s="8" customFormat="1">
      <c r="A156" s="86" t="s">
        <v>595</v>
      </c>
      <c r="B156" s="169">
        <f t="shared" si="35"/>
        <v>20000000</v>
      </c>
      <c r="C156" s="85" t="s">
        <v>36</v>
      </c>
      <c r="D156" s="85" t="s">
        <v>828</v>
      </c>
      <c r="E156" s="85" t="s">
        <v>37</v>
      </c>
      <c r="F156" s="85" t="s">
        <v>1649</v>
      </c>
      <c r="G156" s="85" t="s">
        <v>38</v>
      </c>
      <c r="H156" s="2072" t="s">
        <v>1639</v>
      </c>
      <c r="I156" s="2059" t="s">
        <v>148</v>
      </c>
      <c r="J156" s="160"/>
      <c r="K156" s="468"/>
      <c r="L156" s="1583">
        <v>282</v>
      </c>
      <c r="M156" s="1508">
        <v>20000000</v>
      </c>
      <c r="N156" s="1583">
        <v>583</v>
      </c>
      <c r="O156" s="1604">
        <v>20000000</v>
      </c>
      <c r="P156" s="1999" t="s">
        <v>1056</v>
      </c>
      <c r="Q156" s="225" t="s">
        <v>173</v>
      </c>
      <c r="R156" s="166"/>
      <c r="S156" s="166"/>
      <c r="T156" s="166"/>
      <c r="U156" s="166"/>
      <c r="V156" s="166">
        <v>10000000</v>
      </c>
      <c r="W156" s="166" t="s">
        <v>173</v>
      </c>
      <c r="X156" s="166"/>
      <c r="Y156" s="166">
        <v>8000000</v>
      </c>
      <c r="Z156" s="166"/>
      <c r="AA156" s="166"/>
      <c r="AB156" s="1604">
        <v>2000000</v>
      </c>
      <c r="AC156" s="695">
        <f t="shared" si="33"/>
        <v>20000000</v>
      </c>
      <c r="AD156" s="701">
        <f t="shared" si="34"/>
        <v>0</v>
      </c>
      <c r="AE156" s="1428"/>
      <c r="AF156" s="887" t="s">
        <v>148</v>
      </c>
      <c r="AG156" s="252" t="s">
        <v>629</v>
      </c>
      <c r="AH156" s="268" t="s">
        <v>1057</v>
      </c>
      <c r="AI156" s="498" t="str">
        <f t="shared" si="30"/>
        <v>Resolución 313</v>
      </c>
      <c r="AJ156" s="304">
        <v>20000000</v>
      </c>
      <c r="AK156" s="871">
        <f t="shared" si="31"/>
        <v>0</v>
      </c>
      <c r="AL156" s="918"/>
      <c r="AM156" s="302">
        <f t="shared" si="32"/>
        <v>0</v>
      </c>
    </row>
    <row r="157" spans="1:39" s="8" customFormat="1">
      <c r="A157" s="86" t="s">
        <v>595</v>
      </c>
      <c r="B157" s="169">
        <f t="shared" si="35"/>
        <v>15000000</v>
      </c>
      <c r="C157" s="85" t="s">
        <v>36</v>
      </c>
      <c r="D157" s="85" t="s">
        <v>828</v>
      </c>
      <c r="E157" s="85" t="s">
        <v>37</v>
      </c>
      <c r="F157" s="85" t="s">
        <v>1649</v>
      </c>
      <c r="G157" s="85" t="s">
        <v>38</v>
      </c>
      <c r="H157" s="2072" t="s">
        <v>1639</v>
      </c>
      <c r="I157" s="2059" t="s">
        <v>148</v>
      </c>
      <c r="J157" s="160"/>
      <c r="K157" s="468"/>
      <c r="L157" s="2184">
        <v>274</v>
      </c>
      <c r="M157" s="2187">
        <v>15000000</v>
      </c>
      <c r="N157" s="1583">
        <v>754</v>
      </c>
      <c r="O157" s="1604">
        <v>10000000</v>
      </c>
      <c r="P157" s="1999" t="s">
        <v>1192</v>
      </c>
      <c r="Q157" s="225" t="s">
        <v>173</v>
      </c>
      <c r="R157" s="166"/>
      <c r="S157" s="166"/>
      <c r="T157" s="166"/>
      <c r="U157" s="166"/>
      <c r="V157" s="166"/>
      <c r="W157" s="166" t="s">
        <v>173</v>
      </c>
      <c r="X157" s="166">
        <v>10000000</v>
      </c>
      <c r="Y157" s="166"/>
      <c r="Z157" s="166"/>
      <c r="AA157" s="166"/>
      <c r="AB157" s="1604"/>
      <c r="AC157" s="695">
        <f t="shared" si="33"/>
        <v>10000000</v>
      </c>
      <c r="AD157" s="701">
        <f t="shared" si="34"/>
        <v>0</v>
      </c>
      <c r="AE157" s="1428"/>
      <c r="AF157" s="887" t="s">
        <v>148</v>
      </c>
      <c r="AG157" s="252" t="s">
        <v>621</v>
      </c>
      <c r="AH157" s="268" t="s">
        <v>1193</v>
      </c>
      <c r="AI157" s="498" t="str">
        <f t="shared" si="30"/>
        <v>Resolución 480</v>
      </c>
      <c r="AJ157" s="2190">
        <v>15000000</v>
      </c>
      <c r="AK157" s="2193">
        <f>AJ157-SUM(O157:O159)</f>
        <v>0</v>
      </c>
      <c r="AL157" s="918"/>
      <c r="AM157" s="302">
        <f t="shared" si="32"/>
        <v>0</v>
      </c>
    </row>
    <row r="158" spans="1:39" s="8" customFormat="1">
      <c r="A158" s="86" t="s">
        <v>595</v>
      </c>
      <c r="B158" s="169">
        <f t="shared" si="35"/>
        <v>0</v>
      </c>
      <c r="C158" s="85" t="s">
        <v>36</v>
      </c>
      <c r="D158" s="85" t="s">
        <v>828</v>
      </c>
      <c r="E158" s="85" t="s">
        <v>37</v>
      </c>
      <c r="F158" s="85" t="s">
        <v>1649</v>
      </c>
      <c r="G158" s="85" t="s">
        <v>38</v>
      </c>
      <c r="H158" s="2072" t="s">
        <v>1639</v>
      </c>
      <c r="I158" s="2059" t="s">
        <v>148</v>
      </c>
      <c r="J158" s="160"/>
      <c r="K158" s="468"/>
      <c r="L158" s="2185"/>
      <c r="M158" s="2188"/>
      <c r="N158" s="1583">
        <v>755</v>
      </c>
      <c r="O158" s="1604">
        <v>3000000</v>
      </c>
      <c r="P158" s="1999" t="s">
        <v>1192</v>
      </c>
      <c r="Q158" s="225" t="s">
        <v>173</v>
      </c>
      <c r="R158" s="166"/>
      <c r="S158" s="166"/>
      <c r="T158" s="166"/>
      <c r="U158" s="166"/>
      <c r="V158" s="166"/>
      <c r="W158" s="166" t="s">
        <v>173</v>
      </c>
      <c r="X158" s="166">
        <v>3000000</v>
      </c>
      <c r="Y158" s="166"/>
      <c r="Z158" s="166"/>
      <c r="AA158" s="166"/>
      <c r="AB158" s="1604"/>
      <c r="AC158" s="695">
        <f t="shared" si="33"/>
        <v>3000000</v>
      </c>
      <c r="AD158" s="701">
        <f t="shared" si="34"/>
        <v>0</v>
      </c>
      <c r="AE158" s="1428"/>
      <c r="AF158" s="887" t="s">
        <v>148</v>
      </c>
      <c r="AG158" s="252" t="s">
        <v>621</v>
      </c>
      <c r="AH158" s="268" t="s">
        <v>1194</v>
      </c>
      <c r="AI158" s="498" t="str">
        <f t="shared" si="30"/>
        <v>Resolución 480</v>
      </c>
      <c r="AJ158" s="2191"/>
      <c r="AK158" s="2194"/>
      <c r="AL158" s="918"/>
      <c r="AM158" s="302">
        <f t="shared" si="32"/>
        <v>0</v>
      </c>
    </row>
    <row r="159" spans="1:39" s="8" customFormat="1">
      <c r="A159" s="86" t="s">
        <v>595</v>
      </c>
      <c r="B159" s="169">
        <f t="shared" si="35"/>
        <v>0</v>
      </c>
      <c r="C159" s="85" t="s">
        <v>36</v>
      </c>
      <c r="D159" s="85" t="s">
        <v>828</v>
      </c>
      <c r="E159" s="85" t="s">
        <v>37</v>
      </c>
      <c r="F159" s="85" t="s">
        <v>1649</v>
      </c>
      <c r="G159" s="85" t="s">
        <v>38</v>
      </c>
      <c r="H159" s="2072" t="s">
        <v>1639</v>
      </c>
      <c r="I159" s="2059" t="s">
        <v>148</v>
      </c>
      <c r="J159" s="160"/>
      <c r="K159" s="468"/>
      <c r="L159" s="2186"/>
      <c r="M159" s="2189"/>
      <c r="N159" s="1583">
        <v>757</v>
      </c>
      <c r="O159" s="1604">
        <v>2000000</v>
      </c>
      <c r="P159" s="1999" t="s">
        <v>1192</v>
      </c>
      <c r="Q159" s="225" t="s">
        <v>173</v>
      </c>
      <c r="R159" s="166"/>
      <c r="S159" s="166"/>
      <c r="T159" s="166"/>
      <c r="U159" s="166"/>
      <c r="V159" s="166"/>
      <c r="W159" s="166" t="s">
        <v>173</v>
      </c>
      <c r="X159" s="166">
        <v>2000000</v>
      </c>
      <c r="Y159" s="166"/>
      <c r="Z159" s="166"/>
      <c r="AA159" s="166"/>
      <c r="AB159" s="1604"/>
      <c r="AC159" s="695">
        <f t="shared" si="33"/>
        <v>2000000</v>
      </c>
      <c r="AD159" s="701">
        <f t="shared" si="34"/>
        <v>0</v>
      </c>
      <c r="AE159" s="1428"/>
      <c r="AF159" s="887" t="s">
        <v>148</v>
      </c>
      <c r="AG159" s="252" t="s">
        <v>621</v>
      </c>
      <c r="AH159" s="268" t="s">
        <v>1195</v>
      </c>
      <c r="AI159" s="498" t="str">
        <f t="shared" si="30"/>
        <v>Resolución 480</v>
      </c>
      <c r="AJ159" s="2192"/>
      <c r="AK159" s="2195"/>
      <c r="AL159" s="918"/>
      <c r="AM159" s="302">
        <f t="shared" si="32"/>
        <v>0</v>
      </c>
    </row>
    <row r="160" spans="1:39" s="8" customFormat="1">
      <c r="A160" s="86" t="s">
        <v>595</v>
      </c>
      <c r="B160" s="169">
        <f t="shared" si="35"/>
        <v>26000000</v>
      </c>
      <c r="C160" s="85" t="s">
        <v>36</v>
      </c>
      <c r="D160" s="85" t="s">
        <v>828</v>
      </c>
      <c r="E160" s="85" t="s">
        <v>37</v>
      </c>
      <c r="F160" s="85" t="s">
        <v>1649</v>
      </c>
      <c r="G160" s="85" t="s">
        <v>38</v>
      </c>
      <c r="H160" s="2072" t="s">
        <v>1639</v>
      </c>
      <c r="I160" s="2059" t="s">
        <v>148</v>
      </c>
      <c r="J160" s="160"/>
      <c r="K160" s="468"/>
      <c r="L160" s="2184">
        <v>275</v>
      </c>
      <c r="M160" s="2187">
        <v>26000000</v>
      </c>
      <c r="N160" s="1583">
        <v>745</v>
      </c>
      <c r="O160" s="1604">
        <v>20000000</v>
      </c>
      <c r="P160" s="1999" t="s">
        <v>1196</v>
      </c>
      <c r="Q160" s="225" t="s">
        <v>173</v>
      </c>
      <c r="R160" s="166"/>
      <c r="S160" s="166"/>
      <c r="T160" s="166"/>
      <c r="U160" s="166"/>
      <c r="V160" s="166"/>
      <c r="W160" s="166" t="s">
        <v>173</v>
      </c>
      <c r="X160" s="166">
        <v>20000000</v>
      </c>
      <c r="Y160" s="166"/>
      <c r="Z160" s="166"/>
      <c r="AA160" s="166"/>
      <c r="AB160" s="1604"/>
      <c r="AC160" s="695">
        <f t="shared" si="33"/>
        <v>20000000</v>
      </c>
      <c r="AD160" s="701">
        <f t="shared" si="34"/>
        <v>0</v>
      </c>
      <c r="AE160" s="1428"/>
      <c r="AF160" s="887" t="s">
        <v>148</v>
      </c>
      <c r="AG160" s="252" t="s">
        <v>622</v>
      </c>
      <c r="AH160" s="268" t="s">
        <v>1197</v>
      </c>
      <c r="AI160" s="498" t="str">
        <f t="shared" si="30"/>
        <v>Resolución 495</v>
      </c>
      <c r="AJ160" s="2190">
        <v>26000000</v>
      </c>
      <c r="AK160" s="2193">
        <f>AJ160-SUM(O160:O162)</f>
        <v>0</v>
      </c>
      <c r="AL160" s="918"/>
      <c r="AM160" s="302">
        <f t="shared" si="32"/>
        <v>0</v>
      </c>
    </row>
    <row r="161" spans="1:39" s="8" customFormat="1">
      <c r="A161" s="86" t="s">
        <v>595</v>
      </c>
      <c r="B161" s="169">
        <f t="shared" si="35"/>
        <v>0</v>
      </c>
      <c r="C161" s="85" t="s">
        <v>36</v>
      </c>
      <c r="D161" s="85" t="s">
        <v>828</v>
      </c>
      <c r="E161" s="85" t="s">
        <v>37</v>
      </c>
      <c r="F161" s="85" t="s">
        <v>1649</v>
      </c>
      <c r="G161" s="85" t="s">
        <v>38</v>
      </c>
      <c r="H161" s="2072" t="s">
        <v>1639</v>
      </c>
      <c r="I161" s="2059" t="s">
        <v>148</v>
      </c>
      <c r="J161" s="160"/>
      <c r="K161" s="468"/>
      <c r="L161" s="2185"/>
      <c r="M161" s="2188"/>
      <c r="N161" s="1583">
        <v>746</v>
      </c>
      <c r="O161" s="1604">
        <v>4000000</v>
      </c>
      <c r="P161" s="1999" t="s">
        <v>1196</v>
      </c>
      <c r="Q161" s="225" t="s">
        <v>173</v>
      </c>
      <c r="R161" s="166"/>
      <c r="S161" s="166"/>
      <c r="T161" s="166"/>
      <c r="U161" s="166"/>
      <c r="V161" s="166"/>
      <c r="W161" s="166" t="s">
        <v>173</v>
      </c>
      <c r="X161" s="166">
        <v>4000000</v>
      </c>
      <c r="Y161" s="166"/>
      <c r="Z161" s="166"/>
      <c r="AA161" s="166"/>
      <c r="AB161" s="1604"/>
      <c r="AC161" s="695">
        <f t="shared" si="33"/>
        <v>4000000</v>
      </c>
      <c r="AD161" s="701">
        <f t="shared" si="34"/>
        <v>0</v>
      </c>
      <c r="AE161" s="1428"/>
      <c r="AF161" s="887" t="s">
        <v>148</v>
      </c>
      <c r="AG161" s="252" t="s">
        <v>622</v>
      </c>
      <c r="AH161" s="268" t="s">
        <v>1198</v>
      </c>
      <c r="AI161" s="498" t="str">
        <f t="shared" si="30"/>
        <v>Resolución 495</v>
      </c>
      <c r="AJ161" s="2191"/>
      <c r="AK161" s="2194"/>
      <c r="AL161" s="918"/>
      <c r="AM161" s="302">
        <f t="shared" si="32"/>
        <v>0</v>
      </c>
    </row>
    <row r="162" spans="1:39" s="8" customFormat="1">
      <c r="A162" s="86" t="s">
        <v>595</v>
      </c>
      <c r="B162" s="169">
        <f t="shared" si="35"/>
        <v>0</v>
      </c>
      <c r="C162" s="85" t="s">
        <v>36</v>
      </c>
      <c r="D162" s="85" t="s">
        <v>828</v>
      </c>
      <c r="E162" s="85" t="s">
        <v>37</v>
      </c>
      <c r="F162" s="85" t="s">
        <v>1649</v>
      </c>
      <c r="G162" s="85" t="s">
        <v>38</v>
      </c>
      <c r="H162" s="2072" t="s">
        <v>1639</v>
      </c>
      <c r="I162" s="2059" t="s">
        <v>148</v>
      </c>
      <c r="J162" s="160"/>
      <c r="K162" s="468"/>
      <c r="L162" s="2186"/>
      <c r="M162" s="2189"/>
      <c r="N162" s="1583">
        <v>747</v>
      </c>
      <c r="O162" s="1604">
        <v>2000000</v>
      </c>
      <c r="P162" s="1999" t="s">
        <v>1196</v>
      </c>
      <c r="Q162" s="225" t="s">
        <v>173</v>
      </c>
      <c r="R162" s="166"/>
      <c r="S162" s="166"/>
      <c r="T162" s="166"/>
      <c r="U162" s="166"/>
      <c r="V162" s="166"/>
      <c r="W162" s="166" t="s">
        <v>173</v>
      </c>
      <c r="X162" s="166">
        <v>2000000</v>
      </c>
      <c r="Y162" s="166"/>
      <c r="Z162" s="166"/>
      <c r="AA162" s="166"/>
      <c r="AB162" s="1604"/>
      <c r="AC162" s="695">
        <f t="shared" si="33"/>
        <v>2000000</v>
      </c>
      <c r="AD162" s="701">
        <f t="shared" si="34"/>
        <v>0</v>
      </c>
      <c r="AE162" s="1428"/>
      <c r="AF162" s="887" t="s">
        <v>148</v>
      </c>
      <c r="AG162" s="252" t="s">
        <v>622</v>
      </c>
      <c r="AH162" s="268" t="s">
        <v>1199</v>
      </c>
      <c r="AI162" s="498" t="str">
        <f t="shared" si="30"/>
        <v>Resolución 495</v>
      </c>
      <c r="AJ162" s="2192"/>
      <c r="AK162" s="2195"/>
      <c r="AL162" s="918"/>
      <c r="AM162" s="302">
        <f t="shared" si="32"/>
        <v>0</v>
      </c>
    </row>
    <row r="163" spans="1:39" s="8" customFormat="1">
      <c r="A163" s="86" t="s">
        <v>595</v>
      </c>
      <c r="B163" s="169">
        <f t="shared" si="35"/>
        <v>20000000</v>
      </c>
      <c r="C163" s="85" t="s">
        <v>36</v>
      </c>
      <c r="D163" s="85" t="s">
        <v>828</v>
      </c>
      <c r="E163" s="85" t="s">
        <v>37</v>
      </c>
      <c r="F163" s="85" t="s">
        <v>1649</v>
      </c>
      <c r="G163" s="85" t="s">
        <v>38</v>
      </c>
      <c r="H163" s="2072" t="s">
        <v>1639</v>
      </c>
      <c r="I163" s="2059" t="s">
        <v>148</v>
      </c>
      <c r="J163" s="160">
        <v>0</v>
      </c>
      <c r="K163" s="468"/>
      <c r="L163" s="1583">
        <v>277</v>
      </c>
      <c r="M163" s="1508">
        <v>20000000</v>
      </c>
      <c r="N163" s="1583">
        <v>591</v>
      </c>
      <c r="O163" s="1604">
        <v>20000000</v>
      </c>
      <c r="P163" s="1999" t="s">
        <v>1048</v>
      </c>
      <c r="Q163" s="225" t="s">
        <v>173</v>
      </c>
      <c r="R163" s="166"/>
      <c r="S163" s="166"/>
      <c r="T163" s="166"/>
      <c r="U163" s="166"/>
      <c r="V163" s="166">
        <v>10000000</v>
      </c>
      <c r="W163" s="166" t="s">
        <v>173</v>
      </c>
      <c r="X163" s="166"/>
      <c r="Y163" s="166"/>
      <c r="Z163" s="166">
        <v>8000000</v>
      </c>
      <c r="AA163" s="166"/>
      <c r="AB163" s="1604">
        <v>2000000</v>
      </c>
      <c r="AC163" s="695">
        <f t="shared" si="33"/>
        <v>20000000</v>
      </c>
      <c r="AD163" s="701">
        <f t="shared" si="34"/>
        <v>0</v>
      </c>
      <c r="AE163" s="1428"/>
      <c r="AF163" s="887" t="s">
        <v>148</v>
      </c>
      <c r="AG163" s="252" t="s">
        <v>279</v>
      </c>
      <c r="AH163" s="268" t="s">
        <v>1049</v>
      </c>
      <c r="AI163" s="498" t="str">
        <f t="shared" si="30"/>
        <v>Resolución 284</v>
      </c>
      <c r="AJ163" s="304">
        <f>80000000-40000000-12635500-6695000</f>
        <v>20669500</v>
      </c>
      <c r="AK163" s="871">
        <f>AJ163-O163</f>
        <v>669500</v>
      </c>
      <c r="AL163" s="918"/>
      <c r="AM163" s="302">
        <f t="shared" si="32"/>
        <v>669500</v>
      </c>
    </row>
    <row r="164" spans="1:39" s="8" customFormat="1">
      <c r="A164" s="86" t="s">
        <v>595</v>
      </c>
      <c r="B164" s="169">
        <f>M164</f>
        <v>73000000</v>
      </c>
      <c r="C164" s="85" t="s">
        <v>36</v>
      </c>
      <c r="D164" s="85" t="s">
        <v>828</v>
      </c>
      <c r="E164" s="85" t="s">
        <v>37</v>
      </c>
      <c r="F164" s="85" t="s">
        <v>1649</v>
      </c>
      <c r="G164" s="85" t="s">
        <v>38</v>
      </c>
      <c r="H164" s="2072" t="s">
        <v>1639</v>
      </c>
      <c r="I164" s="2059" t="s">
        <v>148</v>
      </c>
      <c r="J164" s="160">
        <v>0</v>
      </c>
      <c r="K164" s="468"/>
      <c r="L164" s="2184">
        <v>273</v>
      </c>
      <c r="M164" s="2187">
        <f>84000000-11000000</f>
        <v>73000000</v>
      </c>
      <c r="N164" s="1583">
        <v>563</v>
      </c>
      <c r="O164" s="1604">
        <v>2000000</v>
      </c>
      <c r="P164" s="1999" t="s">
        <v>1029</v>
      </c>
      <c r="Q164" s="225" t="s">
        <v>173</v>
      </c>
      <c r="R164" s="166"/>
      <c r="S164" s="166"/>
      <c r="T164" s="166"/>
      <c r="U164" s="166"/>
      <c r="V164" s="166">
        <v>2000000</v>
      </c>
      <c r="W164" s="166" t="s">
        <v>173</v>
      </c>
      <c r="X164" s="166"/>
      <c r="Y164" s="166"/>
      <c r="Z164" s="166"/>
      <c r="AA164" s="166"/>
      <c r="AB164" s="1604"/>
      <c r="AC164" s="695">
        <f t="shared" si="33"/>
        <v>2000000</v>
      </c>
      <c r="AD164" s="701">
        <f t="shared" si="34"/>
        <v>0</v>
      </c>
      <c r="AE164" s="1428"/>
      <c r="AF164" s="887" t="s">
        <v>148</v>
      </c>
      <c r="AG164" s="252" t="s">
        <v>1001</v>
      </c>
      <c r="AH164" s="268" t="s">
        <v>1033</v>
      </c>
      <c r="AI164" s="1071" t="str">
        <f t="shared" si="30"/>
        <v>Resolución 283</v>
      </c>
      <c r="AJ164" s="2196">
        <f>84000000-11000000</f>
        <v>73000000</v>
      </c>
      <c r="AK164" s="2199">
        <f>AJ164-SUM(O164:O195)</f>
        <v>0</v>
      </c>
      <c r="AL164" s="918"/>
      <c r="AM164" s="2183">
        <f t="shared" si="32"/>
        <v>0</v>
      </c>
    </row>
    <row r="165" spans="1:39" s="8" customFormat="1">
      <c r="A165" s="86" t="s">
        <v>595</v>
      </c>
      <c r="B165" s="169">
        <f>M165</f>
        <v>0</v>
      </c>
      <c r="C165" s="85" t="s">
        <v>36</v>
      </c>
      <c r="D165" s="85" t="s">
        <v>828</v>
      </c>
      <c r="E165" s="85" t="s">
        <v>37</v>
      </c>
      <c r="F165" s="85" t="s">
        <v>1649</v>
      </c>
      <c r="G165" s="85" t="s">
        <v>38</v>
      </c>
      <c r="H165" s="2072" t="s">
        <v>1639</v>
      </c>
      <c r="I165" s="225" t="s">
        <v>173</v>
      </c>
      <c r="J165" s="160"/>
      <c r="K165" s="468"/>
      <c r="L165" s="2185"/>
      <c r="M165" s="2188"/>
      <c r="N165" s="1583">
        <v>564</v>
      </c>
      <c r="O165" s="1604">
        <v>2000000</v>
      </c>
      <c r="P165" s="1999" t="s">
        <v>1029</v>
      </c>
      <c r="Q165" s="225" t="s">
        <v>173</v>
      </c>
      <c r="R165" s="166"/>
      <c r="S165" s="166"/>
      <c r="T165" s="166"/>
      <c r="U165" s="166"/>
      <c r="V165" s="166">
        <v>2000000</v>
      </c>
      <c r="W165" s="166" t="s">
        <v>173</v>
      </c>
      <c r="X165" s="166"/>
      <c r="Y165" s="166"/>
      <c r="Z165" s="166"/>
      <c r="AA165" s="166"/>
      <c r="AB165" s="1604"/>
      <c r="AC165" s="695">
        <f t="shared" si="33"/>
        <v>2000000</v>
      </c>
      <c r="AD165" s="701">
        <f t="shared" si="34"/>
        <v>0</v>
      </c>
      <c r="AE165" s="1428"/>
      <c r="AF165" s="887" t="s">
        <v>148</v>
      </c>
      <c r="AG165" s="252" t="s">
        <v>1002</v>
      </c>
      <c r="AH165" s="268" t="s">
        <v>1034</v>
      </c>
      <c r="AI165" s="1071" t="str">
        <f t="shared" si="30"/>
        <v>Resolución 283</v>
      </c>
      <c r="AJ165" s="2197"/>
      <c r="AK165" s="2200"/>
      <c r="AL165" s="918"/>
      <c r="AM165" s="2183"/>
    </row>
    <row r="166" spans="1:39" s="8" customFormat="1">
      <c r="A166" s="86" t="s">
        <v>595</v>
      </c>
      <c r="B166" s="169">
        <f>M166</f>
        <v>0</v>
      </c>
      <c r="C166" s="85" t="s">
        <v>36</v>
      </c>
      <c r="D166" s="85" t="s">
        <v>828</v>
      </c>
      <c r="E166" s="85" t="s">
        <v>37</v>
      </c>
      <c r="F166" s="85" t="s">
        <v>1649</v>
      </c>
      <c r="G166" s="85" t="s">
        <v>38</v>
      </c>
      <c r="H166" s="2072" t="s">
        <v>1639</v>
      </c>
      <c r="I166" s="225" t="s">
        <v>173</v>
      </c>
      <c r="J166" s="160"/>
      <c r="K166" s="468"/>
      <c r="L166" s="2185"/>
      <c r="M166" s="2188"/>
      <c r="N166" s="1583">
        <v>565</v>
      </c>
      <c r="O166" s="1604">
        <v>2000000</v>
      </c>
      <c r="P166" s="1999" t="s">
        <v>1030</v>
      </c>
      <c r="Q166" s="225" t="s">
        <v>173</v>
      </c>
      <c r="R166" s="166"/>
      <c r="S166" s="166"/>
      <c r="T166" s="166"/>
      <c r="U166" s="166"/>
      <c r="V166" s="166">
        <v>2000000</v>
      </c>
      <c r="W166" s="166" t="s">
        <v>173</v>
      </c>
      <c r="X166" s="166"/>
      <c r="Y166" s="166"/>
      <c r="Z166" s="166"/>
      <c r="AA166" s="166"/>
      <c r="AB166" s="1604"/>
      <c r="AC166" s="695">
        <f t="shared" si="33"/>
        <v>2000000</v>
      </c>
      <c r="AD166" s="701">
        <f t="shared" si="34"/>
        <v>0</v>
      </c>
      <c r="AE166" s="1428"/>
      <c r="AF166" s="887" t="s">
        <v>148</v>
      </c>
      <c r="AG166" s="252" t="s">
        <v>1002</v>
      </c>
      <c r="AH166" s="268" t="s">
        <v>1035</v>
      </c>
      <c r="AI166" s="1071" t="str">
        <f t="shared" si="30"/>
        <v>Resolución 263</v>
      </c>
      <c r="AJ166" s="2197"/>
      <c r="AK166" s="2200"/>
      <c r="AL166" s="918"/>
      <c r="AM166" s="2183"/>
    </row>
    <row r="167" spans="1:39" s="8" customFormat="1">
      <c r="A167" s="86" t="s">
        <v>595</v>
      </c>
      <c r="B167" s="169">
        <f>M167</f>
        <v>0</v>
      </c>
      <c r="C167" s="85" t="s">
        <v>36</v>
      </c>
      <c r="D167" s="85" t="s">
        <v>828</v>
      </c>
      <c r="E167" s="85" t="s">
        <v>37</v>
      </c>
      <c r="F167" s="85" t="s">
        <v>1649</v>
      </c>
      <c r="G167" s="85" t="s">
        <v>38</v>
      </c>
      <c r="H167" s="2072" t="s">
        <v>1639</v>
      </c>
      <c r="I167" s="225" t="s">
        <v>173</v>
      </c>
      <c r="J167" s="160"/>
      <c r="K167" s="468"/>
      <c r="L167" s="2185"/>
      <c r="M167" s="2188"/>
      <c r="N167" s="1583">
        <v>566</v>
      </c>
      <c r="O167" s="1604">
        <v>2000000</v>
      </c>
      <c r="P167" s="1999" t="s">
        <v>1030</v>
      </c>
      <c r="Q167" s="225" t="s">
        <v>173</v>
      </c>
      <c r="R167" s="166"/>
      <c r="S167" s="166"/>
      <c r="T167" s="166"/>
      <c r="U167" s="166"/>
      <c r="V167" s="166">
        <v>2000000</v>
      </c>
      <c r="W167" s="166" t="s">
        <v>173</v>
      </c>
      <c r="X167" s="166"/>
      <c r="Y167" s="166"/>
      <c r="Z167" s="166"/>
      <c r="AA167" s="166"/>
      <c r="AB167" s="1604"/>
      <c r="AC167" s="695">
        <f t="shared" si="33"/>
        <v>2000000</v>
      </c>
      <c r="AD167" s="701">
        <f t="shared" si="34"/>
        <v>0</v>
      </c>
      <c r="AE167" s="1428"/>
      <c r="AF167" s="887" t="s">
        <v>148</v>
      </c>
      <c r="AG167" s="252" t="s">
        <v>1003</v>
      </c>
      <c r="AH167" s="268" t="s">
        <v>1036</v>
      </c>
      <c r="AI167" s="1071" t="str">
        <f t="shared" si="30"/>
        <v>Resolución 263</v>
      </c>
      <c r="AJ167" s="2197"/>
      <c r="AK167" s="2200"/>
      <c r="AL167" s="918"/>
      <c r="AM167" s="2183"/>
    </row>
    <row r="168" spans="1:39" s="8" customFormat="1">
      <c r="A168" s="86" t="s">
        <v>595</v>
      </c>
      <c r="B168" s="169">
        <f t="shared" si="35"/>
        <v>0</v>
      </c>
      <c r="C168" s="85" t="s">
        <v>36</v>
      </c>
      <c r="D168" s="85" t="s">
        <v>828</v>
      </c>
      <c r="E168" s="85" t="s">
        <v>37</v>
      </c>
      <c r="F168" s="85" t="s">
        <v>1649</v>
      </c>
      <c r="G168" s="85" t="s">
        <v>38</v>
      </c>
      <c r="H168" s="2072" t="s">
        <v>1639</v>
      </c>
      <c r="I168" s="225" t="s">
        <v>173</v>
      </c>
      <c r="J168" s="160"/>
      <c r="K168" s="468"/>
      <c r="L168" s="2185"/>
      <c r="M168" s="2188"/>
      <c r="N168" s="1583">
        <v>567</v>
      </c>
      <c r="O168" s="1604">
        <v>4000000</v>
      </c>
      <c r="P168" s="1999" t="s">
        <v>1031</v>
      </c>
      <c r="Q168" s="225" t="s">
        <v>173</v>
      </c>
      <c r="R168" s="166"/>
      <c r="S168" s="166"/>
      <c r="T168" s="166"/>
      <c r="U168" s="166"/>
      <c r="V168" s="166">
        <f>4000000-4000000</f>
        <v>0</v>
      </c>
      <c r="W168" s="166">
        <v>4000000</v>
      </c>
      <c r="X168" s="166"/>
      <c r="Y168" s="166"/>
      <c r="Z168" s="166"/>
      <c r="AA168" s="166"/>
      <c r="AB168" s="1604"/>
      <c r="AC168" s="695">
        <f t="shared" si="33"/>
        <v>4000000</v>
      </c>
      <c r="AD168" s="701">
        <f t="shared" si="34"/>
        <v>0</v>
      </c>
      <c r="AE168" s="1428"/>
      <c r="AF168" s="887" t="s">
        <v>148</v>
      </c>
      <c r="AG168" s="252" t="s">
        <v>1001</v>
      </c>
      <c r="AH168" s="268" t="s">
        <v>1037</v>
      </c>
      <c r="AI168" s="1071" t="str">
        <f t="shared" si="30"/>
        <v>Resolución 239</v>
      </c>
      <c r="AJ168" s="2197"/>
      <c r="AK168" s="2200"/>
      <c r="AL168" s="918"/>
      <c r="AM168" s="2183"/>
    </row>
    <row r="169" spans="1:39" s="8" customFormat="1">
      <c r="A169" s="86" t="s">
        <v>595</v>
      </c>
      <c r="B169" s="169">
        <f t="shared" si="35"/>
        <v>0</v>
      </c>
      <c r="C169" s="85" t="s">
        <v>36</v>
      </c>
      <c r="D169" s="85" t="s">
        <v>828</v>
      </c>
      <c r="E169" s="85" t="s">
        <v>37</v>
      </c>
      <c r="F169" s="85" t="s">
        <v>1649</v>
      </c>
      <c r="G169" s="85" t="s">
        <v>38</v>
      </c>
      <c r="H169" s="2072" t="s">
        <v>1639</v>
      </c>
      <c r="I169" s="225" t="s">
        <v>173</v>
      </c>
      <c r="J169" s="160"/>
      <c r="K169" s="468"/>
      <c r="L169" s="2185"/>
      <c r="M169" s="2188"/>
      <c r="N169" s="1583">
        <v>568</v>
      </c>
      <c r="O169" s="1604">
        <v>4000000</v>
      </c>
      <c r="P169" s="1999" t="s">
        <v>1032</v>
      </c>
      <c r="Q169" s="225" t="s">
        <v>173</v>
      </c>
      <c r="R169" s="166"/>
      <c r="S169" s="166"/>
      <c r="T169" s="166"/>
      <c r="U169" s="166"/>
      <c r="V169" s="166">
        <v>4000000</v>
      </c>
      <c r="W169" s="166" t="s">
        <v>173</v>
      </c>
      <c r="X169" s="166"/>
      <c r="Y169" s="166"/>
      <c r="Z169" s="166"/>
      <c r="AA169" s="166"/>
      <c r="AB169" s="1604"/>
      <c r="AC169" s="695">
        <f t="shared" si="33"/>
        <v>4000000</v>
      </c>
      <c r="AD169" s="701">
        <f t="shared" si="34"/>
        <v>0</v>
      </c>
      <c r="AE169" s="1428"/>
      <c r="AF169" s="887" t="s">
        <v>148</v>
      </c>
      <c r="AG169" s="252" t="s">
        <v>1001</v>
      </c>
      <c r="AH169" s="268" t="s">
        <v>1038</v>
      </c>
      <c r="AI169" s="1071" t="str">
        <f t="shared" si="30"/>
        <v>Resolución 231</v>
      </c>
      <c r="AJ169" s="2197"/>
      <c r="AK169" s="2200"/>
      <c r="AL169" s="918"/>
      <c r="AM169" s="2183"/>
    </row>
    <row r="170" spans="1:39" s="8" customFormat="1">
      <c r="A170" s="86" t="s">
        <v>595</v>
      </c>
      <c r="B170" s="169">
        <f t="shared" si="35"/>
        <v>0</v>
      </c>
      <c r="C170" s="85" t="s">
        <v>36</v>
      </c>
      <c r="D170" s="85" t="s">
        <v>828</v>
      </c>
      <c r="E170" s="85" t="s">
        <v>37</v>
      </c>
      <c r="F170" s="85" t="s">
        <v>1649</v>
      </c>
      <c r="G170" s="85" t="s">
        <v>38</v>
      </c>
      <c r="H170" s="2072" t="s">
        <v>1639</v>
      </c>
      <c r="I170" s="225" t="s">
        <v>173</v>
      </c>
      <c r="J170" s="160"/>
      <c r="K170" s="468"/>
      <c r="L170" s="2185"/>
      <c r="M170" s="2188"/>
      <c r="N170" s="1583">
        <v>532</v>
      </c>
      <c r="O170" s="1604">
        <v>2000000</v>
      </c>
      <c r="P170" s="1999" t="s">
        <v>992</v>
      </c>
      <c r="Q170" s="225" t="s">
        <v>173</v>
      </c>
      <c r="R170" s="166"/>
      <c r="S170" s="166"/>
      <c r="T170" s="166"/>
      <c r="U170" s="166"/>
      <c r="V170" s="166">
        <v>2000000</v>
      </c>
      <c r="W170" s="166" t="s">
        <v>173</v>
      </c>
      <c r="X170" s="166"/>
      <c r="Y170" s="166"/>
      <c r="Z170" s="166"/>
      <c r="AA170" s="166"/>
      <c r="AB170" s="1604"/>
      <c r="AC170" s="695">
        <f t="shared" si="33"/>
        <v>2000000</v>
      </c>
      <c r="AD170" s="701">
        <f t="shared" si="34"/>
        <v>0</v>
      </c>
      <c r="AE170" s="1428"/>
      <c r="AF170" s="887" t="s">
        <v>148</v>
      </c>
      <c r="AG170" s="252" t="s">
        <v>1004</v>
      </c>
      <c r="AH170" s="268" t="s">
        <v>993</v>
      </c>
      <c r="AI170" s="1071" t="str">
        <f t="shared" si="30"/>
        <v>Resolución 228</v>
      </c>
      <c r="AJ170" s="2197"/>
      <c r="AK170" s="2200"/>
      <c r="AL170" s="918"/>
      <c r="AM170" s="2183"/>
    </row>
    <row r="171" spans="1:39" s="8" customFormat="1">
      <c r="A171" s="86" t="s">
        <v>595</v>
      </c>
      <c r="B171" s="169">
        <f t="shared" si="35"/>
        <v>0</v>
      </c>
      <c r="C171" s="85" t="s">
        <v>36</v>
      </c>
      <c r="D171" s="85" t="s">
        <v>828</v>
      </c>
      <c r="E171" s="85" t="s">
        <v>37</v>
      </c>
      <c r="F171" s="85" t="s">
        <v>1649</v>
      </c>
      <c r="G171" s="85" t="s">
        <v>38</v>
      </c>
      <c r="H171" s="2072" t="s">
        <v>1639</v>
      </c>
      <c r="I171" s="225" t="s">
        <v>173</v>
      </c>
      <c r="J171" s="160"/>
      <c r="K171" s="468"/>
      <c r="L171" s="2185"/>
      <c r="M171" s="2188"/>
      <c r="N171" s="1583">
        <v>533</v>
      </c>
      <c r="O171" s="1604">
        <v>2000000</v>
      </c>
      <c r="P171" s="1999" t="s">
        <v>992</v>
      </c>
      <c r="Q171" s="225" t="s">
        <v>173</v>
      </c>
      <c r="R171" s="166"/>
      <c r="S171" s="166"/>
      <c r="T171" s="166"/>
      <c r="U171" s="166"/>
      <c r="V171" s="166">
        <v>2000000</v>
      </c>
      <c r="W171" s="166" t="s">
        <v>173</v>
      </c>
      <c r="X171" s="166"/>
      <c r="Y171" s="166"/>
      <c r="Z171" s="166"/>
      <c r="AA171" s="166"/>
      <c r="AB171" s="1604"/>
      <c r="AC171" s="695">
        <f t="shared" si="33"/>
        <v>2000000</v>
      </c>
      <c r="AD171" s="701">
        <f t="shared" si="34"/>
        <v>0</v>
      </c>
      <c r="AE171" s="1428"/>
      <c r="AF171" s="887" t="s">
        <v>148</v>
      </c>
      <c r="AG171" s="252" t="s">
        <v>1005</v>
      </c>
      <c r="AH171" s="268" t="s">
        <v>994</v>
      </c>
      <c r="AI171" s="1071" t="str">
        <f t="shared" si="30"/>
        <v>Resolución 228</v>
      </c>
      <c r="AJ171" s="2197"/>
      <c r="AK171" s="2200"/>
      <c r="AL171" s="918"/>
      <c r="AM171" s="2183"/>
    </row>
    <row r="172" spans="1:39" s="8" customFormat="1">
      <c r="A172" s="86" t="s">
        <v>595</v>
      </c>
      <c r="B172" s="169">
        <f t="shared" si="35"/>
        <v>0</v>
      </c>
      <c r="C172" s="85" t="s">
        <v>36</v>
      </c>
      <c r="D172" s="85" t="s">
        <v>828</v>
      </c>
      <c r="E172" s="85" t="s">
        <v>37</v>
      </c>
      <c r="F172" s="85" t="s">
        <v>1649</v>
      </c>
      <c r="G172" s="85" t="s">
        <v>38</v>
      </c>
      <c r="H172" s="2072" t="s">
        <v>1639</v>
      </c>
      <c r="I172" s="225" t="s">
        <v>173</v>
      </c>
      <c r="J172" s="160"/>
      <c r="K172" s="468"/>
      <c r="L172" s="2185"/>
      <c r="M172" s="2188"/>
      <c r="N172" s="1583">
        <v>534</v>
      </c>
      <c r="O172" s="1604">
        <v>2000000</v>
      </c>
      <c r="P172" s="1999" t="s">
        <v>992</v>
      </c>
      <c r="Q172" s="225" t="s">
        <v>173</v>
      </c>
      <c r="R172" s="166"/>
      <c r="S172" s="166"/>
      <c r="T172" s="166"/>
      <c r="U172" s="166"/>
      <c r="V172" s="166">
        <v>2000000</v>
      </c>
      <c r="W172" s="166" t="s">
        <v>173</v>
      </c>
      <c r="X172" s="166"/>
      <c r="Y172" s="166"/>
      <c r="Z172" s="166"/>
      <c r="AA172" s="166"/>
      <c r="AB172" s="1604"/>
      <c r="AC172" s="695">
        <f t="shared" si="33"/>
        <v>2000000</v>
      </c>
      <c r="AD172" s="701">
        <f t="shared" si="34"/>
        <v>0</v>
      </c>
      <c r="AE172" s="1428"/>
      <c r="AF172" s="887" t="s">
        <v>148</v>
      </c>
      <c r="AG172" s="252" t="s">
        <v>1006</v>
      </c>
      <c r="AH172" s="268" t="s">
        <v>995</v>
      </c>
      <c r="AI172" s="1071" t="str">
        <f t="shared" si="30"/>
        <v>Resolución 228</v>
      </c>
      <c r="AJ172" s="2197"/>
      <c r="AK172" s="2200"/>
      <c r="AL172" s="918"/>
      <c r="AM172" s="2183"/>
    </row>
    <row r="173" spans="1:39" s="8" customFormat="1">
      <c r="A173" s="86" t="s">
        <v>595</v>
      </c>
      <c r="B173" s="169">
        <f t="shared" si="35"/>
        <v>0</v>
      </c>
      <c r="C173" s="85" t="s">
        <v>36</v>
      </c>
      <c r="D173" s="85" t="s">
        <v>828</v>
      </c>
      <c r="E173" s="85" t="s">
        <v>37</v>
      </c>
      <c r="F173" s="85" t="s">
        <v>1649</v>
      </c>
      <c r="G173" s="85" t="s">
        <v>38</v>
      </c>
      <c r="H173" s="2072" t="s">
        <v>1639</v>
      </c>
      <c r="I173" s="225" t="s">
        <v>173</v>
      </c>
      <c r="J173" s="160"/>
      <c r="K173" s="468"/>
      <c r="L173" s="2185"/>
      <c r="M173" s="2188"/>
      <c r="N173" s="1583">
        <v>535</v>
      </c>
      <c r="O173" s="1604">
        <v>2000000</v>
      </c>
      <c r="P173" s="1999" t="s">
        <v>992</v>
      </c>
      <c r="Q173" s="225" t="s">
        <v>173</v>
      </c>
      <c r="R173" s="166"/>
      <c r="S173" s="166"/>
      <c r="T173" s="166"/>
      <c r="U173" s="166"/>
      <c r="V173" s="166">
        <v>2000000</v>
      </c>
      <c r="W173" s="166" t="s">
        <v>173</v>
      </c>
      <c r="X173" s="166"/>
      <c r="Y173" s="166"/>
      <c r="Z173" s="166"/>
      <c r="AA173" s="166"/>
      <c r="AB173" s="1604"/>
      <c r="AC173" s="695">
        <f t="shared" si="33"/>
        <v>2000000</v>
      </c>
      <c r="AD173" s="701">
        <f t="shared" si="34"/>
        <v>0</v>
      </c>
      <c r="AE173" s="1428"/>
      <c r="AF173" s="887" t="s">
        <v>148</v>
      </c>
      <c r="AG173" s="252" t="s">
        <v>1011</v>
      </c>
      <c r="AH173" s="268" t="s">
        <v>996</v>
      </c>
      <c r="AI173" s="1071" t="str">
        <f t="shared" si="30"/>
        <v>Resolución 228</v>
      </c>
      <c r="AJ173" s="2197"/>
      <c r="AK173" s="2200"/>
      <c r="AL173" s="918"/>
      <c r="AM173" s="2183"/>
    </row>
    <row r="174" spans="1:39" s="8" customFormat="1">
      <c r="A174" s="86" t="s">
        <v>595</v>
      </c>
      <c r="B174" s="169">
        <f t="shared" si="35"/>
        <v>0</v>
      </c>
      <c r="C174" s="85" t="s">
        <v>36</v>
      </c>
      <c r="D174" s="85" t="s">
        <v>828</v>
      </c>
      <c r="E174" s="85" t="s">
        <v>37</v>
      </c>
      <c r="F174" s="85" t="s">
        <v>1649</v>
      </c>
      <c r="G174" s="85" t="s">
        <v>38</v>
      </c>
      <c r="H174" s="2072" t="s">
        <v>1639</v>
      </c>
      <c r="I174" s="225" t="s">
        <v>173</v>
      </c>
      <c r="J174" s="160"/>
      <c r="K174" s="468"/>
      <c r="L174" s="2185"/>
      <c r="M174" s="2188"/>
      <c r="N174" s="1583">
        <v>536</v>
      </c>
      <c r="O174" s="1604">
        <v>2000000</v>
      </c>
      <c r="P174" s="1999" t="s">
        <v>992</v>
      </c>
      <c r="Q174" s="225" t="s">
        <v>173</v>
      </c>
      <c r="R174" s="166"/>
      <c r="S174" s="166"/>
      <c r="T174" s="166"/>
      <c r="U174" s="166"/>
      <c r="V174" s="166">
        <v>2000000</v>
      </c>
      <c r="W174" s="166" t="s">
        <v>173</v>
      </c>
      <c r="X174" s="166"/>
      <c r="Y174" s="166"/>
      <c r="Z174" s="166"/>
      <c r="AA174" s="166"/>
      <c r="AB174" s="1604"/>
      <c r="AC174" s="695">
        <f t="shared" si="33"/>
        <v>2000000</v>
      </c>
      <c r="AD174" s="701">
        <f t="shared" si="34"/>
        <v>0</v>
      </c>
      <c r="AE174" s="1428"/>
      <c r="AF174" s="887" t="s">
        <v>148</v>
      </c>
      <c r="AG174" s="252" t="s">
        <v>1011</v>
      </c>
      <c r="AH174" s="268" t="s">
        <v>997</v>
      </c>
      <c r="AI174" s="1071" t="str">
        <f t="shared" si="30"/>
        <v>Resolución 228</v>
      </c>
      <c r="AJ174" s="2197"/>
      <c r="AK174" s="2200"/>
      <c r="AL174" s="918"/>
      <c r="AM174" s="2183"/>
    </row>
    <row r="175" spans="1:39" s="8" customFormat="1">
      <c r="A175" s="86" t="s">
        <v>595</v>
      </c>
      <c r="B175" s="169">
        <f t="shared" si="35"/>
        <v>0</v>
      </c>
      <c r="C175" s="85" t="s">
        <v>36</v>
      </c>
      <c r="D175" s="85" t="s">
        <v>828</v>
      </c>
      <c r="E175" s="85" t="s">
        <v>37</v>
      </c>
      <c r="F175" s="85" t="s">
        <v>1649</v>
      </c>
      <c r="G175" s="85" t="s">
        <v>38</v>
      </c>
      <c r="H175" s="2072" t="s">
        <v>1639</v>
      </c>
      <c r="I175" s="225" t="s">
        <v>173</v>
      </c>
      <c r="J175" s="160"/>
      <c r="K175" s="468"/>
      <c r="L175" s="2185"/>
      <c r="M175" s="2188"/>
      <c r="N175" s="1583">
        <v>537</v>
      </c>
      <c r="O175" s="1604">
        <v>2000000</v>
      </c>
      <c r="P175" s="1999" t="s">
        <v>992</v>
      </c>
      <c r="Q175" s="225" t="s">
        <v>173</v>
      </c>
      <c r="R175" s="166"/>
      <c r="S175" s="166"/>
      <c r="T175" s="166"/>
      <c r="U175" s="166"/>
      <c r="V175" s="166">
        <v>2000000</v>
      </c>
      <c r="W175" s="166" t="s">
        <v>173</v>
      </c>
      <c r="X175" s="166"/>
      <c r="Y175" s="166"/>
      <c r="Z175" s="166"/>
      <c r="AA175" s="166"/>
      <c r="AB175" s="1604"/>
      <c r="AC175" s="695">
        <f t="shared" si="33"/>
        <v>2000000</v>
      </c>
      <c r="AD175" s="701">
        <f t="shared" si="34"/>
        <v>0</v>
      </c>
      <c r="AE175" s="1428"/>
      <c r="AF175" s="887" t="s">
        <v>148</v>
      </c>
      <c r="AG175" s="252" t="s">
        <v>1011</v>
      </c>
      <c r="AH175" s="268" t="s">
        <v>998</v>
      </c>
      <c r="AI175" s="1071" t="str">
        <f t="shared" si="30"/>
        <v>Resolución 228</v>
      </c>
      <c r="AJ175" s="2197"/>
      <c r="AK175" s="2200"/>
      <c r="AL175" s="918"/>
      <c r="AM175" s="2183"/>
    </row>
    <row r="176" spans="1:39" s="8" customFormat="1">
      <c r="A176" s="86" t="s">
        <v>595</v>
      </c>
      <c r="B176" s="169">
        <f t="shared" si="35"/>
        <v>0</v>
      </c>
      <c r="C176" s="85" t="s">
        <v>36</v>
      </c>
      <c r="D176" s="85" t="s">
        <v>828</v>
      </c>
      <c r="E176" s="85" t="s">
        <v>37</v>
      </c>
      <c r="F176" s="85" t="s">
        <v>1649</v>
      </c>
      <c r="G176" s="85" t="s">
        <v>38</v>
      </c>
      <c r="H176" s="2072" t="s">
        <v>1639</v>
      </c>
      <c r="I176" s="225" t="s">
        <v>173</v>
      </c>
      <c r="J176" s="160"/>
      <c r="K176" s="468"/>
      <c r="L176" s="2185"/>
      <c r="M176" s="2188"/>
      <c r="N176" s="1583">
        <v>538</v>
      </c>
      <c r="O176" s="1604">
        <v>4000000</v>
      </c>
      <c r="P176" s="1999" t="s">
        <v>1032</v>
      </c>
      <c r="Q176" s="225" t="s">
        <v>173</v>
      </c>
      <c r="R176" s="166"/>
      <c r="S176" s="166"/>
      <c r="T176" s="166"/>
      <c r="U176" s="166"/>
      <c r="V176" s="166">
        <v>4000000</v>
      </c>
      <c r="W176" s="166" t="s">
        <v>173</v>
      </c>
      <c r="X176" s="166"/>
      <c r="Y176" s="166"/>
      <c r="Z176" s="166"/>
      <c r="AA176" s="166"/>
      <c r="AB176" s="1604"/>
      <c r="AC176" s="695">
        <f t="shared" si="33"/>
        <v>4000000</v>
      </c>
      <c r="AD176" s="701">
        <f t="shared" si="34"/>
        <v>0</v>
      </c>
      <c r="AE176" s="1428"/>
      <c r="AF176" s="887" t="s">
        <v>148</v>
      </c>
      <c r="AG176" s="252" t="s">
        <v>1012</v>
      </c>
      <c r="AH176" s="268" t="s">
        <v>999</v>
      </c>
      <c r="AI176" s="1071" t="str">
        <f t="shared" si="30"/>
        <v>Resolución 231</v>
      </c>
      <c r="AJ176" s="2197"/>
      <c r="AK176" s="2200"/>
      <c r="AL176" s="918"/>
      <c r="AM176" s="2183"/>
    </row>
    <row r="177" spans="1:39" s="8" customFormat="1">
      <c r="A177" s="86" t="s">
        <v>595</v>
      </c>
      <c r="B177" s="169">
        <f t="shared" si="35"/>
        <v>0</v>
      </c>
      <c r="C177" s="85" t="s">
        <v>36</v>
      </c>
      <c r="D177" s="85" t="s">
        <v>828</v>
      </c>
      <c r="E177" s="85" t="s">
        <v>37</v>
      </c>
      <c r="F177" s="85" t="s">
        <v>1649</v>
      </c>
      <c r="G177" s="85" t="s">
        <v>38</v>
      </c>
      <c r="H177" s="2072" t="s">
        <v>1639</v>
      </c>
      <c r="I177" s="225" t="s">
        <v>173</v>
      </c>
      <c r="J177" s="160"/>
      <c r="K177" s="468"/>
      <c r="L177" s="2185"/>
      <c r="M177" s="2188"/>
      <c r="N177" s="1583">
        <v>539</v>
      </c>
      <c r="O177" s="1604">
        <v>2000000</v>
      </c>
      <c r="P177" s="1999" t="s">
        <v>1060</v>
      </c>
      <c r="Q177" s="225" t="s">
        <v>173</v>
      </c>
      <c r="R177" s="166"/>
      <c r="S177" s="166"/>
      <c r="T177" s="166"/>
      <c r="U177" s="166"/>
      <c r="V177" s="166">
        <v>2000000</v>
      </c>
      <c r="W177" s="166" t="s">
        <v>173</v>
      </c>
      <c r="X177" s="166"/>
      <c r="Y177" s="166"/>
      <c r="Z177" s="166"/>
      <c r="AA177" s="166"/>
      <c r="AB177" s="1604"/>
      <c r="AC177" s="695">
        <f t="shared" si="33"/>
        <v>2000000</v>
      </c>
      <c r="AD177" s="701">
        <f t="shared" si="34"/>
        <v>0</v>
      </c>
      <c r="AE177" s="1428"/>
      <c r="AF177" s="887" t="s">
        <v>148</v>
      </c>
      <c r="AG177" s="252" t="s">
        <v>1012</v>
      </c>
      <c r="AH177" s="268" t="s">
        <v>1000</v>
      </c>
      <c r="AI177" s="1071" t="str">
        <f t="shared" si="30"/>
        <v>Resolución 230</v>
      </c>
      <c r="AJ177" s="2197"/>
      <c r="AK177" s="2200"/>
      <c r="AL177" s="918"/>
      <c r="AM177" s="2183"/>
    </row>
    <row r="178" spans="1:39" s="8" customFormat="1">
      <c r="A178" s="86" t="s">
        <v>595</v>
      </c>
      <c r="B178" s="169">
        <f t="shared" si="35"/>
        <v>0</v>
      </c>
      <c r="C178" s="85" t="s">
        <v>36</v>
      </c>
      <c r="D178" s="85" t="s">
        <v>828</v>
      </c>
      <c r="E178" s="85" t="s">
        <v>37</v>
      </c>
      <c r="F178" s="85" t="s">
        <v>1649</v>
      </c>
      <c r="G178" s="85" t="s">
        <v>38</v>
      </c>
      <c r="H178" s="2072" t="s">
        <v>1639</v>
      </c>
      <c r="I178" s="225" t="s">
        <v>173</v>
      </c>
      <c r="J178" s="160"/>
      <c r="K178" s="468"/>
      <c r="L178" s="2185"/>
      <c r="M178" s="2188"/>
      <c r="N178" s="1583">
        <v>540</v>
      </c>
      <c r="O178" s="1604">
        <v>2000000</v>
      </c>
      <c r="P178" s="1999" t="s">
        <v>1060</v>
      </c>
      <c r="Q178" s="225" t="s">
        <v>173</v>
      </c>
      <c r="R178" s="166"/>
      <c r="S178" s="166"/>
      <c r="T178" s="166"/>
      <c r="U178" s="166"/>
      <c r="V178" s="166">
        <v>2000000</v>
      </c>
      <c r="W178" s="166" t="s">
        <v>173</v>
      </c>
      <c r="X178" s="166"/>
      <c r="Y178" s="166"/>
      <c r="Z178" s="166"/>
      <c r="AA178" s="166"/>
      <c r="AB178" s="1604"/>
      <c r="AC178" s="695">
        <f t="shared" si="33"/>
        <v>2000000</v>
      </c>
      <c r="AD178" s="701">
        <f t="shared" si="34"/>
        <v>0</v>
      </c>
      <c r="AE178" s="1428"/>
      <c r="AF178" s="887" t="s">
        <v>148</v>
      </c>
      <c r="AG178" s="252" t="s">
        <v>1013</v>
      </c>
      <c r="AH178" s="268" t="s">
        <v>1007</v>
      </c>
      <c r="AI178" s="1071" t="str">
        <f t="shared" si="30"/>
        <v>Resolución 230</v>
      </c>
      <c r="AJ178" s="2197"/>
      <c r="AK178" s="2200"/>
      <c r="AL178" s="918"/>
      <c r="AM178" s="2183"/>
    </row>
    <row r="179" spans="1:39" s="8" customFormat="1">
      <c r="A179" s="86" t="s">
        <v>595</v>
      </c>
      <c r="B179" s="169">
        <f t="shared" si="35"/>
        <v>0</v>
      </c>
      <c r="C179" s="85" t="s">
        <v>36</v>
      </c>
      <c r="D179" s="85" t="s">
        <v>828</v>
      </c>
      <c r="E179" s="85" t="s">
        <v>37</v>
      </c>
      <c r="F179" s="85" t="s">
        <v>1649</v>
      </c>
      <c r="G179" s="85" t="s">
        <v>38</v>
      </c>
      <c r="H179" s="2072" t="s">
        <v>1639</v>
      </c>
      <c r="I179" s="225" t="s">
        <v>173</v>
      </c>
      <c r="J179" s="160"/>
      <c r="K179" s="468"/>
      <c r="L179" s="2185"/>
      <c r="M179" s="2188"/>
      <c r="N179" s="1583">
        <v>541</v>
      </c>
      <c r="O179" s="1604">
        <v>2000000</v>
      </c>
      <c r="P179" s="1999" t="s">
        <v>1060</v>
      </c>
      <c r="Q179" s="225" t="s">
        <v>173</v>
      </c>
      <c r="R179" s="166"/>
      <c r="S179" s="166"/>
      <c r="T179" s="166"/>
      <c r="U179" s="166"/>
      <c r="V179" s="166">
        <v>2000000</v>
      </c>
      <c r="W179" s="166" t="s">
        <v>173</v>
      </c>
      <c r="X179" s="166"/>
      <c r="Y179" s="166"/>
      <c r="Z179" s="166"/>
      <c r="AA179" s="166"/>
      <c r="AB179" s="1604"/>
      <c r="AC179" s="695">
        <f t="shared" si="33"/>
        <v>2000000</v>
      </c>
      <c r="AD179" s="701">
        <f t="shared" si="34"/>
        <v>0</v>
      </c>
      <c r="AE179" s="1428"/>
      <c r="AF179" s="887" t="s">
        <v>148</v>
      </c>
      <c r="AG179" s="252" t="s">
        <v>1014</v>
      </c>
      <c r="AH179" s="268" t="s">
        <v>1008</v>
      </c>
      <c r="AI179" s="1071" t="str">
        <f t="shared" si="30"/>
        <v>Resolución 230</v>
      </c>
      <c r="AJ179" s="2197"/>
      <c r="AK179" s="2200"/>
      <c r="AL179" s="918"/>
      <c r="AM179" s="2183"/>
    </row>
    <row r="180" spans="1:39" s="8" customFormat="1">
      <c r="A180" s="86" t="s">
        <v>595</v>
      </c>
      <c r="B180" s="169">
        <f t="shared" si="35"/>
        <v>0</v>
      </c>
      <c r="C180" s="85" t="s">
        <v>36</v>
      </c>
      <c r="D180" s="85" t="s">
        <v>828</v>
      </c>
      <c r="E180" s="85" t="s">
        <v>37</v>
      </c>
      <c r="F180" s="85" t="s">
        <v>1649</v>
      </c>
      <c r="G180" s="85" t="s">
        <v>38</v>
      </c>
      <c r="H180" s="2072" t="s">
        <v>1639</v>
      </c>
      <c r="I180" s="225" t="s">
        <v>173</v>
      </c>
      <c r="J180" s="160"/>
      <c r="K180" s="468"/>
      <c r="L180" s="2185"/>
      <c r="M180" s="2188"/>
      <c r="N180" s="1583">
        <v>542</v>
      </c>
      <c r="O180" s="1604">
        <v>2000000</v>
      </c>
      <c r="P180" s="1999" t="s">
        <v>1060</v>
      </c>
      <c r="Q180" s="225" t="s">
        <v>173</v>
      </c>
      <c r="R180" s="166"/>
      <c r="S180" s="166"/>
      <c r="T180" s="166"/>
      <c r="U180" s="166"/>
      <c r="V180" s="166">
        <v>2000000</v>
      </c>
      <c r="W180" s="166" t="s">
        <v>173</v>
      </c>
      <c r="X180" s="166"/>
      <c r="Y180" s="166"/>
      <c r="Z180" s="166"/>
      <c r="AA180" s="166"/>
      <c r="AB180" s="1604"/>
      <c r="AC180" s="695">
        <f t="shared" si="33"/>
        <v>2000000</v>
      </c>
      <c r="AD180" s="701">
        <f t="shared" si="34"/>
        <v>0</v>
      </c>
      <c r="AE180" s="1428"/>
      <c r="AF180" s="887" t="s">
        <v>148</v>
      </c>
      <c r="AG180" s="252" t="s">
        <v>1015</v>
      </c>
      <c r="AH180" s="268" t="s">
        <v>1009</v>
      </c>
      <c r="AI180" s="1071" t="str">
        <f t="shared" si="30"/>
        <v>Resolución 230</v>
      </c>
      <c r="AJ180" s="2197"/>
      <c r="AK180" s="2200"/>
      <c r="AL180" s="918"/>
      <c r="AM180" s="2183"/>
    </row>
    <row r="181" spans="1:39" s="8" customFormat="1">
      <c r="A181" s="86" t="s">
        <v>595</v>
      </c>
      <c r="B181" s="169">
        <f t="shared" si="35"/>
        <v>0</v>
      </c>
      <c r="C181" s="85" t="s">
        <v>36</v>
      </c>
      <c r="D181" s="85" t="s">
        <v>828</v>
      </c>
      <c r="E181" s="85" t="s">
        <v>37</v>
      </c>
      <c r="F181" s="85" t="s">
        <v>1649</v>
      </c>
      <c r="G181" s="85" t="s">
        <v>38</v>
      </c>
      <c r="H181" s="2072" t="s">
        <v>1639</v>
      </c>
      <c r="I181" s="225" t="s">
        <v>173</v>
      </c>
      <c r="J181" s="160"/>
      <c r="K181" s="468"/>
      <c r="L181" s="2185"/>
      <c r="M181" s="2188"/>
      <c r="N181" s="1583">
        <v>543</v>
      </c>
      <c r="O181" s="1604">
        <v>2000000</v>
      </c>
      <c r="P181" s="1999" t="s">
        <v>1060</v>
      </c>
      <c r="Q181" s="225" t="s">
        <v>173</v>
      </c>
      <c r="R181" s="166"/>
      <c r="S181" s="166"/>
      <c r="T181" s="166"/>
      <c r="U181" s="166"/>
      <c r="V181" s="166">
        <v>2000000</v>
      </c>
      <c r="W181" s="166" t="s">
        <v>173</v>
      </c>
      <c r="X181" s="166"/>
      <c r="Y181" s="166"/>
      <c r="Z181" s="166"/>
      <c r="AA181" s="166"/>
      <c r="AB181" s="1604"/>
      <c r="AC181" s="695">
        <f t="shared" si="33"/>
        <v>2000000</v>
      </c>
      <c r="AD181" s="701">
        <f t="shared" si="34"/>
        <v>0</v>
      </c>
      <c r="AE181" s="1428"/>
      <c r="AF181" s="887" t="s">
        <v>148</v>
      </c>
      <c r="AG181" s="252" t="s">
        <v>1015</v>
      </c>
      <c r="AH181" s="268" t="s">
        <v>1010</v>
      </c>
      <c r="AI181" s="1071" t="str">
        <f t="shared" si="30"/>
        <v>Resolución 230</v>
      </c>
      <c r="AJ181" s="2197"/>
      <c r="AK181" s="2200"/>
      <c r="AL181" s="918"/>
      <c r="AM181" s="2183"/>
    </row>
    <row r="182" spans="1:39" s="8" customFormat="1">
      <c r="A182" s="86" t="s">
        <v>595</v>
      </c>
      <c r="B182" s="169">
        <f t="shared" si="35"/>
        <v>0</v>
      </c>
      <c r="C182" s="85" t="s">
        <v>36</v>
      </c>
      <c r="D182" s="85" t="s">
        <v>828</v>
      </c>
      <c r="E182" s="85" t="s">
        <v>37</v>
      </c>
      <c r="F182" s="85" t="s">
        <v>1649</v>
      </c>
      <c r="G182" s="85" t="s">
        <v>38</v>
      </c>
      <c r="H182" s="2072" t="s">
        <v>1639</v>
      </c>
      <c r="I182" s="225" t="s">
        <v>173</v>
      </c>
      <c r="J182" s="160"/>
      <c r="K182" s="468"/>
      <c r="L182" s="2185"/>
      <c r="M182" s="2188"/>
      <c r="N182" s="1583">
        <v>586</v>
      </c>
      <c r="O182" s="1604">
        <v>2000000</v>
      </c>
      <c r="P182" s="1999" t="s">
        <v>1061</v>
      </c>
      <c r="Q182" s="225" t="s">
        <v>173</v>
      </c>
      <c r="R182" s="166"/>
      <c r="S182" s="166"/>
      <c r="T182" s="166"/>
      <c r="U182" s="166"/>
      <c r="V182" s="166">
        <v>2000000</v>
      </c>
      <c r="W182" s="166" t="s">
        <v>173</v>
      </c>
      <c r="X182" s="166"/>
      <c r="Y182" s="166"/>
      <c r="Z182" s="166"/>
      <c r="AA182" s="166"/>
      <c r="AB182" s="1604"/>
      <c r="AC182" s="695">
        <f t="shared" si="33"/>
        <v>2000000</v>
      </c>
      <c r="AD182" s="701">
        <f t="shared" si="34"/>
        <v>0</v>
      </c>
      <c r="AE182" s="1428"/>
      <c r="AF182" s="887" t="s">
        <v>148</v>
      </c>
      <c r="AG182" s="252" t="s">
        <v>1015</v>
      </c>
      <c r="AH182" s="268" t="s">
        <v>1062</v>
      </c>
      <c r="AI182" s="1071" t="str">
        <f t="shared" si="30"/>
        <v>Resolución 281</v>
      </c>
      <c r="AJ182" s="2197"/>
      <c r="AK182" s="2200"/>
      <c r="AL182" s="918"/>
      <c r="AM182" s="2183"/>
    </row>
    <row r="183" spans="1:39" s="8" customFormat="1">
      <c r="A183" s="86" t="s">
        <v>595</v>
      </c>
      <c r="B183" s="169">
        <f t="shared" si="35"/>
        <v>0</v>
      </c>
      <c r="C183" s="85" t="s">
        <v>36</v>
      </c>
      <c r="D183" s="85" t="s">
        <v>828</v>
      </c>
      <c r="E183" s="85" t="s">
        <v>37</v>
      </c>
      <c r="F183" s="85" t="s">
        <v>1649</v>
      </c>
      <c r="G183" s="85" t="s">
        <v>38</v>
      </c>
      <c r="H183" s="2072" t="s">
        <v>1639</v>
      </c>
      <c r="I183" s="225" t="s">
        <v>173</v>
      </c>
      <c r="J183" s="160"/>
      <c r="K183" s="468"/>
      <c r="L183" s="2185"/>
      <c r="M183" s="2188"/>
      <c r="N183" s="1583">
        <v>587</v>
      </c>
      <c r="O183" s="1604">
        <v>2000000</v>
      </c>
      <c r="P183" s="1999" t="s">
        <v>1061</v>
      </c>
      <c r="Q183" s="225" t="s">
        <v>173</v>
      </c>
      <c r="R183" s="166"/>
      <c r="S183" s="166"/>
      <c r="T183" s="166"/>
      <c r="U183" s="166"/>
      <c r="V183" s="166">
        <v>2000000</v>
      </c>
      <c r="W183" s="166" t="s">
        <v>173</v>
      </c>
      <c r="X183" s="166"/>
      <c r="Y183" s="166"/>
      <c r="Z183" s="166"/>
      <c r="AA183" s="166"/>
      <c r="AB183" s="1604"/>
      <c r="AC183" s="695">
        <f t="shared" si="33"/>
        <v>2000000</v>
      </c>
      <c r="AD183" s="701">
        <f t="shared" si="34"/>
        <v>0</v>
      </c>
      <c r="AE183" s="1428"/>
      <c r="AF183" s="887" t="s">
        <v>148</v>
      </c>
      <c r="AG183" s="252" t="s">
        <v>1016</v>
      </c>
      <c r="AH183" s="268" t="s">
        <v>1063</v>
      </c>
      <c r="AI183" s="1071" t="str">
        <f t="shared" si="30"/>
        <v>Resolución 281</v>
      </c>
      <c r="AJ183" s="2197"/>
      <c r="AK183" s="2200"/>
      <c r="AL183" s="918"/>
      <c r="AM183" s="2183"/>
    </row>
    <row r="184" spans="1:39" s="8" customFormat="1">
      <c r="A184" s="86" t="s">
        <v>595</v>
      </c>
      <c r="B184" s="169">
        <f t="shared" si="35"/>
        <v>0</v>
      </c>
      <c r="C184" s="85" t="s">
        <v>36</v>
      </c>
      <c r="D184" s="85" t="s">
        <v>828</v>
      </c>
      <c r="E184" s="85" t="s">
        <v>37</v>
      </c>
      <c r="F184" s="85" t="s">
        <v>1649</v>
      </c>
      <c r="G184" s="85" t="s">
        <v>38</v>
      </c>
      <c r="H184" s="2072" t="s">
        <v>1639</v>
      </c>
      <c r="I184" s="225" t="s">
        <v>173</v>
      </c>
      <c r="J184" s="160"/>
      <c r="K184" s="468"/>
      <c r="L184" s="2185"/>
      <c r="M184" s="2188"/>
      <c r="N184" s="1583">
        <v>589</v>
      </c>
      <c r="O184" s="1604">
        <v>2000000</v>
      </c>
      <c r="P184" s="1999" t="s">
        <v>1061</v>
      </c>
      <c r="Q184" s="225" t="s">
        <v>173</v>
      </c>
      <c r="R184" s="166"/>
      <c r="S184" s="166"/>
      <c r="T184" s="166"/>
      <c r="U184" s="166"/>
      <c r="V184" s="166">
        <v>2000000</v>
      </c>
      <c r="W184" s="166" t="s">
        <v>173</v>
      </c>
      <c r="X184" s="166"/>
      <c r="Y184" s="166"/>
      <c r="Z184" s="166"/>
      <c r="AA184" s="166"/>
      <c r="AB184" s="1604"/>
      <c r="AC184" s="695">
        <f t="shared" si="33"/>
        <v>2000000</v>
      </c>
      <c r="AD184" s="701">
        <f t="shared" si="34"/>
        <v>0</v>
      </c>
      <c r="AE184" s="1428"/>
      <c r="AF184" s="887" t="s">
        <v>148</v>
      </c>
      <c r="AG184" s="252" t="s">
        <v>1039</v>
      </c>
      <c r="AH184" s="268" t="s">
        <v>1064</v>
      </c>
      <c r="AI184" s="1071" t="str">
        <f t="shared" si="30"/>
        <v>Resolución 281</v>
      </c>
      <c r="AJ184" s="2197"/>
      <c r="AK184" s="2200"/>
      <c r="AL184" s="918"/>
      <c r="AM184" s="2183"/>
    </row>
    <row r="185" spans="1:39" s="8" customFormat="1">
      <c r="A185" s="86" t="s">
        <v>595</v>
      </c>
      <c r="B185" s="169">
        <f t="shared" si="35"/>
        <v>0</v>
      </c>
      <c r="C185" s="85" t="s">
        <v>36</v>
      </c>
      <c r="D185" s="85" t="s">
        <v>828</v>
      </c>
      <c r="E185" s="85" t="s">
        <v>37</v>
      </c>
      <c r="F185" s="85" t="s">
        <v>1649</v>
      </c>
      <c r="G185" s="85" t="s">
        <v>38</v>
      </c>
      <c r="H185" s="2072" t="s">
        <v>1639</v>
      </c>
      <c r="I185" s="225" t="s">
        <v>173</v>
      </c>
      <c r="J185" s="160"/>
      <c r="K185" s="468"/>
      <c r="L185" s="2185"/>
      <c r="M185" s="2188"/>
      <c r="N185" s="1583">
        <v>590</v>
      </c>
      <c r="O185" s="1604">
        <v>2000000</v>
      </c>
      <c r="P185" s="1999" t="s">
        <v>1029</v>
      </c>
      <c r="Q185" s="225" t="s">
        <v>173</v>
      </c>
      <c r="R185" s="166"/>
      <c r="S185" s="166"/>
      <c r="T185" s="166"/>
      <c r="U185" s="166"/>
      <c r="V185" s="166">
        <f>2000000-2000000</f>
        <v>0</v>
      </c>
      <c r="W185" s="166">
        <v>2000000</v>
      </c>
      <c r="X185" s="166"/>
      <c r="Y185" s="166"/>
      <c r="Z185" s="166"/>
      <c r="AA185" s="166"/>
      <c r="AB185" s="1604"/>
      <c r="AC185" s="695">
        <f t="shared" si="33"/>
        <v>2000000</v>
      </c>
      <c r="AD185" s="701">
        <f t="shared" si="34"/>
        <v>0</v>
      </c>
      <c r="AE185" s="1428"/>
      <c r="AF185" s="887" t="s">
        <v>148</v>
      </c>
      <c r="AG185" s="252" t="s">
        <v>1039</v>
      </c>
      <c r="AH185" s="268" t="s">
        <v>1065</v>
      </c>
      <c r="AI185" s="1071" t="str">
        <f t="shared" si="30"/>
        <v>Resolución 283</v>
      </c>
      <c r="AJ185" s="2197"/>
      <c r="AK185" s="2200"/>
      <c r="AL185" s="918"/>
      <c r="AM185" s="2183"/>
    </row>
    <row r="186" spans="1:39" s="8" customFormat="1">
      <c r="A186" s="86" t="s">
        <v>595</v>
      </c>
      <c r="B186" s="169">
        <f t="shared" si="35"/>
        <v>0</v>
      </c>
      <c r="C186" s="85" t="s">
        <v>36</v>
      </c>
      <c r="D186" s="85" t="s">
        <v>828</v>
      </c>
      <c r="E186" s="85" t="s">
        <v>37</v>
      </c>
      <c r="F186" s="85" t="s">
        <v>1649</v>
      </c>
      <c r="G186" s="85" t="s">
        <v>38</v>
      </c>
      <c r="H186" s="2072" t="s">
        <v>1639</v>
      </c>
      <c r="I186" s="225" t="s">
        <v>173</v>
      </c>
      <c r="J186" s="160"/>
      <c r="K186" s="468"/>
      <c r="L186" s="2185"/>
      <c r="M186" s="2188"/>
      <c r="N186" s="1583">
        <v>656</v>
      </c>
      <c r="O186" s="1604">
        <v>2000000</v>
      </c>
      <c r="P186" s="1999" t="s">
        <v>1030</v>
      </c>
      <c r="Q186" s="225" t="s">
        <v>173</v>
      </c>
      <c r="R186" s="166"/>
      <c r="S186" s="166"/>
      <c r="T186" s="166"/>
      <c r="U186" s="166"/>
      <c r="V186" s="166"/>
      <c r="W186" s="166">
        <v>2000000</v>
      </c>
      <c r="X186" s="166"/>
      <c r="Y186" s="166"/>
      <c r="Z186" s="166"/>
      <c r="AA186" s="166"/>
      <c r="AB186" s="1604"/>
      <c r="AC186" s="695">
        <f t="shared" si="33"/>
        <v>2000000</v>
      </c>
      <c r="AD186" s="701">
        <f t="shared" si="34"/>
        <v>0</v>
      </c>
      <c r="AE186" s="1428"/>
      <c r="AF186" s="887" t="s">
        <v>148</v>
      </c>
      <c r="AG186" s="252" t="s">
        <v>1040</v>
      </c>
      <c r="AH186" s="268" t="s">
        <v>1112</v>
      </c>
      <c r="AI186" s="1071" t="str">
        <f t="shared" si="30"/>
        <v>Resolución 263</v>
      </c>
      <c r="AJ186" s="2197"/>
      <c r="AK186" s="2200"/>
      <c r="AL186" s="918"/>
      <c r="AM186" s="2183"/>
    </row>
    <row r="187" spans="1:39" s="8" customFormat="1">
      <c r="A187" s="86" t="s">
        <v>595</v>
      </c>
      <c r="B187" s="169">
        <f t="shared" si="35"/>
        <v>0</v>
      </c>
      <c r="C187" s="85" t="s">
        <v>36</v>
      </c>
      <c r="D187" s="85" t="s">
        <v>828</v>
      </c>
      <c r="E187" s="85" t="s">
        <v>37</v>
      </c>
      <c r="F187" s="85" t="s">
        <v>1649</v>
      </c>
      <c r="G187" s="85" t="s">
        <v>38</v>
      </c>
      <c r="H187" s="2072" t="s">
        <v>1639</v>
      </c>
      <c r="I187" s="225" t="s">
        <v>173</v>
      </c>
      <c r="J187" s="160"/>
      <c r="K187" s="468"/>
      <c r="L187" s="2185"/>
      <c r="M187" s="2188"/>
      <c r="N187" s="1583">
        <v>748</v>
      </c>
      <c r="O187" s="1604">
        <v>3000000</v>
      </c>
      <c r="P187" s="1999" t="s">
        <v>1184</v>
      </c>
      <c r="Q187" s="225" t="s">
        <v>173</v>
      </c>
      <c r="R187" s="166"/>
      <c r="S187" s="166"/>
      <c r="T187" s="166"/>
      <c r="U187" s="166"/>
      <c r="V187" s="166"/>
      <c r="W187" s="166" t="s">
        <v>173</v>
      </c>
      <c r="X187" s="166">
        <v>3000000</v>
      </c>
      <c r="Y187" s="166"/>
      <c r="Z187" s="166"/>
      <c r="AA187" s="166"/>
      <c r="AB187" s="1604"/>
      <c r="AC187" s="695">
        <f t="shared" si="33"/>
        <v>3000000</v>
      </c>
      <c r="AD187" s="701">
        <f t="shared" si="34"/>
        <v>0</v>
      </c>
      <c r="AE187" s="1428"/>
      <c r="AF187" s="887" t="s">
        <v>148</v>
      </c>
      <c r="AG187" s="252" t="s">
        <v>1040</v>
      </c>
      <c r="AH187" s="268" t="s">
        <v>1186</v>
      </c>
      <c r="AI187" s="1071" t="str">
        <f t="shared" si="30"/>
        <v>Resolución 362</v>
      </c>
      <c r="AJ187" s="2197"/>
      <c r="AK187" s="2200"/>
      <c r="AL187" s="918"/>
      <c r="AM187" s="2183"/>
    </row>
    <row r="188" spans="1:39" s="8" customFormat="1">
      <c r="A188" s="86" t="s">
        <v>595</v>
      </c>
      <c r="B188" s="169">
        <f t="shared" si="35"/>
        <v>0</v>
      </c>
      <c r="C188" s="85" t="s">
        <v>36</v>
      </c>
      <c r="D188" s="85" t="s">
        <v>828</v>
      </c>
      <c r="E188" s="85" t="s">
        <v>37</v>
      </c>
      <c r="F188" s="85" t="s">
        <v>1649</v>
      </c>
      <c r="G188" s="85" t="s">
        <v>38</v>
      </c>
      <c r="H188" s="2072" t="s">
        <v>1639</v>
      </c>
      <c r="I188" s="225" t="s">
        <v>173</v>
      </c>
      <c r="J188" s="160"/>
      <c r="K188" s="468"/>
      <c r="L188" s="2185"/>
      <c r="M188" s="2188"/>
      <c r="N188" s="1583">
        <v>749</v>
      </c>
      <c r="O188" s="1604">
        <v>3000000</v>
      </c>
      <c r="P188" s="1999" t="s">
        <v>1184</v>
      </c>
      <c r="Q188" s="225" t="s">
        <v>173</v>
      </c>
      <c r="R188" s="166"/>
      <c r="S188" s="166"/>
      <c r="T188" s="166"/>
      <c r="U188" s="166"/>
      <c r="V188" s="166"/>
      <c r="W188" s="166" t="s">
        <v>173</v>
      </c>
      <c r="X188" s="166">
        <v>3000000</v>
      </c>
      <c r="Y188" s="166"/>
      <c r="Z188" s="166"/>
      <c r="AA188" s="166"/>
      <c r="AB188" s="1604"/>
      <c r="AC188" s="695">
        <f t="shared" si="33"/>
        <v>3000000</v>
      </c>
      <c r="AD188" s="701">
        <f t="shared" si="34"/>
        <v>0</v>
      </c>
      <c r="AE188" s="1428"/>
      <c r="AF188" s="887" t="s">
        <v>148</v>
      </c>
      <c r="AG188" s="252" t="s">
        <v>1040</v>
      </c>
      <c r="AH188" s="268" t="s">
        <v>1187</v>
      </c>
      <c r="AI188" s="1071"/>
      <c r="AJ188" s="2197"/>
      <c r="AK188" s="2200"/>
      <c r="AL188" s="918"/>
      <c r="AM188" s="2183"/>
    </row>
    <row r="189" spans="1:39" s="8" customFormat="1">
      <c r="A189" s="86" t="s">
        <v>595</v>
      </c>
      <c r="B189" s="169">
        <f t="shared" si="35"/>
        <v>0</v>
      </c>
      <c r="C189" s="85" t="s">
        <v>36</v>
      </c>
      <c r="D189" s="85" t="s">
        <v>828</v>
      </c>
      <c r="E189" s="85" t="s">
        <v>37</v>
      </c>
      <c r="F189" s="85" t="s">
        <v>1649</v>
      </c>
      <c r="G189" s="85" t="s">
        <v>38</v>
      </c>
      <c r="H189" s="2072" t="s">
        <v>1639</v>
      </c>
      <c r="I189" s="225" t="s">
        <v>173</v>
      </c>
      <c r="J189" s="160"/>
      <c r="K189" s="468"/>
      <c r="L189" s="2185"/>
      <c r="M189" s="2188"/>
      <c r="N189" s="1583">
        <v>750</v>
      </c>
      <c r="O189" s="1604">
        <v>3000000</v>
      </c>
      <c r="P189" s="1999" t="s">
        <v>1184</v>
      </c>
      <c r="Q189" s="225" t="s">
        <v>173</v>
      </c>
      <c r="R189" s="166"/>
      <c r="S189" s="166"/>
      <c r="T189" s="166"/>
      <c r="U189" s="166"/>
      <c r="V189" s="166"/>
      <c r="W189" s="166" t="s">
        <v>173</v>
      </c>
      <c r="X189" s="166">
        <v>3000000</v>
      </c>
      <c r="Y189" s="166"/>
      <c r="Z189" s="166"/>
      <c r="AA189" s="166"/>
      <c r="AB189" s="1604"/>
      <c r="AC189" s="695">
        <f t="shared" si="33"/>
        <v>3000000</v>
      </c>
      <c r="AD189" s="701">
        <f t="shared" si="34"/>
        <v>0</v>
      </c>
      <c r="AE189" s="1428"/>
      <c r="AF189" s="887" t="s">
        <v>148</v>
      </c>
      <c r="AG189" s="252" t="s">
        <v>1040</v>
      </c>
      <c r="AH189" s="268" t="s">
        <v>1188</v>
      </c>
      <c r="AI189" s="1071"/>
      <c r="AJ189" s="2197"/>
      <c r="AK189" s="2200"/>
      <c r="AL189" s="918"/>
      <c r="AM189" s="2183"/>
    </row>
    <row r="190" spans="1:39" s="8" customFormat="1">
      <c r="A190" s="86" t="s">
        <v>595</v>
      </c>
      <c r="B190" s="169">
        <f t="shared" si="35"/>
        <v>0</v>
      </c>
      <c r="C190" s="85" t="s">
        <v>36</v>
      </c>
      <c r="D190" s="85" t="s">
        <v>828</v>
      </c>
      <c r="E190" s="85" t="s">
        <v>37</v>
      </c>
      <c r="F190" s="85" t="s">
        <v>1649</v>
      </c>
      <c r="G190" s="85" t="s">
        <v>38</v>
      </c>
      <c r="H190" s="2072" t="s">
        <v>1639</v>
      </c>
      <c r="I190" s="225" t="s">
        <v>173</v>
      </c>
      <c r="J190" s="160"/>
      <c r="K190" s="468"/>
      <c r="L190" s="2185"/>
      <c r="M190" s="2188"/>
      <c r="N190" s="1583">
        <v>751</v>
      </c>
      <c r="O190" s="1604">
        <v>3000000</v>
      </c>
      <c r="P190" s="1999" t="s">
        <v>1185</v>
      </c>
      <c r="Q190" s="225" t="s">
        <v>173</v>
      </c>
      <c r="R190" s="166"/>
      <c r="S190" s="166"/>
      <c r="T190" s="166"/>
      <c r="U190" s="166"/>
      <c r="V190" s="166"/>
      <c r="W190" s="166" t="s">
        <v>173</v>
      </c>
      <c r="X190" s="166">
        <v>3000000</v>
      </c>
      <c r="Y190" s="166"/>
      <c r="Z190" s="166"/>
      <c r="AA190" s="166"/>
      <c r="AB190" s="1604"/>
      <c r="AC190" s="695">
        <f t="shared" si="33"/>
        <v>3000000</v>
      </c>
      <c r="AD190" s="701">
        <f t="shared" si="34"/>
        <v>0</v>
      </c>
      <c r="AE190" s="1428"/>
      <c r="AF190" s="887" t="s">
        <v>148</v>
      </c>
      <c r="AG190" s="252" t="s">
        <v>1040</v>
      </c>
      <c r="AH190" s="268" t="s">
        <v>1189</v>
      </c>
      <c r="AI190" s="1071" t="str">
        <f t="shared" ref="AI190:AI204" si="36">P190</f>
        <v>Resolución 382</v>
      </c>
      <c r="AJ190" s="2197"/>
      <c r="AK190" s="2200"/>
      <c r="AL190" s="918"/>
      <c r="AM190" s="2183"/>
    </row>
    <row r="191" spans="1:39" s="8" customFormat="1">
      <c r="A191" s="86" t="s">
        <v>595</v>
      </c>
      <c r="B191" s="169">
        <f t="shared" si="35"/>
        <v>0</v>
      </c>
      <c r="C191" s="85" t="s">
        <v>36</v>
      </c>
      <c r="D191" s="85" t="s">
        <v>828</v>
      </c>
      <c r="E191" s="85" t="s">
        <v>37</v>
      </c>
      <c r="F191" s="85" t="s">
        <v>1649</v>
      </c>
      <c r="G191" s="85" t="s">
        <v>38</v>
      </c>
      <c r="H191" s="2072" t="s">
        <v>1639</v>
      </c>
      <c r="I191" s="225" t="s">
        <v>173</v>
      </c>
      <c r="J191" s="160"/>
      <c r="K191" s="468"/>
      <c r="L191" s="2185"/>
      <c r="M191" s="2188"/>
      <c r="N191" s="1583">
        <v>752</v>
      </c>
      <c r="O191" s="1604">
        <v>3000000</v>
      </c>
      <c r="P191" s="1999" t="s">
        <v>1185</v>
      </c>
      <c r="Q191" s="225" t="s">
        <v>173</v>
      </c>
      <c r="R191" s="166"/>
      <c r="S191" s="166"/>
      <c r="T191" s="166"/>
      <c r="U191" s="166"/>
      <c r="V191" s="166"/>
      <c r="W191" s="166" t="s">
        <v>173</v>
      </c>
      <c r="X191" s="166">
        <v>3000000</v>
      </c>
      <c r="Y191" s="166"/>
      <c r="Z191" s="166"/>
      <c r="AA191" s="166"/>
      <c r="AB191" s="1604"/>
      <c r="AC191" s="695">
        <f t="shared" si="33"/>
        <v>3000000</v>
      </c>
      <c r="AD191" s="701">
        <f t="shared" si="34"/>
        <v>0</v>
      </c>
      <c r="AE191" s="1428"/>
      <c r="AF191" s="887" t="s">
        <v>148</v>
      </c>
      <c r="AG191" s="252" t="s">
        <v>1041</v>
      </c>
      <c r="AH191" s="268" t="s">
        <v>1190</v>
      </c>
      <c r="AI191" s="1071" t="str">
        <f t="shared" si="36"/>
        <v>Resolución 382</v>
      </c>
      <c r="AJ191" s="2197"/>
      <c r="AK191" s="2200"/>
      <c r="AL191" s="918"/>
      <c r="AM191" s="2183"/>
    </row>
    <row r="192" spans="1:39" s="8" customFormat="1">
      <c r="A192" s="86" t="s">
        <v>595</v>
      </c>
      <c r="B192" s="169">
        <f t="shared" si="35"/>
        <v>0</v>
      </c>
      <c r="C192" s="85" t="s">
        <v>36</v>
      </c>
      <c r="D192" s="85" t="s">
        <v>828</v>
      </c>
      <c r="E192" s="85" t="s">
        <v>37</v>
      </c>
      <c r="F192" s="85" t="s">
        <v>1649</v>
      </c>
      <c r="G192" s="85" t="s">
        <v>38</v>
      </c>
      <c r="H192" s="2072" t="s">
        <v>1639</v>
      </c>
      <c r="I192" s="225" t="s">
        <v>173</v>
      </c>
      <c r="J192" s="160"/>
      <c r="K192" s="468"/>
      <c r="L192" s="2185"/>
      <c r="M192" s="2188"/>
      <c r="N192" s="1583">
        <v>753</v>
      </c>
      <c r="O192" s="1604">
        <v>3000000</v>
      </c>
      <c r="P192" s="1999" t="s">
        <v>1185</v>
      </c>
      <c r="Q192" s="225" t="s">
        <v>173</v>
      </c>
      <c r="R192" s="166"/>
      <c r="S192" s="166"/>
      <c r="T192" s="166"/>
      <c r="U192" s="166"/>
      <c r="V192" s="166"/>
      <c r="W192" s="166" t="s">
        <v>173</v>
      </c>
      <c r="X192" s="166">
        <v>3000000</v>
      </c>
      <c r="Y192" s="166"/>
      <c r="Z192" s="166"/>
      <c r="AA192" s="166"/>
      <c r="AB192" s="1604"/>
      <c r="AC192" s="695">
        <f t="shared" si="33"/>
        <v>3000000</v>
      </c>
      <c r="AD192" s="701">
        <f t="shared" si="34"/>
        <v>0</v>
      </c>
      <c r="AE192" s="1428"/>
      <c r="AF192" s="887" t="s">
        <v>148</v>
      </c>
      <c r="AG192" s="252" t="s">
        <v>1042</v>
      </c>
      <c r="AH192" s="268" t="s">
        <v>1191</v>
      </c>
      <c r="AI192" s="1071" t="str">
        <f t="shared" si="36"/>
        <v>Resolución 382</v>
      </c>
      <c r="AJ192" s="2197"/>
      <c r="AK192" s="2200"/>
      <c r="AL192" s="918"/>
      <c r="AM192" s="2183"/>
    </row>
    <row r="193" spans="1:39" s="8" customFormat="1">
      <c r="A193" s="86" t="s">
        <v>595</v>
      </c>
      <c r="B193" s="169">
        <f t="shared" si="35"/>
        <v>0</v>
      </c>
      <c r="C193" s="85" t="s">
        <v>36</v>
      </c>
      <c r="D193" s="85" t="s">
        <v>828</v>
      </c>
      <c r="E193" s="85" t="s">
        <v>37</v>
      </c>
      <c r="F193" s="85" t="s">
        <v>1649</v>
      </c>
      <c r="G193" s="85" t="s">
        <v>38</v>
      </c>
      <c r="H193" s="2072" t="s">
        <v>1639</v>
      </c>
      <c r="I193" s="225" t="s">
        <v>173</v>
      </c>
      <c r="J193" s="160"/>
      <c r="K193" s="468"/>
      <c r="L193" s="2185"/>
      <c r="M193" s="2188"/>
      <c r="N193" s="1583">
        <v>758</v>
      </c>
      <c r="O193" s="1604">
        <v>1000000</v>
      </c>
      <c r="P193" s="1999" t="s">
        <v>1185</v>
      </c>
      <c r="Q193" s="225" t="s">
        <v>173</v>
      </c>
      <c r="R193" s="166"/>
      <c r="S193" s="166"/>
      <c r="T193" s="166"/>
      <c r="U193" s="166"/>
      <c r="V193" s="166"/>
      <c r="W193" s="166" t="s">
        <v>173</v>
      </c>
      <c r="X193" s="166">
        <v>1000000</v>
      </c>
      <c r="Y193" s="166"/>
      <c r="Z193" s="166"/>
      <c r="AA193" s="166"/>
      <c r="AB193" s="1604"/>
      <c r="AC193" s="695">
        <f t="shared" si="33"/>
        <v>1000000</v>
      </c>
      <c r="AD193" s="701">
        <f t="shared" si="34"/>
        <v>0</v>
      </c>
      <c r="AE193" s="1428"/>
      <c r="AF193" s="887" t="s">
        <v>148</v>
      </c>
      <c r="AG193" s="252" t="s">
        <v>1042</v>
      </c>
      <c r="AH193" s="268" t="s">
        <v>1189</v>
      </c>
      <c r="AI193" s="1071" t="str">
        <f t="shared" si="36"/>
        <v>Resolución 382</v>
      </c>
      <c r="AJ193" s="2197"/>
      <c r="AK193" s="2200"/>
      <c r="AL193" s="918"/>
      <c r="AM193" s="2183"/>
    </row>
    <row r="194" spans="1:39" s="8" customFormat="1">
      <c r="A194" s="86" t="s">
        <v>595</v>
      </c>
      <c r="B194" s="169">
        <f t="shared" si="35"/>
        <v>0</v>
      </c>
      <c r="C194" s="85" t="s">
        <v>36</v>
      </c>
      <c r="D194" s="85" t="s">
        <v>828</v>
      </c>
      <c r="E194" s="85" t="s">
        <v>37</v>
      </c>
      <c r="F194" s="85" t="s">
        <v>1649</v>
      </c>
      <c r="G194" s="85" t="s">
        <v>38</v>
      </c>
      <c r="H194" s="2072" t="s">
        <v>1639</v>
      </c>
      <c r="I194" s="225" t="s">
        <v>173</v>
      </c>
      <c r="J194" s="160"/>
      <c r="K194" s="468"/>
      <c r="L194" s="2185"/>
      <c r="M194" s="2188"/>
      <c r="N194" s="1583">
        <v>759</v>
      </c>
      <c r="O194" s="1604">
        <v>1000000</v>
      </c>
      <c r="P194" s="1999" t="s">
        <v>1185</v>
      </c>
      <c r="Q194" s="225" t="s">
        <v>173</v>
      </c>
      <c r="R194" s="166"/>
      <c r="S194" s="166"/>
      <c r="T194" s="166"/>
      <c r="U194" s="166"/>
      <c r="V194" s="166"/>
      <c r="W194" s="166" t="s">
        <v>173</v>
      </c>
      <c r="X194" s="166">
        <v>1000000</v>
      </c>
      <c r="Y194" s="166"/>
      <c r="Z194" s="166"/>
      <c r="AA194" s="166"/>
      <c r="AB194" s="1604"/>
      <c r="AC194" s="695">
        <f t="shared" si="33"/>
        <v>1000000</v>
      </c>
      <c r="AD194" s="701">
        <f t="shared" si="34"/>
        <v>0</v>
      </c>
      <c r="AE194" s="1428"/>
      <c r="AF194" s="887" t="s">
        <v>148</v>
      </c>
      <c r="AG194" s="252" t="s">
        <v>1042</v>
      </c>
      <c r="AH194" s="268" t="s">
        <v>1190</v>
      </c>
      <c r="AI194" s="1071" t="str">
        <f t="shared" si="36"/>
        <v>Resolución 382</v>
      </c>
      <c r="AJ194" s="2197"/>
      <c r="AK194" s="2200"/>
      <c r="AL194" s="918"/>
      <c r="AM194" s="2183"/>
    </row>
    <row r="195" spans="1:39" s="8" customFormat="1">
      <c r="A195" s="86" t="s">
        <v>595</v>
      </c>
      <c r="B195" s="169">
        <f t="shared" si="35"/>
        <v>0</v>
      </c>
      <c r="C195" s="85" t="s">
        <v>36</v>
      </c>
      <c r="D195" s="85" t="s">
        <v>828</v>
      </c>
      <c r="E195" s="85" t="s">
        <v>37</v>
      </c>
      <c r="F195" s="85" t="s">
        <v>1649</v>
      </c>
      <c r="G195" s="85" t="s">
        <v>38</v>
      </c>
      <c r="H195" s="2072" t="s">
        <v>1639</v>
      </c>
      <c r="I195" s="225" t="s">
        <v>173</v>
      </c>
      <c r="J195" s="160"/>
      <c r="K195" s="468"/>
      <c r="L195" s="2186"/>
      <c r="M195" s="2189"/>
      <c r="N195" s="1583">
        <v>760</v>
      </c>
      <c r="O195" s="1604">
        <v>1000000</v>
      </c>
      <c r="P195" s="1999" t="s">
        <v>1185</v>
      </c>
      <c r="Q195" s="225" t="s">
        <v>173</v>
      </c>
      <c r="R195" s="166"/>
      <c r="S195" s="166"/>
      <c r="T195" s="166"/>
      <c r="U195" s="166"/>
      <c r="V195" s="166"/>
      <c r="W195" s="166" t="s">
        <v>173</v>
      </c>
      <c r="X195" s="166">
        <v>1000000</v>
      </c>
      <c r="Y195" s="166"/>
      <c r="Z195" s="166"/>
      <c r="AA195" s="166"/>
      <c r="AB195" s="1604"/>
      <c r="AC195" s="695">
        <f t="shared" si="33"/>
        <v>1000000</v>
      </c>
      <c r="AD195" s="701">
        <f t="shared" si="34"/>
        <v>0</v>
      </c>
      <c r="AE195" s="1428"/>
      <c r="AF195" s="887" t="s">
        <v>148</v>
      </c>
      <c r="AG195" s="252" t="s">
        <v>1042</v>
      </c>
      <c r="AH195" s="268" t="s">
        <v>1191</v>
      </c>
      <c r="AI195" s="1071" t="str">
        <f t="shared" si="36"/>
        <v>Resolución 382</v>
      </c>
      <c r="AJ195" s="2198"/>
      <c r="AK195" s="2201"/>
      <c r="AL195" s="918"/>
      <c r="AM195" s="2183"/>
    </row>
    <row r="196" spans="1:39" s="8" customFormat="1">
      <c r="A196" s="86" t="s">
        <v>595</v>
      </c>
      <c r="B196" s="169">
        <f t="shared" si="35"/>
        <v>0</v>
      </c>
      <c r="C196" s="85" t="s">
        <v>36</v>
      </c>
      <c r="D196" s="85" t="s">
        <v>828</v>
      </c>
      <c r="E196" s="85" t="s">
        <v>37</v>
      </c>
      <c r="F196" s="85" t="s">
        <v>1649</v>
      </c>
      <c r="G196" s="85" t="s">
        <v>38</v>
      </c>
      <c r="H196" s="2072" t="s">
        <v>1639</v>
      </c>
      <c r="I196" s="2059" t="s">
        <v>148</v>
      </c>
      <c r="J196" s="160">
        <v>0</v>
      </c>
      <c r="K196" s="468"/>
      <c r="L196" s="1583"/>
      <c r="M196" s="1508"/>
      <c r="N196" s="1583"/>
      <c r="O196" s="1604"/>
      <c r="P196" s="1999"/>
      <c r="Q196" s="225" t="s">
        <v>173</v>
      </c>
      <c r="R196" s="166"/>
      <c r="S196" s="166"/>
      <c r="T196" s="166"/>
      <c r="U196" s="166"/>
      <c r="V196" s="166"/>
      <c r="W196" s="166"/>
      <c r="X196" s="166"/>
      <c r="Y196" s="166"/>
      <c r="Z196" s="166"/>
      <c r="AA196" s="166"/>
      <c r="AB196" s="1604"/>
      <c r="AC196" s="695">
        <f t="shared" si="33"/>
        <v>0</v>
      </c>
      <c r="AD196" s="701">
        <f t="shared" si="34"/>
        <v>0</v>
      </c>
      <c r="AE196" s="1428"/>
      <c r="AF196" s="887" t="s">
        <v>148</v>
      </c>
      <c r="AG196" s="252" t="s">
        <v>280</v>
      </c>
      <c r="AH196" s="268" t="s">
        <v>173</v>
      </c>
      <c r="AI196" s="498">
        <f t="shared" si="36"/>
        <v>0</v>
      </c>
      <c r="AJ196" s="304">
        <f>105995000-101988000-4007000</f>
        <v>0</v>
      </c>
      <c r="AK196" s="871">
        <f t="shared" ref="AK196:AK204" si="37">AJ196-O196</f>
        <v>0</v>
      </c>
      <c r="AL196" s="918"/>
      <c r="AM196" s="302">
        <f t="shared" ref="AM196:AM204" si="38">AJ196-M196</f>
        <v>0</v>
      </c>
    </row>
    <row r="197" spans="1:39" s="8" customFormat="1">
      <c r="A197" s="86" t="s">
        <v>595</v>
      </c>
      <c r="B197" s="169">
        <f t="shared" si="35"/>
        <v>4320000</v>
      </c>
      <c r="C197" s="81" t="s">
        <v>36</v>
      </c>
      <c r="D197" s="85" t="s">
        <v>828</v>
      </c>
      <c r="E197" s="81" t="s">
        <v>37</v>
      </c>
      <c r="F197" s="81" t="s">
        <v>1649</v>
      </c>
      <c r="G197" s="81" t="s">
        <v>38</v>
      </c>
      <c r="H197" s="2073" t="s">
        <v>1639</v>
      </c>
      <c r="I197" s="979">
        <v>441</v>
      </c>
      <c r="J197" s="160">
        <v>0</v>
      </c>
      <c r="K197" s="468"/>
      <c r="L197" s="1583">
        <v>372</v>
      </c>
      <c r="M197" s="1508">
        <v>4320000</v>
      </c>
      <c r="N197" s="1314">
        <v>389</v>
      </c>
      <c r="O197" s="1605">
        <v>4320000</v>
      </c>
      <c r="P197" s="1993">
        <v>305</v>
      </c>
      <c r="Q197" s="449"/>
      <c r="R197" s="450"/>
      <c r="S197" s="450"/>
      <c r="T197" s="166"/>
      <c r="U197" s="166">
        <v>4320000</v>
      </c>
      <c r="V197" s="166"/>
      <c r="W197" s="166"/>
      <c r="X197" s="166"/>
      <c r="Y197" s="166"/>
      <c r="Z197" s="166"/>
      <c r="AA197" s="166"/>
      <c r="AB197" s="1604"/>
      <c r="AC197" s="695">
        <f t="shared" si="33"/>
        <v>4320000</v>
      </c>
      <c r="AD197" s="701">
        <f t="shared" si="34"/>
        <v>0</v>
      </c>
      <c r="AE197" s="1428"/>
      <c r="AF197" s="887">
        <v>441</v>
      </c>
      <c r="AG197" s="896" t="s">
        <v>284</v>
      </c>
      <c r="AH197" s="268" t="s">
        <v>816</v>
      </c>
      <c r="AI197" s="498">
        <f t="shared" si="36"/>
        <v>305</v>
      </c>
      <c r="AJ197" s="304">
        <v>4320000</v>
      </c>
      <c r="AK197" s="871">
        <f t="shared" si="37"/>
        <v>0</v>
      </c>
      <c r="AL197" s="918"/>
      <c r="AM197" s="302">
        <f t="shared" si="38"/>
        <v>0</v>
      </c>
    </row>
    <row r="198" spans="1:39" s="8" customFormat="1">
      <c r="A198" s="86" t="s">
        <v>595</v>
      </c>
      <c r="B198" s="169">
        <f>M198</f>
        <v>51988000</v>
      </c>
      <c r="C198" s="81" t="s">
        <v>36</v>
      </c>
      <c r="D198" s="85" t="s">
        <v>828</v>
      </c>
      <c r="E198" s="81" t="s">
        <v>37</v>
      </c>
      <c r="F198" s="81" t="s">
        <v>1649</v>
      </c>
      <c r="G198" s="81" t="s">
        <v>38</v>
      </c>
      <c r="H198" s="2073" t="s">
        <v>1639</v>
      </c>
      <c r="I198" s="2059">
        <v>451</v>
      </c>
      <c r="J198" s="160"/>
      <c r="K198" s="468"/>
      <c r="L198" s="1583">
        <v>469</v>
      </c>
      <c r="M198" s="1508">
        <v>51988000</v>
      </c>
      <c r="N198" s="1314">
        <v>517</v>
      </c>
      <c r="O198" s="1605">
        <v>51988000</v>
      </c>
      <c r="P198" s="1993">
        <v>364</v>
      </c>
      <c r="Q198" s="449"/>
      <c r="R198" s="450"/>
      <c r="S198" s="450"/>
      <c r="T198" s="166"/>
      <c r="U198" s="166"/>
      <c r="V198" s="166">
        <v>20795200</v>
      </c>
      <c r="W198" s="166"/>
      <c r="X198" s="166"/>
      <c r="Y198" s="166">
        <v>23394600</v>
      </c>
      <c r="Z198" s="166"/>
      <c r="AA198" s="166">
        <v>7798200</v>
      </c>
      <c r="AB198" s="1604"/>
      <c r="AC198" s="695">
        <f t="shared" si="33"/>
        <v>51988000</v>
      </c>
      <c r="AD198" s="701">
        <f t="shared" si="34"/>
        <v>0</v>
      </c>
      <c r="AE198" s="1428"/>
      <c r="AF198" s="887">
        <v>451</v>
      </c>
      <c r="AG198" s="896" t="s">
        <v>786</v>
      </c>
      <c r="AH198" s="268" t="s">
        <v>988</v>
      </c>
      <c r="AI198" s="498">
        <f t="shared" si="36"/>
        <v>364</v>
      </c>
      <c r="AJ198" s="304">
        <v>51988000</v>
      </c>
      <c r="AK198" s="871">
        <f t="shared" si="37"/>
        <v>0</v>
      </c>
      <c r="AL198" s="918"/>
      <c r="AM198" s="302">
        <f t="shared" si="38"/>
        <v>0</v>
      </c>
    </row>
    <row r="199" spans="1:39" s="8" customFormat="1">
      <c r="A199" s="86" t="s">
        <v>595</v>
      </c>
      <c r="B199" s="169">
        <f t="shared" si="35"/>
        <v>50000000</v>
      </c>
      <c r="C199" s="81" t="s">
        <v>36</v>
      </c>
      <c r="D199" s="85" t="s">
        <v>828</v>
      </c>
      <c r="E199" s="81" t="s">
        <v>37</v>
      </c>
      <c r="F199" s="81" t="s">
        <v>1649</v>
      </c>
      <c r="G199" s="81" t="s">
        <v>38</v>
      </c>
      <c r="H199" s="2073" t="s">
        <v>1639</v>
      </c>
      <c r="I199" s="2059">
        <v>452</v>
      </c>
      <c r="J199" s="160"/>
      <c r="K199" s="468"/>
      <c r="L199" s="1583">
        <v>398</v>
      </c>
      <c r="M199" s="1508">
        <v>50000000</v>
      </c>
      <c r="N199" s="1314">
        <v>406</v>
      </c>
      <c r="O199" s="1605">
        <v>50000000</v>
      </c>
      <c r="P199" s="1993">
        <v>311</v>
      </c>
      <c r="Q199" s="449"/>
      <c r="R199" s="450"/>
      <c r="S199" s="450"/>
      <c r="T199" s="166">
        <f>VLOOKUP(N199,[4]Hoja2!N$66:T$128,7,0)</f>
        <v>25000000</v>
      </c>
      <c r="U199" s="166"/>
      <c r="V199" s="166"/>
      <c r="W199" s="166">
        <v>15000000</v>
      </c>
      <c r="X199" s="166"/>
      <c r="Y199" s="166"/>
      <c r="Z199" s="166">
        <v>10000000</v>
      </c>
      <c r="AA199" s="166"/>
      <c r="AB199" s="1604"/>
      <c r="AC199" s="695">
        <f t="shared" si="33"/>
        <v>50000000</v>
      </c>
      <c r="AD199" s="701">
        <f t="shared" si="34"/>
        <v>0</v>
      </c>
      <c r="AE199" s="1428"/>
      <c r="AF199" s="887">
        <v>452</v>
      </c>
      <c r="AG199" s="896" t="s">
        <v>787</v>
      </c>
      <c r="AH199" s="268" t="s">
        <v>903</v>
      </c>
      <c r="AI199" s="498">
        <f t="shared" si="36"/>
        <v>311</v>
      </c>
      <c r="AJ199" s="304">
        <v>50000000</v>
      </c>
      <c r="AK199" s="871">
        <f t="shared" si="37"/>
        <v>0</v>
      </c>
      <c r="AL199" s="918"/>
      <c r="AM199" s="302">
        <f t="shared" si="38"/>
        <v>0</v>
      </c>
    </row>
    <row r="200" spans="1:39" s="8" customFormat="1">
      <c r="A200" s="86" t="s">
        <v>595</v>
      </c>
      <c r="B200" s="169">
        <f t="shared" si="35"/>
        <v>20000000</v>
      </c>
      <c r="C200" s="81" t="s">
        <v>36</v>
      </c>
      <c r="D200" s="85" t="s">
        <v>828</v>
      </c>
      <c r="E200" s="81" t="s">
        <v>37</v>
      </c>
      <c r="F200" s="81" t="s">
        <v>1649</v>
      </c>
      <c r="G200" s="81" t="s">
        <v>38</v>
      </c>
      <c r="H200" s="2073" t="s">
        <v>1639</v>
      </c>
      <c r="I200" s="2059">
        <v>534</v>
      </c>
      <c r="J200" s="160"/>
      <c r="K200" s="468"/>
      <c r="L200" s="1583">
        <v>553</v>
      </c>
      <c r="M200" s="1508">
        <v>20000000</v>
      </c>
      <c r="N200" s="1314">
        <v>647</v>
      </c>
      <c r="O200" s="1605">
        <v>20000000</v>
      </c>
      <c r="P200" s="1993">
        <v>401</v>
      </c>
      <c r="Q200" s="449"/>
      <c r="R200" s="450"/>
      <c r="S200" s="450"/>
      <c r="T200" s="450"/>
      <c r="U200" s="166"/>
      <c r="V200" s="450"/>
      <c r="W200" s="166"/>
      <c r="X200" s="166">
        <v>8000000</v>
      </c>
      <c r="Y200" s="166">
        <v>9000000</v>
      </c>
      <c r="Z200" s="166"/>
      <c r="AA200" s="166"/>
      <c r="AB200" s="1604">
        <v>3000000</v>
      </c>
      <c r="AC200" s="695">
        <f t="shared" si="33"/>
        <v>20000000</v>
      </c>
      <c r="AD200" s="701">
        <f t="shared" si="34"/>
        <v>0</v>
      </c>
      <c r="AE200" s="1428"/>
      <c r="AF200" s="887">
        <v>534</v>
      </c>
      <c r="AG200" s="896" t="s">
        <v>971</v>
      </c>
      <c r="AH200" s="268" t="s">
        <v>1111</v>
      </c>
      <c r="AI200" s="498">
        <f t="shared" si="36"/>
        <v>401</v>
      </c>
      <c r="AJ200" s="304">
        <v>20000000</v>
      </c>
      <c r="AK200" s="871">
        <f t="shared" si="37"/>
        <v>0</v>
      </c>
      <c r="AL200" s="918"/>
      <c r="AM200" s="302">
        <f t="shared" si="38"/>
        <v>0</v>
      </c>
    </row>
    <row r="201" spans="1:39" s="8" customFormat="1">
      <c r="A201" s="86" t="s">
        <v>595</v>
      </c>
      <c r="B201" s="169">
        <f t="shared" si="35"/>
        <v>10000000</v>
      </c>
      <c r="C201" s="81" t="s">
        <v>36</v>
      </c>
      <c r="D201" s="85" t="s">
        <v>828</v>
      </c>
      <c r="E201" s="81" t="s">
        <v>37</v>
      </c>
      <c r="F201" s="81" t="s">
        <v>1649</v>
      </c>
      <c r="G201" s="81" t="s">
        <v>38</v>
      </c>
      <c r="H201" s="2073" t="s">
        <v>1639</v>
      </c>
      <c r="I201" s="2059">
        <v>535</v>
      </c>
      <c r="J201" s="160"/>
      <c r="K201" s="468"/>
      <c r="L201" s="1583">
        <v>548</v>
      </c>
      <c r="M201" s="1508">
        <v>10000000</v>
      </c>
      <c r="N201" s="1314">
        <v>648</v>
      </c>
      <c r="O201" s="1605">
        <v>10000000</v>
      </c>
      <c r="P201" s="1993">
        <v>400</v>
      </c>
      <c r="Q201" s="449"/>
      <c r="R201" s="450"/>
      <c r="S201" s="450"/>
      <c r="T201" s="450"/>
      <c r="U201" s="166"/>
      <c r="V201" s="450"/>
      <c r="W201" s="166"/>
      <c r="X201" s="166">
        <v>4000000</v>
      </c>
      <c r="Y201" s="166"/>
      <c r="Z201" s="166">
        <v>4500000</v>
      </c>
      <c r="AA201" s="166"/>
      <c r="AB201" s="1604">
        <v>1500000</v>
      </c>
      <c r="AC201" s="695">
        <f t="shared" si="33"/>
        <v>10000000</v>
      </c>
      <c r="AD201" s="701">
        <f t="shared" si="34"/>
        <v>0</v>
      </c>
      <c r="AE201" s="1428"/>
      <c r="AF201" s="887">
        <v>535</v>
      </c>
      <c r="AG201" s="896" t="s">
        <v>972</v>
      </c>
      <c r="AH201" s="268" t="s">
        <v>1109</v>
      </c>
      <c r="AI201" s="498">
        <f t="shared" si="36"/>
        <v>400</v>
      </c>
      <c r="AJ201" s="304">
        <v>10000000</v>
      </c>
      <c r="AK201" s="871">
        <f t="shared" si="37"/>
        <v>0</v>
      </c>
      <c r="AL201" s="918"/>
      <c r="AM201" s="302">
        <f t="shared" si="38"/>
        <v>0</v>
      </c>
    </row>
    <row r="202" spans="1:39" s="8" customFormat="1">
      <c r="A202" s="86" t="s">
        <v>595</v>
      </c>
      <c r="B202" s="169">
        <f t="shared" si="35"/>
        <v>10000000</v>
      </c>
      <c r="C202" s="81" t="s">
        <v>36</v>
      </c>
      <c r="D202" s="85" t="s">
        <v>828</v>
      </c>
      <c r="E202" s="81" t="s">
        <v>37</v>
      </c>
      <c r="F202" s="81" t="s">
        <v>1649</v>
      </c>
      <c r="G202" s="81" t="s">
        <v>38</v>
      </c>
      <c r="H202" s="2073" t="s">
        <v>1639</v>
      </c>
      <c r="I202" s="2059">
        <v>536</v>
      </c>
      <c r="J202" s="160"/>
      <c r="K202" s="468"/>
      <c r="L202" s="1583">
        <v>549</v>
      </c>
      <c r="M202" s="1508">
        <v>10000000</v>
      </c>
      <c r="N202" s="1314">
        <v>667</v>
      </c>
      <c r="O202" s="1605">
        <v>10000000</v>
      </c>
      <c r="P202" s="1993">
        <v>396</v>
      </c>
      <c r="Q202" s="449"/>
      <c r="R202" s="450"/>
      <c r="S202" s="450"/>
      <c r="T202" s="450"/>
      <c r="U202" s="166"/>
      <c r="V202" s="450"/>
      <c r="W202" s="166"/>
      <c r="X202" s="166">
        <v>4000000</v>
      </c>
      <c r="Y202" s="166"/>
      <c r="Z202" s="166"/>
      <c r="AA202" s="166">
        <v>4500000</v>
      </c>
      <c r="AB202" s="1604">
        <v>1500000</v>
      </c>
      <c r="AC202" s="695">
        <f t="shared" si="33"/>
        <v>10000000</v>
      </c>
      <c r="AD202" s="701">
        <f t="shared" si="34"/>
        <v>0</v>
      </c>
      <c r="AE202" s="1428"/>
      <c r="AF202" s="887">
        <v>536</v>
      </c>
      <c r="AG202" s="896" t="s">
        <v>973</v>
      </c>
      <c r="AH202" s="268" t="s">
        <v>1110</v>
      </c>
      <c r="AI202" s="498">
        <f t="shared" si="36"/>
        <v>396</v>
      </c>
      <c r="AJ202" s="304">
        <v>10000000</v>
      </c>
      <c r="AK202" s="871">
        <f t="shared" si="37"/>
        <v>0</v>
      </c>
      <c r="AL202" s="918"/>
      <c r="AM202" s="302">
        <f t="shared" si="38"/>
        <v>0</v>
      </c>
    </row>
    <row r="203" spans="1:39" s="8" customFormat="1">
      <c r="A203" s="86" t="s">
        <v>595</v>
      </c>
      <c r="B203" s="169">
        <f t="shared" si="35"/>
        <v>0</v>
      </c>
      <c r="C203" s="81" t="s">
        <v>36</v>
      </c>
      <c r="D203" s="85" t="s">
        <v>828</v>
      </c>
      <c r="E203" s="81" t="s">
        <v>37</v>
      </c>
      <c r="F203" s="81" t="s">
        <v>1649</v>
      </c>
      <c r="G203" s="81" t="s">
        <v>38</v>
      </c>
      <c r="H203" s="2073" t="s">
        <v>1639</v>
      </c>
      <c r="I203" s="2059" t="s">
        <v>173</v>
      </c>
      <c r="J203" s="160"/>
      <c r="K203" s="468"/>
      <c r="L203" s="1583"/>
      <c r="M203" s="1508"/>
      <c r="N203" s="1314"/>
      <c r="O203" s="1605"/>
      <c r="P203" s="1993"/>
      <c r="Q203" s="449"/>
      <c r="R203" s="450"/>
      <c r="S203" s="450"/>
      <c r="T203" s="450"/>
      <c r="U203" s="166"/>
      <c r="V203" s="450"/>
      <c r="W203" s="450"/>
      <c r="X203" s="450"/>
      <c r="Y203" s="166"/>
      <c r="Z203" s="450"/>
      <c r="AA203" s="450"/>
      <c r="AB203" s="1605"/>
      <c r="AC203" s="695">
        <f t="shared" si="33"/>
        <v>0</v>
      </c>
      <c r="AD203" s="701">
        <f t="shared" si="34"/>
        <v>0</v>
      </c>
      <c r="AE203" s="1428"/>
      <c r="AF203" s="887" t="s">
        <v>173</v>
      </c>
      <c r="AG203" s="896"/>
      <c r="AH203" s="268" t="s">
        <v>173</v>
      </c>
      <c r="AI203" s="498">
        <f t="shared" si="36"/>
        <v>0</v>
      </c>
      <c r="AJ203" s="304"/>
      <c r="AK203" s="871">
        <f t="shared" si="37"/>
        <v>0</v>
      </c>
      <c r="AL203" s="918"/>
      <c r="AM203" s="302">
        <f t="shared" si="38"/>
        <v>0</v>
      </c>
    </row>
    <row r="204" spans="1:39" s="8" customFormat="1">
      <c r="A204" s="86" t="s">
        <v>595</v>
      </c>
      <c r="B204" s="169">
        <f t="shared" si="35"/>
        <v>0</v>
      </c>
      <c r="C204" s="81" t="s">
        <v>36</v>
      </c>
      <c r="D204" s="85" t="s">
        <v>828</v>
      </c>
      <c r="E204" s="81" t="s">
        <v>37</v>
      </c>
      <c r="F204" s="81" t="s">
        <v>1649</v>
      </c>
      <c r="G204" s="81" t="s">
        <v>38</v>
      </c>
      <c r="H204" s="2073" t="s">
        <v>1639</v>
      </c>
      <c r="I204" s="2059" t="s">
        <v>148</v>
      </c>
      <c r="J204" s="160"/>
      <c r="K204" s="468"/>
      <c r="L204" s="1583"/>
      <c r="M204" s="1508"/>
      <c r="N204" s="1314"/>
      <c r="O204" s="1605"/>
      <c r="P204" s="1993"/>
      <c r="Q204" s="449"/>
      <c r="R204" s="450"/>
      <c r="S204" s="450"/>
      <c r="T204" s="450"/>
      <c r="U204" s="166"/>
      <c r="V204" s="450"/>
      <c r="W204" s="450"/>
      <c r="X204" s="450"/>
      <c r="Y204" s="166"/>
      <c r="Z204" s="450"/>
      <c r="AA204" s="450"/>
      <c r="AB204" s="1605"/>
      <c r="AC204" s="695">
        <f t="shared" si="33"/>
        <v>0</v>
      </c>
      <c r="AD204" s="701">
        <f t="shared" si="34"/>
        <v>0</v>
      </c>
      <c r="AE204" s="1428"/>
      <c r="AF204" s="887" t="s">
        <v>173</v>
      </c>
      <c r="AG204" s="896"/>
      <c r="AH204" s="268" t="s">
        <v>173</v>
      </c>
      <c r="AI204" s="498">
        <f t="shared" si="36"/>
        <v>0</v>
      </c>
      <c r="AJ204" s="304"/>
      <c r="AK204" s="871">
        <f t="shared" si="37"/>
        <v>0</v>
      </c>
      <c r="AL204" s="918"/>
      <c r="AM204" s="302">
        <f t="shared" si="38"/>
        <v>0</v>
      </c>
    </row>
    <row r="205" spans="1:39" s="8" customFormat="1" ht="15">
      <c r="A205" s="168" t="s">
        <v>24</v>
      </c>
      <c r="B205" s="170">
        <f>B145-SUM(B146:B204)</f>
        <v>669500</v>
      </c>
      <c r="C205" s="84"/>
      <c r="D205" s="84"/>
      <c r="E205" s="84"/>
      <c r="F205" s="84"/>
      <c r="G205" s="84"/>
      <c r="H205" s="2074"/>
      <c r="I205" s="945"/>
      <c r="J205" s="55"/>
      <c r="K205" s="277"/>
      <c r="L205" s="1589"/>
      <c r="M205" s="1568">
        <f>SUM(M146:M204)</f>
        <v>572915000</v>
      </c>
      <c r="N205" s="1589"/>
      <c r="O205" s="1568">
        <f>SUM(O146:O204)</f>
        <v>572915000</v>
      </c>
      <c r="P205" s="1826"/>
      <c r="Q205" s="142">
        <f t="shared" ref="Q205:AD205" si="39">SUM(Q146:Q204)</f>
        <v>0</v>
      </c>
      <c r="R205" s="142">
        <f t="shared" si="39"/>
        <v>0</v>
      </c>
      <c r="S205" s="142">
        <f t="shared" si="39"/>
        <v>11774500</v>
      </c>
      <c r="T205" s="142">
        <f t="shared" si="39"/>
        <v>36595000</v>
      </c>
      <c r="U205" s="142">
        <f t="shared" si="39"/>
        <v>15915000</v>
      </c>
      <c r="V205" s="142">
        <f>SUM(V146:V204)</f>
        <v>153890200</v>
      </c>
      <c r="W205" s="142">
        <f>SUM(W146:W204)</f>
        <v>47095000</v>
      </c>
      <c r="X205" s="142">
        <f t="shared" si="39"/>
        <v>88702333</v>
      </c>
      <c r="Y205" s="142">
        <f t="shared" si="39"/>
        <v>107989600</v>
      </c>
      <c r="Z205" s="142">
        <f t="shared" si="39"/>
        <v>34095000</v>
      </c>
      <c r="AA205" s="142">
        <f t="shared" si="39"/>
        <v>23893200</v>
      </c>
      <c r="AB205" s="1568">
        <f>SUM(AB146:AB204)</f>
        <v>43046667</v>
      </c>
      <c r="AC205" s="142">
        <f t="shared" si="39"/>
        <v>562996500</v>
      </c>
      <c r="AD205" s="142">
        <f t="shared" si="39"/>
        <v>9918500</v>
      </c>
      <c r="AE205" s="229"/>
      <c r="AF205" s="852"/>
      <c r="AG205" s="301"/>
      <c r="AH205" s="301"/>
      <c r="AI205" s="506"/>
      <c r="AJ205" s="142">
        <f>SUM(AJ146:AJ204)</f>
        <v>573584500</v>
      </c>
      <c r="AK205" s="142">
        <f>SUM(AK146:AK204)</f>
        <v>669500</v>
      </c>
      <c r="AL205" s="791">
        <f>B145-AJ205</f>
        <v>0</v>
      </c>
      <c r="AM205" s="142">
        <f>SUM(AM146:AM204)</f>
        <v>669500</v>
      </c>
    </row>
    <row r="206" spans="1:39" s="6" customFormat="1" ht="23.25" customHeight="1">
      <c r="A206" s="689" t="s">
        <v>40</v>
      </c>
      <c r="B206" s="174">
        <f>B207+B288</f>
        <v>2824008968</v>
      </c>
      <c r="C206" s="603"/>
      <c r="D206" s="603"/>
      <c r="E206" s="603"/>
      <c r="F206" s="603"/>
      <c r="G206" s="603"/>
      <c r="H206" s="2075"/>
      <c r="I206" s="946"/>
      <c r="J206" s="436"/>
      <c r="K206" s="475"/>
      <c r="L206" s="1590"/>
      <c r="M206" s="1569"/>
      <c r="N206" s="1590"/>
      <c r="O206" s="1609"/>
      <c r="P206" s="2000"/>
      <c r="Q206" s="430"/>
      <c r="R206" s="431"/>
      <c r="S206" s="431"/>
      <c r="T206" s="431"/>
      <c r="U206" s="431"/>
      <c r="V206" s="431"/>
      <c r="W206" s="431"/>
      <c r="X206" s="431"/>
      <c r="Y206" s="431"/>
      <c r="Z206" s="431"/>
      <c r="AA206" s="431"/>
      <c r="AB206" s="1612"/>
      <c r="AC206" s="698"/>
      <c r="AD206" s="726"/>
      <c r="AE206" s="1437"/>
      <c r="AF206" s="897"/>
      <c r="AG206" s="432"/>
      <c r="AH206" s="432"/>
      <c r="AI206" s="1035"/>
      <c r="AJ206" s="433"/>
      <c r="AK206" s="898"/>
      <c r="AL206" s="918"/>
    </row>
    <row r="207" spans="1:39" s="8" customFormat="1" ht="30" customHeight="1">
      <c r="A207" s="690" t="s">
        <v>40</v>
      </c>
      <c r="B207" s="172">
        <f>2527953557+20680000+88000000+150000000-48842385+33780000+12635500+35602296+4200000</f>
        <v>2824008968</v>
      </c>
      <c r="C207" s="1250" t="s">
        <v>36</v>
      </c>
      <c r="D207" s="1251" t="s">
        <v>827</v>
      </c>
      <c r="E207" s="1251" t="s">
        <v>37</v>
      </c>
      <c r="F207" s="1250" t="s">
        <v>1650</v>
      </c>
      <c r="G207" s="1251" t="s">
        <v>38</v>
      </c>
      <c r="H207" s="2081" t="s">
        <v>1640</v>
      </c>
      <c r="I207" s="2080"/>
      <c r="J207" s="2079"/>
      <c r="K207" s="437"/>
      <c r="L207" s="1591"/>
      <c r="M207" s="1570"/>
      <c r="N207" s="1591"/>
      <c r="O207" s="1570"/>
      <c r="P207" s="2001"/>
      <c r="Q207" s="430"/>
      <c r="R207" s="431"/>
      <c r="S207" s="431"/>
      <c r="T207" s="431"/>
      <c r="U207" s="431"/>
      <c r="V207" s="431"/>
      <c r="W207" s="431"/>
      <c r="X207" s="431"/>
      <c r="Y207" s="431"/>
      <c r="Z207" s="431"/>
      <c r="AA207" s="431"/>
      <c r="AB207" s="1612"/>
      <c r="AC207" s="698">
        <f t="shared" ref="AC207:AC208" si="40">SUM(Q207:AB207)</f>
        <v>0</v>
      </c>
      <c r="AD207" s="727"/>
      <c r="AE207" s="1428"/>
      <c r="AF207" s="899"/>
      <c r="AG207" s="434"/>
      <c r="AH207" s="434"/>
      <c r="AI207" s="961"/>
      <c r="AJ207" s="435"/>
      <c r="AK207" s="900"/>
      <c r="AL207" s="918"/>
    </row>
    <row r="208" spans="1:39" s="8" customFormat="1">
      <c r="A208" s="88" t="s">
        <v>40</v>
      </c>
      <c r="B208" s="169">
        <f t="shared" ref="B208:B286" si="41">M208</f>
        <v>0</v>
      </c>
      <c r="C208" s="89" t="s">
        <v>36</v>
      </c>
      <c r="D208" s="89" t="s">
        <v>827</v>
      </c>
      <c r="E208" s="89" t="s">
        <v>37</v>
      </c>
      <c r="F208" s="87" t="s">
        <v>1650</v>
      </c>
      <c r="G208" s="89" t="s">
        <v>38</v>
      </c>
      <c r="H208" s="2076" t="s">
        <v>1640</v>
      </c>
      <c r="I208" s="2059">
        <v>21</v>
      </c>
      <c r="J208" s="160">
        <v>0</v>
      </c>
      <c r="K208" s="468"/>
      <c r="L208" s="1583"/>
      <c r="M208" s="1508"/>
      <c r="N208" s="1583"/>
      <c r="O208" s="1610"/>
      <c r="P208" s="2002"/>
      <c r="Q208" s="225"/>
      <c r="R208" s="166"/>
      <c r="S208" s="166"/>
      <c r="T208" s="166"/>
      <c r="U208" s="166"/>
      <c r="V208" s="166"/>
      <c r="W208" s="166"/>
      <c r="X208" s="166"/>
      <c r="Y208" s="166"/>
      <c r="Z208" s="166"/>
      <c r="AA208" s="166"/>
      <c r="AB208" s="1604"/>
      <c r="AC208" s="695">
        <f t="shared" si="40"/>
        <v>0</v>
      </c>
      <c r="AD208" s="701">
        <f t="shared" ref="AD208" si="42">O208-AC208</f>
        <v>0</v>
      </c>
      <c r="AE208" s="1428"/>
      <c r="AF208" s="887">
        <v>21</v>
      </c>
      <c r="AG208" s="310" t="s">
        <v>232</v>
      </c>
      <c r="AH208" s="316" t="s">
        <v>173</v>
      </c>
      <c r="AI208" s="498">
        <f t="shared" ref="AI208:AI239" si="43">P208</f>
        <v>0</v>
      </c>
      <c r="AJ208" s="304">
        <f>7000000-7000000</f>
        <v>0</v>
      </c>
      <c r="AK208" s="871">
        <f t="shared" ref="AK208:AK239" si="44">AJ208-O208</f>
        <v>0</v>
      </c>
      <c r="AL208" s="918"/>
      <c r="AM208" s="302">
        <f t="shared" ref="AM208:AM239" si="45">AJ208-M208</f>
        <v>0</v>
      </c>
    </row>
    <row r="209" spans="1:39" s="8" customFormat="1">
      <c r="A209" s="88" t="s">
        <v>40</v>
      </c>
      <c r="B209" s="169">
        <f t="shared" si="41"/>
        <v>61380000</v>
      </c>
      <c r="C209" s="89" t="s">
        <v>36</v>
      </c>
      <c r="D209" s="89" t="s">
        <v>827</v>
      </c>
      <c r="E209" s="89" t="s">
        <v>37</v>
      </c>
      <c r="F209" s="87" t="s">
        <v>1650</v>
      </c>
      <c r="G209" s="89" t="s">
        <v>38</v>
      </c>
      <c r="H209" s="2076" t="s">
        <v>1640</v>
      </c>
      <c r="I209" s="2059">
        <v>22</v>
      </c>
      <c r="J209" s="160">
        <v>0</v>
      </c>
      <c r="K209" s="468"/>
      <c r="L209" s="1583">
        <v>221</v>
      </c>
      <c r="M209" s="1508">
        <v>61380000</v>
      </c>
      <c r="N209" s="1583">
        <v>191</v>
      </c>
      <c r="O209" s="1604">
        <v>61380000</v>
      </c>
      <c r="P209" s="1993">
        <v>188</v>
      </c>
      <c r="Q209" s="225"/>
      <c r="R209" s="166"/>
      <c r="S209" s="166">
        <v>5580000</v>
      </c>
      <c r="T209" s="166">
        <f>VLOOKUP(N209,[4]Hoja2!N$66:T$128,7,0)</f>
        <v>5580000</v>
      </c>
      <c r="U209" s="166">
        <v>5580000</v>
      </c>
      <c r="V209" s="166">
        <v>5580000</v>
      </c>
      <c r="W209" s="166">
        <v>5580000</v>
      </c>
      <c r="X209" s="166">
        <v>5580000</v>
      </c>
      <c r="Y209" s="166">
        <v>5580000</v>
      </c>
      <c r="Z209" s="166">
        <v>5580000</v>
      </c>
      <c r="AA209" s="166">
        <v>5580000</v>
      </c>
      <c r="AB209" s="1604">
        <f>5580000+5580000</f>
        <v>11160000</v>
      </c>
      <c r="AC209" s="695">
        <f t="shared" ref="AC209:AC272" si="46">SUM(Q209:AB209)</f>
        <v>61380000</v>
      </c>
      <c r="AD209" s="701">
        <f t="shared" ref="AD209:AD272" si="47">O209-AC209</f>
        <v>0</v>
      </c>
      <c r="AE209" s="1428"/>
      <c r="AF209" s="887">
        <v>22</v>
      </c>
      <c r="AG209" s="310" t="s">
        <v>233</v>
      </c>
      <c r="AH209" s="268" t="s">
        <v>1386</v>
      </c>
      <c r="AI209" s="498">
        <f t="shared" si="43"/>
        <v>188</v>
      </c>
      <c r="AJ209" s="304">
        <v>61380000</v>
      </c>
      <c r="AK209" s="871">
        <f t="shared" si="44"/>
        <v>0</v>
      </c>
      <c r="AL209" s="918"/>
      <c r="AM209" s="302">
        <f t="shared" si="45"/>
        <v>0</v>
      </c>
    </row>
    <row r="210" spans="1:39" s="8" customFormat="1">
      <c r="A210" s="88" t="s">
        <v>40</v>
      </c>
      <c r="B210" s="169">
        <f t="shared" si="41"/>
        <v>0</v>
      </c>
      <c r="C210" s="89" t="s">
        <v>36</v>
      </c>
      <c r="D210" s="89" t="s">
        <v>827</v>
      </c>
      <c r="E210" s="89" t="s">
        <v>37</v>
      </c>
      <c r="F210" s="87" t="s">
        <v>1650</v>
      </c>
      <c r="G210" s="89" t="s">
        <v>38</v>
      </c>
      <c r="H210" s="2076" t="s">
        <v>1640</v>
      </c>
      <c r="I210" s="2059" t="s">
        <v>325</v>
      </c>
      <c r="J210" s="160"/>
      <c r="K210" s="468"/>
      <c r="L210" s="1583"/>
      <c r="M210" s="1508"/>
      <c r="N210" s="1583"/>
      <c r="O210" s="1605"/>
      <c r="P210" s="1993">
        <v>188</v>
      </c>
      <c r="Q210" s="225"/>
      <c r="R210" s="789"/>
      <c r="S210" s="166"/>
      <c r="T210" s="166"/>
      <c r="U210" s="166"/>
      <c r="V210" s="166"/>
      <c r="W210" s="166"/>
      <c r="X210" s="166"/>
      <c r="Y210" s="166"/>
      <c r="Z210" s="166"/>
      <c r="AA210" s="166"/>
      <c r="AB210" s="1604"/>
      <c r="AC210" s="695">
        <f t="shared" si="46"/>
        <v>0</v>
      </c>
      <c r="AD210" s="701">
        <f t="shared" si="47"/>
        <v>0</v>
      </c>
      <c r="AE210" s="1428"/>
      <c r="AF210" s="887" t="s">
        <v>325</v>
      </c>
      <c r="AG210" s="310" t="s">
        <v>1391</v>
      </c>
      <c r="AH210" s="268" t="s">
        <v>1386</v>
      </c>
      <c r="AI210" s="498">
        <f t="shared" si="43"/>
        <v>188</v>
      </c>
      <c r="AJ210" s="304">
        <f>5580000-5580000</f>
        <v>0</v>
      </c>
      <c r="AK210" s="871">
        <f t="shared" si="44"/>
        <v>0</v>
      </c>
      <c r="AL210" s="918"/>
      <c r="AM210" s="302">
        <f t="shared" si="45"/>
        <v>0</v>
      </c>
    </row>
    <row r="211" spans="1:39" s="8" customFormat="1">
      <c r="A211" s="88" t="s">
        <v>40</v>
      </c>
      <c r="B211" s="169">
        <f t="shared" si="41"/>
        <v>36303381</v>
      </c>
      <c r="C211" s="89" t="s">
        <v>36</v>
      </c>
      <c r="D211" s="89" t="s">
        <v>827</v>
      </c>
      <c r="E211" s="89" t="s">
        <v>37</v>
      </c>
      <c r="F211" s="87" t="s">
        <v>1650</v>
      </c>
      <c r="G211" s="89" t="s">
        <v>38</v>
      </c>
      <c r="H211" s="2076" t="s">
        <v>1640</v>
      </c>
      <c r="I211" s="2059">
        <v>24</v>
      </c>
      <c r="J211" s="160">
        <v>0</v>
      </c>
      <c r="K211" s="468"/>
      <c r="L211" s="1583">
        <v>262</v>
      </c>
      <c r="M211" s="1508">
        <v>36303381</v>
      </c>
      <c r="N211" s="1583">
        <f>VLOOKUP(L211,[6]RP!I$194:J$247,2,0)</f>
        <v>271</v>
      </c>
      <c r="O211" s="1508">
        <v>36303381</v>
      </c>
      <c r="P211" s="2002">
        <v>240</v>
      </c>
      <c r="Q211" s="225"/>
      <c r="R211" s="789"/>
      <c r="S211" s="166">
        <v>2090000</v>
      </c>
      <c r="T211" s="166">
        <v>3135000</v>
      </c>
      <c r="U211" s="166">
        <v>3135000</v>
      </c>
      <c r="V211" s="166">
        <v>3135000</v>
      </c>
      <c r="W211" s="166">
        <v>3135000</v>
      </c>
      <c r="X211" s="166">
        <v>2926000</v>
      </c>
      <c r="Y211" s="166">
        <v>3140000</v>
      </c>
      <c r="Z211" s="166">
        <v>3135000</v>
      </c>
      <c r="AA211" s="166">
        <v>3135000</v>
      </c>
      <c r="AB211" s="1604">
        <f>3135000+209000+5993381</f>
        <v>9337381</v>
      </c>
      <c r="AC211" s="695">
        <f t="shared" si="46"/>
        <v>36303381</v>
      </c>
      <c r="AD211" s="701">
        <f t="shared" si="47"/>
        <v>0</v>
      </c>
      <c r="AE211" s="1428"/>
      <c r="AF211" s="887">
        <v>24</v>
      </c>
      <c r="AG211" s="310" t="s">
        <v>234</v>
      </c>
      <c r="AH211" s="316" t="s">
        <v>632</v>
      </c>
      <c r="AI211" s="498">
        <f t="shared" si="43"/>
        <v>240</v>
      </c>
      <c r="AJ211" s="304">
        <v>36303381</v>
      </c>
      <c r="AK211" s="871">
        <f t="shared" si="44"/>
        <v>0</v>
      </c>
      <c r="AL211" s="918"/>
      <c r="AM211" s="302">
        <f t="shared" si="45"/>
        <v>0</v>
      </c>
    </row>
    <row r="212" spans="1:39" s="8" customFormat="1">
      <c r="A212" s="88" t="s">
        <v>40</v>
      </c>
      <c r="B212" s="169">
        <f t="shared" si="41"/>
        <v>6270000</v>
      </c>
      <c r="C212" s="89" t="s">
        <v>36</v>
      </c>
      <c r="D212" s="89" t="s">
        <v>827</v>
      </c>
      <c r="E212" s="89" t="s">
        <v>37</v>
      </c>
      <c r="F212" s="87" t="s">
        <v>1650</v>
      </c>
      <c r="G212" s="89" t="s">
        <v>38</v>
      </c>
      <c r="H212" s="2076" t="s">
        <v>1640</v>
      </c>
      <c r="I212" s="2059" t="s">
        <v>325</v>
      </c>
      <c r="J212" s="160">
        <v>774</v>
      </c>
      <c r="K212" s="468">
        <v>6270000</v>
      </c>
      <c r="L212" s="1583">
        <v>893</v>
      </c>
      <c r="M212" s="1508">
        <v>6270000</v>
      </c>
      <c r="N212" s="1583">
        <v>1110</v>
      </c>
      <c r="O212" s="1508">
        <v>6270000</v>
      </c>
      <c r="P212" s="2002">
        <v>240</v>
      </c>
      <c r="Q212" s="225"/>
      <c r="R212" s="789"/>
      <c r="S212" s="166"/>
      <c r="T212" s="166"/>
      <c r="U212" s="789"/>
      <c r="V212" s="166"/>
      <c r="W212" s="166"/>
      <c r="X212" s="166"/>
      <c r="Y212" s="166"/>
      <c r="Z212" s="166"/>
      <c r="AA212" s="166"/>
      <c r="AB212" s="1604"/>
      <c r="AC212" s="695">
        <f t="shared" si="46"/>
        <v>0</v>
      </c>
      <c r="AD212" s="701">
        <f t="shared" si="47"/>
        <v>6270000</v>
      </c>
      <c r="AE212" s="1428"/>
      <c r="AF212" s="887" t="s">
        <v>325</v>
      </c>
      <c r="AG212" s="310" t="s">
        <v>1383</v>
      </c>
      <c r="AH212" s="316" t="s">
        <v>632</v>
      </c>
      <c r="AI212" s="498">
        <f t="shared" si="43"/>
        <v>240</v>
      </c>
      <c r="AJ212" s="304">
        <f>6620000-6620000+6270000</f>
        <v>6270000</v>
      </c>
      <c r="AK212" s="871">
        <f t="shared" si="44"/>
        <v>0</v>
      </c>
      <c r="AL212" s="918"/>
      <c r="AM212" s="302">
        <f t="shared" si="45"/>
        <v>0</v>
      </c>
    </row>
    <row r="213" spans="1:39" s="8" customFormat="1">
      <c r="A213" s="88" t="s">
        <v>40</v>
      </c>
      <c r="B213" s="169">
        <f t="shared" si="41"/>
        <v>20000000</v>
      </c>
      <c r="C213" s="89" t="s">
        <v>36</v>
      </c>
      <c r="D213" s="89" t="s">
        <v>827</v>
      </c>
      <c r="E213" s="89" t="s">
        <v>37</v>
      </c>
      <c r="F213" s="87" t="s">
        <v>1650</v>
      </c>
      <c r="G213" s="89" t="s">
        <v>38</v>
      </c>
      <c r="H213" s="2076" t="s">
        <v>1640</v>
      </c>
      <c r="I213" s="2059">
        <v>26</v>
      </c>
      <c r="J213" s="160">
        <v>0</v>
      </c>
      <c r="K213" s="468"/>
      <c r="L213" s="1583">
        <v>284</v>
      </c>
      <c r="M213" s="1508">
        <v>20000000</v>
      </c>
      <c r="N213" s="1583">
        <v>300</v>
      </c>
      <c r="O213" s="1610">
        <v>20000000</v>
      </c>
      <c r="P213" s="2002">
        <v>249</v>
      </c>
      <c r="Q213" s="225"/>
      <c r="R213" s="789"/>
      <c r="S213" s="166"/>
      <c r="T213" s="166"/>
      <c r="U213" s="789">
        <v>2736000</v>
      </c>
      <c r="V213" s="166">
        <v>2774000</v>
      </c>
      <c r="W213" s="166"/>
      <c r="X213" s="166">
        <v>4579000</v>
      </c>
      <c r="Y213" s="166">
        <v>1862000</v>
      </c>
      <c r="Z213" s="166">
        <v>1643500</v>
      </c>
      <c r="AA213" s="166">
        <v>3657500</v>
      </c>
      <c r="AB213" s="1604">
        <v>2748000</v>
      </c>
      <c r="AC213" s="695">
        <f t="shared" si="46"/>
        <v>20000000</v>
      </c>
      <c r="AD213" s="701">
        <f t="shared" si="47"/>
        <v>0</v>
      </c>
      <c r="AE213" s="1428"/>
      <c r="AF213" s="887">
        <v>26</v>
      </c>
      <c r="AG213" s="310" t="s">
        <v>235</v>
      </c>
      <c r="AH213" s="316" t="s">
        <v>631</v>
      </c>
      <c r="AI213" s="498">
        <f t="shared" si="43"/>
        <v>249</v>
      </c>
      <c r="AJ213" s="304">
        <v>20000000</v>
      </c>
      <c r="AK213" s="871">
        <f t="shared" si="44"/>
        <v>0</v>
      </c>
      <c r="AL213" s="918"/>
      <c r="AM213" s="302">
        <f t="shared" si="45"/>
        <v>0</v>
      </c>
    </row>
    <row r="214" spans="1:39" s="8" customFormat="1">
      <c r="A214" s="88" t="s">
        <v>40</v>
      </c>
      <c r="B214" s="169">
        <f t="shared" si="41"/>
        <v>1368000</v>
      </c>
      <c r="C214" s="89" t="s">
        <v>36</v>
      </c>
      <c r="D214" s="89" t="s">
        <v>827</v>
      </c>
      <c r="E214" s="89" t="s">
        <v>37</v>
      </c>
      <c r="F214" s="87" t="s">
        <v>1650</v>
      </c>
      <c r="G214" s="89" t="s">
        <v>38</v>
      </c>
      <c r="H214" s="2076" t="s">
        <v>1640</v>
      </c>
      <c r="I214" s="225" t="s">
        <v>325</v>
      </c>
      <c r="J214" s="160">
        <v>700</v>
      </c>
      <c r="K214" s="468">
        <v>1368000</v>
      </c>
      <c r="L214" s="1583">
        <v>798</v>
      </c>
      <c r="M214" s="1508">
        <v>1368000</v>
      </c>
      <c r="N214" s="1583">
        <v>1077</v>
      </c>
      <c r="O214" s="1610">
        <v>1368000</v>
      </c>
      <c r="P214" s="2002">
        <v>249</v>
      </c>
      <c r="Q214" s="225"/>
      <c r="R214" s="789"/>
      <c r="S214" s="166"/>
      <c r="T214" s="166"/>
      <c r="U214" s="789"/>
      <c r="V214" s="166"/>
      <c r="W214" s="166"/>
      <c r="X214" s="166"/>
      <c r="Y214" s="166"/>
      <c r="Z214" s="166"/>
      <c r="AA214" s="166"/>
      <c r="AB214" s="1604">
        <v>1365500</v>
      </c>
      <c r="AC214" s="695">
        <f t="shared" si="46"/>
        <v>1365500</v>
      </c>
      <c r="AD214" s="701">
        <f t="shared" si="47"/>
        <v>2500</v>
      </c>
      <c r="AE214" s="1428"/>
      <c r="AF214" s="887" t="s">
        <v>325</v>
      </c>
      <c r="AG214" s="310" t="s">
        <v>1288</v>
      </c>
      <c r="AH214" s="316" t="s">
        <v>631</v>
      </c>
      <c r="AI214" s="498">
        <f t="shared" si="43"/>
        <v>249</v>
      </c>
      <c r="AJ214" s="304">
        <v>1368000</v>
      </c>
      <c r="AK214" s="871">
        <f t="shared" si="44"/>
        <v>0</v>
      </c>
      <c r="AL214" s="918"/>
      <c r="AM214" s="302">
        <f t="shared" si="45"/>
        <v>0</v>
      </c>
    </row>
    <row r="215" spans="1:39" s="8" customFormat="1">
      <c r="A215" s="88" t="s">
        <v>40</v>
      </c>
      <c r="B215" s="169">
        <f t="shared" si="41"/>
        <v>66880000</v>
      </c>
      <c r="C215" s="89" t="s">
        <v>36</v>
      </c>
      <c r="D215" s="89" t="s">
        <v>827</v>
      </c>
      <c r="E215" s="89" t="s">
        <v>37</v>
      </c>
      <c r="F215" s="87" t="s">
        <v>1650</v>
      </c>
      <c r="G215" s="89" t="s">
        <v>38</v>
      </c>
      <c r="H215" s="2076" t="s">
        <v>1640</v>
      </c>
      <c r="I215" s="2059">
        <v>30</v>
      </c>
      <c r="J215" s="160">
        <v>0</v>
      </c>
      <c r="K215" s="468"/>
      <c r="L215" s="1583">
        <v>156</v>
      </c>
      <c r="M215" s="1508">
        <v>66880000</v>
      </c>
      <c r="N215" s="1583">
        <v>168</v>
      </c>
      <c r="O215" s="1604">
        <v>66880000</v>
      </c>
      <c r="P215" s="1993">
        <v>154</v>
      </c>
      <c r="Q215" s="225"/>
      <c r="R215" s="166"/>
      <c r="S215" s="166">
        <v>6282667</v>
      </c>
      <c r="T215" s="166">
        <f>VLOOKUP(N215,[4]Hoja2!N$66:T$128,7,0)</f>
        <v>6080000</v>
      </c>
      <c r="U215" s="789">
        <v>6080000</v>
      </c>
      <c r="V215" s="166">
        <v>6080000</v>
      </c>
      <c r="W215" s="166">
        <v>6080000</v>
      </c>
      <c r="X215" s="166">
        <v>6080000</v>
      </c>
      <c r="Y215" s="166">
        <v>6080000</v>
      </c>
      <c r="Z215" s="166">
        <v>6080000</v>
      </c>
      <c r="AA215" s="166">
        <v>6080000</v>
      </c>
      <c r="AB215" s="1604">
        <f>6080000+5877333</f>
        <v>11957333</v>
      </c>
      <c r="AC215" s="695">
        <f t="shared" si="46"/>
        <v>66880000</v>
      </c>
      <c r="AD215" s="701">
        <f t="shared" si="47"/>
        <v>0</v>
      </c>
      <c r="AE215" s="1428"/>
      <c r="AF215" s="887">
        <v>30</v>
      </c>
      <c r="AG215" s="310" t="s">
        <v>236</v>
      </c>
      <c r="AH215" s="268" t="s">
        <v>1387</v>
      </c>
      <c r="AI215" s="498">
        <f t="shared" si="43"/>
        <v>154</v>
      </c>
      <c r="AJ215" s="304">
        <v>66880000</v>
      </c>
      <c r="AK215" s="871">
        <f t="shared" si="44"/>
        <v>0</v>
      </c>
      <c r="AL215" s="918"/>
      <c r="AM215" s="302">
        <f t="shared" si="45"/>
        <v>0</v>
      </c>
    </row>
    <row r="216" spans="1:39" s="8" customFormat="1">
      <c r="A216" s="88" t="s">
        <v>40</v>
      </c>
      <c r="B216" s="169">
        <f t="shared" si="41"/>
        <v>95260000</v>
      </c>
      <c r="C216" s="89" t="s">
        <v>36</v>
      </c>
      <c r="D216" s="89" t="s">
        <v>827</v>
      </c>
      <c r="E216" s="89" t="s">
        <v>37</v>
      </c>
      <c r="F216" s="87" t="s">
        <v>1650</v>
      </c>
      <c r="G216" s="89" t="s">
        <v>38</v>
      </c>
      <c r="H216" s="2076" t="s">
        <v>1640</v>
      </c>
      <c r="I216" s="2059">
        <v>31</v>
      </c>
      <c r="J216" s="160">
        <v>0</v>
      </c>
      <c r="K216" s="468"/>
      <c r="L216" s="1583">
        <v>103</v>
      </c>
      <c r="M216" s="1508">
        <v>95260000</v>
      </c>
      <c r="N216" s="1583">
        <v>115</v>
      </c>
      <c r="O216" s="1604">
        <v>95260000</v>
      </c>
      <c r="P216" s="1993">
        <v>106</v>
      </c>
      <c r="Q216" s="225"/>
      <c r="R216" s="166">
        <v>2309333</v>
      </c>
      <c r="S216" s="166">
        <v>8660000</v>
      </c>
      <c r="T216" s="166">
        <f>VLOOKUP(N216,[4]Hoja2!N$66:T$128,7,0)</f>
        <v>8660000</v>
      </c>
      <c r="U216" s="166">
        <v>8660000</v>
      </c>
      <c r="V216" s="166">
        <v>8660000</v>
      </c>
      <c r="W216" s="166">
        <v>8660000</v>
      </c>
      <c r="X216" s="166">
        <v>8660000</v>
      </c>
      <c r="Y216" s="166">
        <v>8660000</v>
      </c>
      <c r="Z216" s="166">
        <v>8660000</v>
      </c>
      <c r="AA216" s="166">
        <v>8660000</v>
      </c>
      <c r="AB216" s="1604">
        <f>8660000+6350667</f>
        <v>15010667</v>
      </c>
      <c r="AC216" s="695">
        <f t="shared" si="46"/>
        <v>95260000</v>
      </c>
      <c r="AD216" s="701">
        <f t="shared" si="47"/>
        <v>0</v>
      </c>
      <c r="AE216" s="1428"/>
      <c r="AF216" s="887">
        <v>31</v>
      </c>
      <c r="AG216" s="310" t="s">
        <v>237</v>
      </c>
      <c r="AH216" s="268" t="s">
        <v>1388</v>
      </c>
      <c r="AI216" s="498">
        <f t="shared" si="43"/>
        <v>106</v>
      </c>
      <c r="AJ216" s="304">
        <v>95260000</v>
      </c>
      <c r="AK216" s="871">
        <f t="shared" si="44"/>
        <v>0</v>
      </c>
      <c r="AL216" s="918"/>
      <c r="AM216" s="302">
        <f t="shared" si="45"/>
        <v>0</v>
      </c>
    </row>
    <row r="217" spans="1:39" s="8" customFormat="1">
      <c r="A217" s="88" t="s">
        <v>40</v>
      </c>
      <c r="B217" s="169">
        <f t="shared" si="41"/>
        <v>2309333</v>
      </c>
      <c r="C217" s="89" t="s">
        <v>36</v>
      </c>
      <c r="D217" s="89" t="s">
        <v>827</v>
      </c>
      <c r="E217" s="89" t="s">
        <v>37</v>
      </c>
      <c r="F217" s="87" t="s">
        <v>1650</v>
      </c>
      <c r="G217" s="89" t="s">
        <v>38</v>
      </c>
      <c r="H217" s="2076" t="s">
        <v>1640</v>
      </c>
      <c r="I217" s="2059" t="s">
        <v>325</v>
      </c>
      <c r="J217" s="160">
        <v>720</v>
      </c>
      <c r="K217" s="468">
        <v>2309333</v>
      </c>
      <c r="L217" s="1583">
        <v>827</v>
      </c>
      <c r="M217" s="1508">
        <v>2309333</v>
      </c>
      <c r="N217" s="1583">
        <v>1119</v>
      </c>
      <c r="O217" s="1604">
        <v>2309333</v>
      </c>
      <c r="P217" s="1993">
        <v>106</v>
      </c>
      <c r="Q217" s="225"/>
      <c r="R217" s="166"/>
      <c r="S217" s="166"/>
      <c r="T217" s="166"/>
      <c r="U217" s="166"/>
      <c r="V217" s="166"/>
      <c r="W217" s="166"/>
      <c r="X217" s="166"/>
      <c r="Y217" s="166"/>
      <c r="Z217" s="166"/>
      <c r="AA217" s="166"/>
      <c r="AB217" s="1604">
        <v>2309333</v>
      </c>
      <c r="AC217" s="695">
        <f t="shared" si="46"/>
        <v>2309333</v>
      </c>
      <c r="AD217" s="701">
        <f t="shared" si="47"/>
        <v>0</v>
      </c>
      <c r="AE217" s="1428"/>
      <c r="AF217" s="887" t="s">
        <v>325</v>
      </c>
      <c r="AG217" s="310" t="s">
        <v>1389</v>
      </c>
      <c r="AH217" s="268" t="s">
        <v>1388</v>
      </c>
      <c r="AI217" s="498">
        <f t="shared" si="43"/>
        <v>106</v>
      </c>
      <c r="AJ217" s="304">
        <v>2309333</v>
      </c>
      <c r="AK217" s="871">
        <f t="shared" si="44"/>
        <v>0</v>
      </c>
      <c r="AL217" s="918"/>
      <c r="AM217" s="302">
        <f t="shared" si="45"/>
        <v>0</v>
      </c>
    </row>
    <row r="218" spans="1:39" s="8" customFormat="1">
      <c r="A218" s="88" t="s">
        <v>40</v>
      </c>
      <c r="B218" s="169">
        <f t="shared" si="41"/>
        <v>72820000</v>
      </c>
      <c r="C218" s="89" t="s">
        <v>36</v>
      </c>
      <c r="D218" s="89" t="s">
        <v>827</v>
      </c>
      <c r="E218" s="89" t="s">
        <v>37</v>
      </c>
      <c r="F218" s="87" t="s">
        <v>1650</v>
      </c>
      <c r="G218" s="89" t="s">
        <v>38</v>
      </c>
      <c r="H218" s="2076" t="s">
        <v>1640</v>
      </c>
      <c r="I218" s="2059">
        <v>32</v>
      </c>
      <c r="J218" s="160">
        <v>0</v>
      </c>
      <c r="K218" s="468"/>
      <c r="L218" s="1583">
        <v>79</v>
      </c>
      <c r="M218" s="1508">
        <v>72820000</v>
      </c>
      <c r="N218" s="1583">
        <v>129</v>
      </c>
      <c r="O218" s="1604">
        <v>72820000</v>
      </c>
      <c r="P218" s="1993">
        <v>41</v>
      </c>
      <c r="Q218" s="225"/>
      <c r="R218" s="166">
        <v>1986000</v>
      </c>
      <c r="S218" s="166">
        <v>6620000</v>
      </c>
      <c r="T218" s="166">
        <f>VLOOKUP(N218,[4]Hoja2!N$66:T$128,7,0)</f>
        <v>6620000</v>
      </c>
      <c r="U218" s="166">
        <v>6620000</v>
      </c>
      <c r="V218" s="166">
        <v>6620000</v>
      </c>
      <c r="W218" s="166">
        <v>6620000</v>
      </c>
      <c r="X218" s="166"/>
      <c r="Y218" s="166">
        <v>3310000</v>
      </c>
      <c r="Z218" s="166">
        <v>6620000</v>
      </c>
      <c r="AA218" s="166">
        <v>6620000</v>
      </c>
      <c r="AB218" s="1604">
        <f>6620000+6620000</f>
        <v>13240000</v>
      </c>
      <c r="AC218" s="695">
        <f t="shared" si="46"/>
        <v>64876000</v>
      </c>
      <c r="AD218" s="701">
        <f t="shared" si="47"/>
        <v>7944000</v>
      </c>
      <c r="AE218" s="1428"/>
      <c r="AF218" s="887">
        <v>32</v>
      </c>
      <c r="AG218" s="310" t="s">
        <v>238</v>
      </c>
      <c r="AH218" s="268" t="str">
        <f>VLOOKUP(N218,[5]Hoja2!J$141:N$168,5,0)</f>
        <v>CATALINA  CAVELIER ADARVE</v>
      </c>
      <c r="AI218" s="498">
        <f t="shared" si="43"/>
        <v>41</v>
      </c>
      <c r="AJ218" s="304">
        <v>72820000</v>
      </c>
      <c r="AK218" s="871">
        <f t="shared" si="44"/>
        <v>0</v>
      </c>
      <c r="AL218" s="918"/>
      <c r="AM218" s="302">
        <f t="shared" si="45"/>
        <v>0</v>
      </c>
    </row>
    <row r="219" spans="1:39" s="8" customFormat="1">
      <c r="A219" s="88" t="s">
        <v>40</v>
      </c>
      <c r="B219" s="169">
        <f t="shared" si="41"/>
        <v>16740000</v>
      </c>
      <c r="C219" s="89" t="s">
        <v>36</v>
      </c>
      <c r="D219" s="89" t="s">
        <v>827</v>
      </c>
      <c r="E219" s="89" t="s">
        <v>37</v>
      </c>
      <c r="F219" s="87" t="s">
        <v>1650</v>
      </c>
      <c r="G219" s="89" t="s">
        <v>38</v>
      </c>
      <c r="H219" s="2076" t="s">
        <v>1640</v>
      </c>
      <c r="I219" s="2059">
        <v>33</v>
      </c>
      <c r="J219" s="160">
        <v>0</v>
      </c>
      <c r="K219" s="468"/>
      <c r="L219" s="1583">
        <v>247</v>
      </c>
      <c r="M219" s="1508">
        <v>16740000</v>
      </c>
      <c r="N219" s="1583">
        <f>VLOOKUP(L219,[6]RP!I$194:J$247,2,0)</f>
        <v>277</v>
      </c>
      <c r="O219" s="1604">
        <f>VLOOKUP(N219,[6]RP!J$194:V$247,13,0)</f>
        <v>16740000</v>
      </c>
      <c r="P219" s="2002">
        <v>237</v>
      </c>
      <c r="Q219" s="225"/>
      <c r="R219" s="789"/>
      <c r="S219" s="166">
        <v>3534000</v>
      </c>
      <c r="T219" s="166">
        <f>VLOOKUP(N219,[4]Hoja2!N$66:T$128,7,0)</f>
        <v>5580000</v>
      </c>
      <c r="U219" s="166">
        <v>5580000</v>
      </c>
      <c r="V219" s="166">
        <v>2046000</v>
      </c>
      <c r="W219" s="166"/>
      <c r="X219" s="166"/>
      <c r="Y219" s="166"/>
      <c r="Z219" s="166"/>
      <c r="AA219" s="166"/>
      <c r="AB219" s="1604"/>
      <c r="AC219" s="695">
        <f t="shared" si="46"/>
        <v>16740000</v>
      </c>
      <c r="AD219" s="701">
        <f t="shared" si="47"/>
        <v>0</v>
      </c>
      <c r="AE219" s="1428"/>
      <c r="AF219" s="887">
        <v>33</v>
      </c>
      <c r="AG219" s="310" t="s">
        <v>239</v>
      </c>
      <c r="AH219" s="316" t="s">
        <v>644</v>
      </c>
      <c r="AI219" s="498">
        <f t="shared" si="43"/>
        <v>237</v>
      </c>
      <c r="AJ219" s="304">
        <f>61380000-44640000</f>
        <v>16740000</v>
      </c>
      <c r="AK219" s="871">
        <f t="shared" si="44"/>
        <v>0</v>
      </c>
      <c r="AL219" s="918"/>
      <c r="AM219" s="302">
        <f t="shared" si="45"/>
        <v>0</v>
      </c>
    </row>
    <row r="220" spans="1:39" s="8" customFormat="1">
      <c r="A220" s="88" t="s">
        <v>40</v>
      </c>
      <c r="B220" s="169">
        <f t="shared" si="41"/>
        <v>8153864</v>
      </c>
      <c r="C220" s="89" t="s">
        <v>36</v>
      </c>
      <c r="D220" s="89" t="s">
        <v>827</v>
      </c>
      <c r="E220" s="89" t="s">
        <v>37</v>
      </c>
      <c r="F220" s="87" t="s">
        <v>1650</v>
      </c>
      <c r="G220" s="89" t="s">
        <v>38</v>
      </c>
      <c r="H220" s="2076" t="s">
        <v>1640</v>
      </c>
      <c r="I220" s="2059">
        <v>34</v>
      </c>
      <c r="J220" s="160">
        <v>0</v>
      </c>
      <c r="K220" s="468"/>
      <c r="L220" s="1583">
        <v>409</v>
      </c>
      <c r="M220" s="1508">
        <f>12000000-3846136</f>
        <v>8153864</v>
      </c>
      <c r="N220" s="1583">
        <v>577</v>
      </c>
      <c r="O220" s="1610">
        <v>8153864</v>
      </c>
      <c r="P220" s="2002">
        <v>371</v>
      </c>
      <c r="Q220" s="225"/>
      <c r="R220" s="789"/>
      <c r="S220" s="166"/>
      <c r="T220" s="166"/>
      <c r="U220" s="166"/>
      <c r="V220" s="166"/>
      <c r="W220" s="166"/>
      <c r="X220" s="166">
        <v>8153864</v>
      </c>
      <c r="Y220" s="166"/>
      <c r="Z220" s="166"/>
      <c r="AA220" s="166"/>
      <c r="AB220" s="1604"/>
      <c r="AC220" s="695">
        <f t="shared" si="46"/>
        <v>8153864</v>
      </c>
      <c r="AD220" s="701">
        <f t="shared" si="47"/>
        <v>0</v>
      </c>
      <c r="AE220" s="1428"/>
      <c r="AF220" s="887">
        <v>34</v>
      </c>
      <c r="AG220" s="310" t="s">
        <v>240</v>
      </c>
      <c r="AH220" s="316" t="s">
        <v>817</v>
      </c>
      <c r="AI220" s="498">
        <f t="shared" si="43"/>
        <v>371</v>
      </c>
      <c r="AJ220" s="304">
        <f>12000000-3846136</f>
        <v>8153864</v>
      </c>
      <c r="AK220" s="871">
        <f t="shared" si="44"/>
        <v>0</v>
      </c>
      <c r="AL220" s="918"/>
      <c r="AM220" s="302">
        <f t="shared" si="45"/>
        <v>0</v>
      </c>
    </row>
    <row r="221" spans="1:39" s="8" customFormat="1">
      <c r="A221" s="88" t="s">
        <v>40</v>
      </c>
      <c r="B221" s="169">
        <f t="shared" si="41"/>
        <v>4778776</v>
      </c>
      <c r="C221" s="89" t="s">
        <v>36</v>
      </c>
      <c r="D221" s="89" t="s">
        <v>827</v>
      </c>
      <c r="E221" s="89" t="s">
        <v>37</v>
      </c>
      <c r="F221" s="87" t="s">
        <v>1650</v>
      </c>
      <c r="G221" s="89" t="s">
        <v>38</v>
      </c>
      <c r="H221" s="2076" t="s">
        <v>1640</v>
      </c>
      <c r="I221" s="2059" t="s">
        <v>173</v>
      </c>
      <c r="J221" s="160"/>
      <c r="K221" s="468"/>
      <c r="L221" s="1583">
        <v>608</v>
      </c>
      <c r="M221" s="1508">
        <v>4778776</v>
      </c>
      <c r="N221" s="1583">
        <v>715</v>
      </c>
      <c r="O221" s="1508">
        <v>4778776</v>
      </c>
      <c r="P221" s="2002">
        <v>371</v>
      </c>
      <c r="Q221" s="225"/>
      <c r="R221" s="789"/>
      <c r="S221" s="166"/>
      <c r="T221" s="166"/>
      <c r="U221" s="166"/>
      <c r="V221" s="166"/>
      <c r="W221" s="166"/>
      <c r="X221" s="166"/>
      <c r="Y221" s="166">
        <v>4778776</v>
      </c>
      <c r="Z221" s="166"/>
      <c r="AA221" s="166"/>
      <c r="AB221" s="1604"/>
      <c r="AC221" s="695">
        <f t="shared" si="46"/>
        <v>4778776</v>
      </c>
      <c r="AD221" s="701">
        <f t="shared" si="47"/>
        <v>0</v>
      </c>
      <c r="AE221" s="1428"/>
      <c r="AF221" s="887" t="s">
        <v>325</v>
      </c>
      <c r="AG221" s="310" t="s">
        <v>1102</v>
      </c>
      <c r="AH221" s="316" t="s">
        <v>817</v>
      </c>
      <c r="AI221" s="498">
        <f t="shared" si="43"/>
        <v>371</v>
      </c>
      <c r="AJ221" s="304">
        <v>4778776</v>
      </c>
      <c r="AK221" s="871">
        <f t="shared" si="44"/>
        <v>0</v>
      </c>
      <c r="AL221" s="918"/>
      <c r="AM221" s="302">
        <f t="shared" si="45"/>
        <v>0</v>
      </c>
    </row>
    <row r="222" spans="1:39" s="8" customFormat="1">
      <c r="A222" s="88" t="s">
        <v>40</v>
      </c>
      <c r="B222" s="169">
        <f t="shared" si="41"/>
        <v>55000000</v>
      </c>
      <c r="C222" s="89" t="s">
        <v>36</v>
      </c>
      <c r="D222" s="89" t="s">
        <v>827</v>
      </c>
      <c r="E222" s="89" t="s">
        <v>37</v>
      </c>
      <c r="F222" s="87" t="s">
        <v>1650</v>
      </c>
      <c r="G222" s="89" t="s">
        <v>38</v>
      </c>
      <c r="H222" s="2076" t="s">
        <v>1640</v>
      </c>
      <c r="I222" s="2059">
        <v>35</v>
      </c>
      <c r="J222" s="160">
        <v>0</v>
      </c>
      <c r="K222" s="468"/>
      <c r="L222" s="1583">
        <v>191</v>
      </c>
      <c r="M222" s="1508">
        <v>55000000</v>
      </c>
      <c r="N222" s="1583">
        <v>192</v>
      </c>
      <c r="O222" s="1604">
        <v>55000000</v>
      </c>
      <c r="P222" s="1993">
        <v>170</v>
      </c>
      <c r="Q222" s="225"/>
      <c r="R222" s="166"/>
      <c r="S222" s="166">
        <v>5000000</v>
      </c>
      <c r="T222" s="166">
        <f>VLOOKUP(N222,[4]Hoja2!N$66:T$128,7,0)</f>
        <v>5000000</v>
      </c>
      <c r="U222" s="166">
        <v>5000000</v>
      </c>
      <c r="V222" s="166">
        <v>5000000</v>
      </c>
      <c r="W222" s="166">
        <v>5000000</v>
      </c>
      <c r="X222" s="166">
        <v>5000000</v>
      </c>
      <c r="Y222" s="166">
        <v>5000000</v>
      </c>
      <c r="Z222" s="166">
        <v>5000000</v>
      </c>
      <c r="AA222" s="166">
        <v>5000000</v>
      </c>
      <c r="AB222" s="1604">
        <f>5000000+5000000</f>
        <v>10000000</v>
      </c>
      <c r="AC222" s="695">
        <f t="shared" si="46"/>
        <v>55000000</v>
      </c>
      <c r="AD222" s="701">
        <f t="shared" si="47"/>
        <v>0</v>
      </c>
      <c r="AE222" s="1428"/>
      <c r="AF222" s="887">
        <v>35</v>
      </c>
      <c r="AG222" s="310" t="s">
        <v>241</v>
      </c>
      <c r="AH222" s="268" t="str">
        <f>VLOOKUP(N222,[5]Hoja2!J$141:N$168,5,0)</f>
        <v>CONSTANZA  MEDINA DIAZ</v>
      </c>
      <c r="AI222" s="498">
        <f t="shared" si="43"/>
        <v>170</v>
      </c>
      <c r="AJ222" s="304">
        <v>55000000</v>
      </c>
      <c r="AK222" s="871">
        <f t="shared" si="44"/>
        <v>0</v>
      </c>
      <c r="AL222" s="918"/>
      <c r="AM222" s="302">
        <f t="shared" si="45"/>
        <v>0</v>
      </c>
    </row>
    <row r="223" spans="1:39" s="8" customFormat="1">
      <c r="A223" s="88" t="s">
        <v>40</v>
      </c>
      <c r="B223" s="169">
        <f t="shared" si="41"/>
        <v>65560000</v>
      </c>
      <c r="C223" s="89" t="s">
        <v>36</v>
      </c>
      <c r="D223" s="89" t="s">
        <v>827</v>
      </c>
      <c r="E223" s="89" t="s">
        <v>37</v>
      </c>
      <c r="F223" s="87" t="s">
        <v>1650</v>
      </c>
      <c r="G223" s="89" t="s">
        <v>38</v>
      </c>
      <c r="H223" s="2076" t="s">
        <v>1640</v>
      </c>
      <c r="I223" s="2059">
        <v>43</v>
      </c>
      <c r="J223" s="160">
        <v>0</v>
      </c>
      <c r="K223" s="468"/>
      <c r="L223" s="1583">
        <v>157</v>
      </c>
      <c r="M223" s="1508">
        <v>65560000</v>
      </c>
      <c r="N223" s="1583">
        <v>164</v>
      </c>
      <c r="O223" s="1604">
        <v>65560000</v>
      </c>
      <c r="P223" s="1993">
        <v>146</v>
      </c>
      <c r="Q223" s="225"/>
      <c r="R223" s="166"/>
      <c r="S223" s="166">
        <v>6158667</v>
      </c>
      <c r="T223" s="166">
        <f>VLOOKUP(N223,[4]Hoja2!N$66:T$128,7,0)</f>
        <v>5960000</v>
      </c>
      <c r="U223" s="166">
        <v>5960000</v>
      </c>
      <c r="V223" s="166">
        <v>5960000</v>
      </c>
      <c r="W223" s="166">
        <v>5960000</v>
      </c>
      <c r="X223" s="166">
        <v>5960000</v>
      </c>
      <c r="Y223" s="166">
        <v>5960000</v>
      </c>
      <c r="Z223" s="166">
        <v>5960000</v>
      </c>
      <c r="AA223" s="166">
        <v>5960000</v>
      </c>
      <c r="AB223" s="1604">
        <f>5960000+5761333</f>
        <v>11721333</v>
      </c>
      <c r="AC223" s="695">
        <f t="shared" si="46"/>
        <v>65560000</v>
      </c>
      <c r="AD223" s="701">
        <f t="shared" si="47"/>
        <v>0</v>
      </c>
      <c r="AE223" s="1428"/>
      <c r="AF223" s="887">
        <v>43</v>
      </c>
      <c r="AG223" s="310" t="s">
        <v>242</v>
      </c>
      <c r="AH223" s="268" t="str">
        <f>VLOOKUP(N223,[5]Hoja2!J$141:N$168,5,0)</f>
        <v>DIEGO ANDRES MUÑOZ CASALLAS</v>
      </c>
      <c r="AI223" s="498">
        <f t="shared" si="43"/>
        <v>146</v>
      </c>
      <c r="AJ223" s="304">
        <v>65560000</v>
      </c>
      <c r="AK223" s="871">
        <f t="shared" si="44"/>
        <v>0</v>
      </c>
      <c r="AL223" s="918"/>
      <c r="AM223" s="302">
        <f t="shared" si="45"/>
        <v>0</v>
      </c>
    </row>
    <row r="224" spans="1:39" s="8" customFormat="1">
      <c r="A224" s="88" t="s">
        <v>40</v>
      </c>
      <c r="B224" s="169">
        <f t="shared" si="41"/>
        <v>88000000</v>
      </c>
      <c r="C224" s="89" t="s">
        <v>36</v>
      </c>
      <c r="D224" s="89" t="s">
        <v>827</v>
      </c>
      <c r="E224" s="89" t="s">
        <v>37</v>
      </c>
      <c r="F224" s="87" t="s">
        <v>1650</v>
      </c>
      <c r="G224" s="89" t="s">
        <v>38</v>
      </c>
      <c r="H224" s="2076" t="s">
        <v>1640</v>
      </c>
      <c r="I224" s="2059">
        <v>44</v>
      </c>
      <c r="J224" s="160">
        <v>0</v>
      </c>
      <c r="K224" s="468"/>
      <c r="L224" s="1583">
        <v>227</v>
      </c>
      <c r="M224" s="1508">
        <v>88000000</v>
      </c>
      <c r="N224" s="1583">
        <v>202</v>
      </c>
      <c r="O224" s="1604">
        <v>88000000</v>
      </c>
      <c r="P224" s="1993">
        <v>181</v>
      </c>
      <c r="Q224" s="225"/>
      <c r="R224" s="166"/>
      <c r="S224" s="166">
        <v>8000000</v>
      </c>
      <c r="T224" s="166">
        <f>VLOOKUP(N224,[4]Hoja2!N$66:T$128,7,0)</f>
        <v>8000000</v>
      </c>
      <c r="U224" s="166">
        <v>8000000</v>
      </c>
      <c r="V224" s="166">
        <v>8000000</v>
      </c>
      <c r="W224" s="166">
        <v>8000000</v>
      </c>
      <c r="X224" s="166">
        <v>8000000</v>
      </c>
      <c r="Y224" s="166">
        <v>8000000</v>
      </c>
      <c r="Z224" s="166">
        <v>8000000</v>
      </c>
      <c r="AA224" s="166">
        <v>8000000</v>
      </c>
      <c r="AB224" s="1604">
        <f>8000000+8000000</f>
        <v>16000000</v>
      </c>
      <c r="AC224" s="695">
        <f t="shared" si="46"/>
        <v>88000000</v>
      </c>
      <c r="AD224" s="701">
        <f t="shared" si="47"/>
        <v>0</v>
      </c>
      <c r="AE224" s="1428"/>
      <c r="AF224" s="887">
        <v>44</v>
      </c>
      <c r="AG224" s="310" t="s">
        <v>243</v>
      </c>
      <c r="AH224" s="268" t="str">
        <f>VLOOKUP(N224,[5]Hoja2!J$141:N$168,5,0)</f>
        <v>DIEGO LUIS ROBAYO DE ANGULO</v>
      </c>
      <c r="AI224" s="498">
        <f t="shared" si="43"/>
        <v>181</v>
      </c>
      <c r="AJ224" s="304">
        <v>88000000</v>
      </c>
      <c r="AK224" s="871">
        <f t="shared" si="44"/>
        <v>0</v>
      </c>
      <c r="AL224" s="918"/>
      <c r="AM224" s="302">
        <f t="shared" si="45"/>
        <v>0</v>
      </c>
    </row>
    <row r="225" spans="1:39" s="8" customFormat="1">
      <c r="A225" s="88" t="s">
        <v>40</v>
      </c>
      <c r="B225" s="169">
        <f t="shared" si="41"/>
        <v>16000000</v>
      </c>
      <c r="C225" s="89" t="s">
        <v>36</v>
      </c>
      <c r="D225" s="89" t="s">
        <v>827</v>
      </c>
      <c r="E225" s="89" t="s">
        <v>37</v>
      </c>
      <c r="F225" s="87" t="s">
        <v>1650</v>
      </c>
      <c r="G225" s="89" t="s">
        <v>38</v>
      </c>
      <c r="H225" s="2076" t="s">
        <v>1640</v>
      </c>
      <c r="I225" s="2059">
        <v>45</v>
      </c>
      <c r="J225" s="160">
        <v>589</v>
      </c>
      <c r="K225" s="468">
        <v>16000000</v>
      </c>
      <c r="L225" s="1583">
        <v>674</v>
      </c>
      <c r="M225" s="1508">
        <v>16000000</v>
      </c>
      <c r="N225" s="1583">
        <v>866</v>
      </c>
      <c r="O225" s="1610">
        <v>16000000</v>
      </c>
      <c r="P225" s="2002">
        <v>471</v>
      </c>
      <c r="Q225" s="225"/>
      <c r="R225" s="789"/>
      <c r="S225" s="166"/>
      <c r="T225" s="166"/>
      <c r="U225" s="166"/>
      <c r="V225" s="166"/>
      <c r="W225" s="166"/>
      <c r="X225" s="166"/>
      <c r="Y225" s="166"/>
      <c r="Z225" s="166"/>
      <c r="AA225" s="166">
        <v>5600000</v>
      </c>
      <c r="AB225" s="1604">
        <f>5600000+4800000</f>
        <v>10400000</v>
      </c>
      <c r="AC225" s="695">
        <f t="shared" si="46"/>
        <v>16000000</v>
      </c>
      <c r="AD225" s="701">
        <f t="shared" si="47"/>
        <v>0</v>
      </c>
      <c r="AE225" s="1428"/>
      <c r="AF225" s="887">
        <v>45</v>
      </c>
      <c r="AG225" s="310" t="s">
        <v>244</v>
      </c>
      <c r="AH225" s="316" t="s">
        <v>1355</v>
      </c>
      <c r="AI225" s="498">
        <f t="shared" si="43"/>
        <v>471</v>
      </c>
      <c r="AJ225" s="304">
        <v>16000000</v>
      </c>
      <c r="AK225" s="871">
        <f t="shared" si="44"/>
        <v>0</v>
      </c>
      <c r="AL225" s="918"/>
      <c r="AM225" s="302">
        <f t="shared" si="45"/>
        <v>0</v>
      </c>
    </row>
    <row r="226" spans="1:39" s="8" customFormat="1">
      <c r="A226" s="88" t="s">
        <v>40</v>
      </c>
      <c r="B226" s="169">
        <f t="shared" si="41"/>
        <v>42000000</v>
      </c>
      <c r="C226" s="89" t="s">
        <v>36</v>
      </c>
      <c r="D226" s="89" t="s">
        <v>827</v>
      </c>
      <c r="E226" s="89" t="s">
        <v>37</v>
      </c>
      <c r="F226" s="87" t="s">
        <v>1650</v>
      </c>
      <c r="G226" s="89" t="s">
        <v>38</v>
      </c>
      <c r="H226" s="2076" t="s">
        <v>1640</v>
      </c>
      <c r="I226" s="2059">
        <v>47</v>
      </c>
      <c r="J226" s="160">
        <v>0</v>
      </c>
      <c r="K226" s="468"/>
      <c r="L226" s="1583">
        <v>222</v>
      </c>
      <c r="M226" s="1508">
        <f>49500000-7500000</f>
        <v>42000000</v>
      </c>
      <c r="N226" s="1583">
        <v>282</v>
      </c>
      <c r="O226" s="1604">
        <f>VLOOKUP(N226,[6]RP!J$194:V$247,13,0)</f>
        <v>42000000</v>
      </c>
      <c r="P226" s="2002">
        <v>244</v>
      </c>
      <c r="Q226" s="225"/>
      <c r="R226" s="789"/>
      <c r="S226" s="166">
        <v>1600000</v>
      </c>
      <c r="T226" s="166">
        <f>VLOOKUP(N226,[4]Hoja2!N$66:T$128,7,0)</f>
        <v>4000000</v>
      </c>
      <c r="U226" s="166">
        <v>4000000</v>
      </c>
      <c r="V226" s="166">
        <v>4000000</v>
      </c>
      <c r="W226" s="166">
        <v>4000000</v>
      </c>
      <c r="X226" s="166">
        <v>4000000</v>
      </c>
      <c r="Y226" s="166">
        <v>4000000</v>
      </c>
      <c r="Z226" s="166">
        <v>4000000</v>
      </c>
      <c r="AA226" s="166">
        <v>4000000</v>
      </c>
      <c r="AB226" s="1604">
        <f>4000000+4000000</f>
        <v>8000000</v>
      </c>
      <c r="AC226" s="695">
        <f t="shared" si="46"/>
        <v>41600000</v>
      </c>
      <c r="AD226" s="701">
        <f t="shared" si="47"/>
        <v>400000</v>
      </c>
      <c r="AE226" s="1428"/>
      <c r="AF226" s="887">
        <v>47</v>
      </c>
      <c r="AG226" s="310" t="s">
        <v>245</v>
      </c>
      <c r="AH226" s="316" t="s">
        <v>643</v>
      </c>
      <c r="AI226" s="498">
        <f t="shared" si="43"/>
        <v>244</v>
      </c>
      <c r="AJ226" s="304">
        <f>49500000-7500000</f>
        <v>42000000</v>
      </c>
      <c r="AK226" s="871">
        <f t="shared" si="44"/>
        <v>0</v>
      </c>
      <c r="AL226" s="918"/>
      <c r="AM226" s="302">
        <f t="shared" si="45"/>
        <v>0</v>
      </c>
    </row>
    <row r="227" spans="1:39" s="8" customFormat="1">
      <c r="A227" s="88" t="s">
        <v>40</v>
      </c>
      <c r="B227" s="169">
        <f t="shared" si="41"/>
        <v>41580000</v>
      </c>
      <c r="C227" s="89" t="s">
        <v>36</v>
      </c>
      <c r="D227" s="89" t="s">
        <v>827</v>
      </c>
      <c r="E227" s="89" t="s">
        <v>37</v>
      </c>
      <c r="F227" s="87" t="s">
        <v>1650</v>
      </c>
      <c r="G227" s="89" t="s">
        <v>38</v>
      </c>
      <c r="H227" s="2076" t="s">
        <v>1640</v>
      </c>
      <c r="I227" s="2059">
        <v>48</v>
      </c>
      <c r="J227" s="160">
        <v>0</v>
      </c>
      <c r="K227" s="468"/>
      <c r="L227" s="1583">
        <v>223</v>
      </c>
      <c r="M227" s="1508">
        <v>41580000</v>
      </c>
      <c r="N227" s="1583">
        <v>190</v>
      </c>
      <c r="O227" s="1604">
        <v>41580000</v>
      </c>
      <c r="P227" s="1993">
        <v>187</v>
      </c>
      <c r="Q227" s="225"/>
      <c r="R227" s="166"/>
      <c r="S227" s="166">
        <v>3780000</v>
      </c>
      <c r="T227" s="166">
        <f>VLOOKUP(N227,[4]Hoja2!N$66:T$128,7,0)</f>
        <v>3780000</v>
      </c>
      <c r="U227" s="166">
        <v>3780000</v>
      </c>
      <c r="V227" s="166">
        <v>3780000</v>
      </c>
      <c r="W227" s="166">
        <v>3780000</v>
      </c>
      <c r="X227" s="166">
        <v>3780000</v>
      </c>
      <c r="Y227" s="166">
        <v>3780000</v>
      </c>
      <c r="Z227" s="166">
        <v>3780000</v>
      </c>
      <c r="AA227" s="166">
        <v>3780000</v>
      </c>
      <c r="AB227" s="1604">
        <f>3780000+3780000</f>
        <v>7560000</v>
      </c>
      <c r="AC227" s="695">
        <f t="shared" si="46"/>
        <v>41580000</v>
      </c>
      <c r="AD227" s="701">
        <f t="shared" si="47"/>
        <v>0</v>
      </c>
      <c r="AE227" s="1428"/>
      <c r="AF227" s="887">
        <v>48</v>
      </c>
      <c r="AG227" s="310" t="s">
        <v>246</v>
      </c>
      <c r="AH227" s="268" t="str">
        <f>VLOOKUP(N227,[5]Hoja2!J$141:N$168,5,0)</f>
        <v>edgar andres gutierrez sanchez</v>
      </c>
      <c r="AI227" s="498">
        <f t="shared" si="43"/>
        <v>187</v>
      </c>
      <c r="AJ227" s="304">
        <v>41580000</v>
      </c>
      <c r="AK227" s="871">
        <f t="shared" si="44"/>
        <v>0</v>
      </c>
      <c r="AL227" s="918"/>
      <c r="AM227" s="302">
        <f t="shared" si="45"/>
        <v>0</v>
      </c>
    </row>
    <row r="228" spans="1:39" s="8" customFormat="1">
      <c r="A228" s="88" t="s">
        <v>40</v>
      </c>
      <c r="B228" s="169">
        <f t="shared" si="41"/>
        <v>14630000</v>
      </c>
      <c r="C228" s="89" t="s">
        <v>36</v>
      </c>
      <c r="D228" s="89" t="s">
        <v>827</v>
      </c>
      <c r="E228" s="89" t="s">
        <v>37</v>
      </c>
      <c r="F228" s="87" t="s">
        <v>1650</v>
      </c>
      <c r="G228" s="89" t="s">
        <v>38</v>
      </c>
      <c r="H228" s="2076" t="s">
        <v>1640</v>
      </c>
      <c r="I228" s="2059">
        <v>49</v>
      </c>
      <c r="J228" s="160">
        <v>0</v>
      </c>
      <c r="K228" s="468"/>
      <c r="L228" s="1583">
        <v>263</v>
      </c>
      <c r="M228" s="1508">
        <f>45935000-31305000</f>
        <v>14630000</v>
      </c>
      <c r="N228" s="1583">
        <f>VLOOKUP(L228,[6]RP!I$194:J$247,2,0)</f>
        <v>268</v>
      </c>
      <c r="O228" s="1508">
        <f>45935000-31305000</f>
        <v>14630000</v>
      </c>
      <c r="P228" s="2002">
        <v>238</v>
      </c>
      <c r="Q228" s="225"/>
      <c r="R228" s="789"/>
      <c r="S228" s="166">
        <v>2090000</v>
      </c>
      <c r="T228" s="166">
        <v>3135000</v>
      </c>
      <c r="U228" s="166">
        <v>3135000</v>
      </c>
      <c r="V228" s="166">
        <v>3135000</v>
      </c>
      <c r="W228" s="166">
        <v>3135000</v>
      </c>
      <c r="X228" s="166"/>
      <c r="Y228" s="166"/>
      <c r="Z228" s="166"/>
      <c r="AA228" s="166"/>
      <c r="AB228" s="1604"/>
      <c r="AC228" s="695">
        <f t="shared" si="46"/>
        <v>14630000</v>
      </c>
      <c r="AD228" s="701">
        <f t="shared" si="47"/>
        <v>0</v>
      </c>
      <c r="AE228" s="1428"/>
      <c r="AF228" s="887">
        <v>49</v>
      </c>
      <c r="AG228" s="310" t="s">
        <v>247</v>
      </c>
      <c r="AH228" s="316" t="s">
        <v>633</v>
      </c>
      <c r="AI228" s="498">
        <f t="shared" si="43"/>
        <v>238</v>
      </c>
      <c r="AJ228" s="304">
        <v>45935000</v>
      </c>
      <c r="AK228" s="871">
        <f t="shared" si="44"/>
        <v>31305000</v>
      </c>
      <c r="AL228" s="918"/>
      <c r="AM228" s="302">
        <f t="shared" si="45"/>
        <v>31305000</v>
      </c>
    </row>
    <row r="229" spans="1:39" s="8" customFormat="1">
      <c r="A229" s="88" t="s">
        <v>40</v>
      </c>
      <c r="B229" s="169">
        <f t="shared" si="41"/>
        <v>19980000</v>
      </c>
      <c r="C229" s="89" t="s">
        <v>36</v>
      </c>
      <c r="D229" s="89" t="s">
        <v>827</v>
      </c>
      <c r="E229" s="89" t="s">
        <v>37</v>
      </c>
      <c r="F229" s="87" t="s">
        <v>1650</v>
      </c>
      <c r="G229" s="89" t="s">
        <v>38</v>
      </c>
      <c r="H229" s="2076" t="s">
        <v>1640</v>
      </c>
      <c r="I229" s="2059">
        <v>50</v>
      </c>
      <c r="J229" s="160">
        <v>0</v>
      </c>
      <c r="K229" s="468"/>
      <c r="L229" s="1583">
        <v>287</v>
      </c>
      <c r="M229" s="1508">
        <v>19980000</v>
      </c>
      <c r="N229" s="1583">
        <v>329</v>
      </c>
      <c r="O229" s="1610">
        <v>19980000</v>
      </c>
      <c r="P229" s="2002">
        <v>251</v>
      </c>
      <c r="Q229" s="225"/>
      <c r="R229" s="789"/>
      <c r="S229" s="166"/>
      <c r="T229" s="166">
        <f>VLOOKUP(N229,[4]Hoja2!N$66:T$128,7,0)</f>
        <v>3996000</v>
      </c>
      <c r="U229" s="166">
        <v>6660000</v>
      </c>
      <c r="V229" s="166">
        <v>6660000</v>
      </c>
      <c r="W229" s="166"/>
      <c r="X229" s="166"/>
      <c r="Y229" s="166"/>
      <c r="Z229" s="166">
        <v>2664000</v>
      </c>
      <c r="AA229" s="166"/>
      <c r="AB229" s="1604"/>
      <c r="AC229" s="695">
        <f t="shared" si="46"/>
        <v>19980000</v>
      </c>
      <c r="AD229" s="701">
        <f t="shared" si="47"/>
        <v>0</v>
      </c>
      <c r="AE229" s="1428"/>
      <c r="AF229" s="887">
        <v>50</v>
      </c>
      <c r="AG229" s="310" t="s">
        <v>248</v>
      </c>
      <c r="AH229" s="316" t="s">
        <v>778</v>
      </c>
      <c r="AI229" s="498">
        <f t="shared" si="43"/>
        <v>251</v>
      </c>
      <c r="AJ229" s="304">
        <v>19980000</v>
      </c>
      <c r="AK229" s="871">
        <f t="shared" si="44"/>
        <v>0</v>
      </c>
      <c r="AL229" s="918"/>
      <c r="AM229" s="302">
        <f t="shared" si="45"/>
        <v>0</v>
      </c>
    </row>
    <row r="230" spans="1:39" s="8" customFormat="1">
      <c r="A230" s="88" t="s">
        <v>40</v>
      </c>
      <c r="B230" s="169">
        <f t="shared" si="41"/>
        <v>46000000</v>
      </c>
      <c r="C230" s="89" t="s">
        <v>36</v>
      </c>
      <c r="D230" s="89" t="s">
        <v>827</v>
      </c>
      <c r="E230" s="89" t="s">
        <v>37</v>
      </c>
      <c r="F230" s="87" t="s">
        <v>1650</v>
      </c>
      <c r="G230" s="89" t="s">
        <v>38</v>
      </c>
      <c r="H230" s="2076" t="s">
        <v>1640</v>
      </c>
      <c r="I230" s="2059">
        <v>52</v>
      </c>
      <c r="J230" s="160">
        <v>0</v>
      </c>
      <c r="K230" s="468"/>
      <c r="L230" s="1583">
        <v>259</v>
      </c>
      <c r="M230" s="1508">
        <v>46000000</v>
      </c>
      <c r="N230" s="1583">
        <v>269</v>
      </c>
      <c r="O230" s="1604">
        <v>46000000</v>
      </c>
      <c r="P230" s="2002">
        <v>243</v>
      </c>
      <c r="Q230" s="225"/>
      <c r="R230" s="789"/>
      <c r="S230" s="166">
        <v>2453333</v>
      </c>
      <c r="T230" s="166">
        <f>VLOOKUP(N230,[4]Hoja2!N$66:T$128,7,0)</f>
        <v>4600000</v>
      </c>
      <c r="U230" s="166">
        <v>4600000</v>
      </c>
      <c r="V230" s="166">
        <v>4600000</v>
      </c>
      <c r="W230" s="166">
        <v>4600000</v>
      </c>
      <c r="X230" s="166">
        <v>4600000</v>
      </c>
      <c r="Y230" s="166">
        <v>4600000</v>
      </c>
      <c r="Z230" s="166">
        <v>4600000</v>
      </c>
      <c r="AA230" s="166">
        <v>4600000</v>
      </c>
      <c r="AB230" s="1604">
        <f>4600000+2146667</f>
        <v>6746667</v>
      </c>
      <c r="AC230" s="695">
        <f t="shared" si="46"/>
        <v>46000000</v>
      </c>
      <c r="AD230" s="701">
        <f t="shared" si="47"/>
        <v>0</v>
      </c>
      <c r="AE230" s="1428"/>
      <c r="AF230" s="887">
        <v>52</v>
      </c>
      <c r="AG230" s="310" t="s">
        <v>249</v>
      </c>
      <c r="AH230" s="316" t="s">
        <v>642</v>
      </c>
      <c r="AI230" s="498">
        <f t="shared" si="43"/>
        <v>243</v>
      </c>
      <c r="AJ230" s="304">
        <v>46000000</v>
      </c>
      <c r="AK230" s="871">
        <f t="shared" si="44"/>
        <v>0</v>
      </c>
      <c r="AL230" s="918"/>
      <c r="AM230" s="302">
        <f t="shared" si="45"/>
        <v>0</v>
      </c>
    </row>
    <row r="231" spans="1:39" s="8" customFormat="1">
      <c r="A231" s="88" t="s">
        <v>40</v>
      </c>
      <c r="B231" s="169">
        <f t="shared" si="41"/>
        <v>10000000</v>
      </c>
      <c r="C231" s="89" t="s">
        <v>36</v>
      </c>
      <c r="D231" s="89" t="s">
        <v>827</v>
      </c>
      <c r="E231" s="89" t="s">
        <v>37</v>
      </c>
      <c r="F231" s="87" t="s">
        <v>1650</v>
      </c>
      <c r="G231" s="89" t="s">
        <v>38</v>
      </c>
      <c r="H231" s="2076" t="s">
        <v>1640</v>
      </c>
      <c r="I231" s="2059">
        <v>54</v>
      </c>
      <c r="J231" s="160">
        <v>0</v>
      </c>
      <c r="K231" s="468"/>
      <c r="L231" s="1583">
        <v>266</v>
      </c>
      <c r="M231" s="1508">
        <v>10000000</v>
      </c>
      <c r="N231" s="1583">
        <v>295</v>
      </c>
      <c r="O231" s="1604">
        <v>10000000</v>
      </c>
      <c r="P231" s="2002">
        <v>253</v>
      </c>
      <c r="Q231" s="225"/>
      <c r="R231" s="789"/>
      <c r="S231" s="166">
        <v>400000</v>
      </c>
      <c r="T231" s="166">
        <f>VLOOKUP(N231,[4]Hoja2!N$66:T$128,7,0)</f>
        <v>1000000</v>
      </c>
      <c r="U231" s="166">
        <v>1000000</v>
      </c>
      <c r="V231" s="166">
        <v>1000000</v>
      </c>
      <c r="W231" s="166">
        <v>1000000</v>
      </c>
      <c r="X231" s="166">
        <v>1000000</v>
      </c>
      <c r="Y231" s="166">
        <v>1000000</v>
      </c>
      <c r="Z231" s="166">
        <v>1000000</v>
      </c>
      <c r="AA231" s="166">
        <v>1000000</v>
      </c>
      <c r="AB231" s="1604">
        <f>1000000+600000</f>
        <v>1600000</v>
      </c>
      <c r="AC231" s="695">
        <f t="shared" si="46"/>
        <v>10000000</v>
      </c>
      <c r="AD231" s="701">
        <f t="shared" si="47"/>
        <v>0</v>
      </c>
      <c r="AE231" s="1428"/>
      <c r="AF231" s="887">
        <v>54</v>
      </c>
      <c r="AG231" s="310" t="s">
        <v>250</v>
      </c>
      <c r="AH231" s="316" t="s">
        <v>641</v>
      </c>
      <c r="AI231" s="498">
        <f t="shared" si="43"/>
        <v>253</v>
      </c>
      <c r="AJ231" s="304">
        <v>10000000</v>
      </c>
      <c r="AK231" s="871">
        <f t="shared" si="44"/>
        <v>0</v>
      </c>
      <c r="AL231" s="918"/>
      <c r="AM231" s="302">
        <f t="shared" si="45"/>
        <v>0</v>
      </c>
    </row>
    <row r="232" spans="1:39" s="8" customFormat="1">
      <c r="A232" s="88" t="s">
        <v>40</v>
      </c>
      <c r="B232" s="169">
        <f t="shared" si="41"/>
        <v>39600000</v>
      </c>
      <c r="C232" s="89" t="s">
        <v>36</v>
      </c>
      <c r="D232" s="89" t="s">
        <v>827</v>
      </c>
      <c r="E232" s="89" t="s">
        <v>37</v>
      </c>
      <c r="F232" s="87" t="s">
        <v>1650</v>
      </c>
      <c r="G232" s="89" t="s">
        <v>38</v>
      </c>
      <c r="H232" s="2076" t="s">
        <v>1640</v>
      </c>
      <c r="I232" s="2059">
        <v>56</v>
      </c>
      <c r="J232" s="160">
        <v>0</v>
      </c>
      <c r="K232" s="468"/>
      <c r="L232" s="1583">
        <v>65</v>
      </c>
      <c r="M232" s="1508">
        <v>39600000</v>
      </c>
      <c r="N232" s="1583">
        <v>36</v>
      </c>
      <c r="O232" s="1604">
        <v>39600000</v>
      </c>
      <c r="P232" s="1993">
        <v>23</v>
      </c>
      <c r="Q232" s="225"/>
      <c r="R232" s="166">
        <v>1200000</v>
      </c>
      <c r="S232" s="166">
        <v>3600000</v>
      </c>
      <c r="T232" s="166">
        <f>VLOOKUP(N232,[4]Hoja2!N$66:T$128,7,0)</f>
        <v>3600000</v>
      </c>
      <c r="U232" s="789">
        <v>3600000</v>
      </c>
      <c r="V232" s="166">
        <v>3600000</v>
      </c>
      <c r="W232" s="166">
        <v>3600000</v>
      </c>
      <c r="X232" s="166">
        <v>3600000</v>
      </c>
      <c r="Y232" s="166">
        <v>3600000</v>
      </c>
      <c r="Z232" s="166">
        <v>3600000</v>
      </c>
      <c r="AA232" s="166">
        <v>3600000</v>
      </c>
      <c r="AB232" s="1604">
        <f>3600000+2400000</f>
        <v>6000000</v>
      </c>
      <c r="AC232" s="695">
        <f t="shared" si="46"/>
        <v>39600000</v>
      </c>
      <c r="AD232" s="701">
        <f t="shared" si="47"/>
        <v>0</v>
      </c>
      <c r="AE232" s="1428"/>
      <c r="AF232" s="887">
        <v>56</v>
      </c>
      <c r="AG232" s="310" t="s">
        <v>251</v>
      </c>
      <c r="AH232" s="268" t="str">
        <f>VLOOKUP(N232,[5]Hoja2!J$141:N$168,5,0)</f>
        <v>GLORIA LIDIA RODRIGUEZ CASTRO</v>
      </c>
      <c r="AI232" s="498">
        <f t="shared" si="43"/>
        <v>23</v>
      </c>
      <c r="AJ232" s="304">
        <v>39600000</v>
      </c>
      <c r="AK232" s="871">
        <f t="shared" si="44"/>
        <v>0</v>
      </c>
      <c r="AL232" s="918"/>
      <c r="AM232" s="302">
        <f t="shared" si="45"/>
        <v>0</v>
      </c>
    </row>
    <row r="233" spans="1:39" s="8" customFormat="1">
      <c r="A233" s="88" t="s">
        <v>40</v>
      </c>
      <c r="B233" s="169">
        <f t="shared" si="41"/>
        <v>70620000</v>
      </c>
      <c r="C233" s="89" t="s">
        <v>36</v>
      </c>
      <c r="D233" s="89" t="s">
        <v>827</v>
      </c>
      <c r="E233" s="89" t="s">
        <v>37</v>
      </c>
      <c r="F233" s="87" t="s">
        <v>1650</v>
      </c>
      <c r="G233" s="89" t="s">
        <v>38</v>
      </c>
      <c r="H233" s="2076" t="s">
        <v>1640</v>
      </c>
      <c r="I233" s="2059">
        <v>57</v>
      </c>
      <c r="J233" s="160">
        <v>0</v>
      </c>
      <c r="K233" s="468"/>
      <c r="L233" s="1583">
        <v>158</v>
      </c>
      <c r="M233" s="1508">
        <v>70620000</v>
      </c>
      <c r="N233" s="1583">
        <v>165</v>
      </c>
      <c r="O233" s="1604">
        <v>70620000</v>
      </c>
      <c r="P233" s="1993">
        <v>144</v>
      </c>
      <c r="Q233" s="225"/>
      <c r="R233" s="166"/>
      <c r="S233" s="166">
        <v>5136000</v>
      </c>
      <c r="T233" s="166">
        <f>VLOOKUP(N233,[4]Hoja2!N$66:T$128,7,0)</f>
        <v>6420000</v>
      </c>
      <c r="U233" s="166">
        <v>6420000</v>
      </c>
      <c r="V233" s="166">
        <v>6420000</v>
      </c>
      <c r="W233" s="166">
        <v>6420000</v>
      </c>
      <c r="X233" s="166">
        <v>6420000</v>
      </c>
      <c r="Y233" s="166">
        <v>6420000</v>
      </c>
      <c r="Z233" s="166"/>
      <c r="AA233" s="166">
        <f>6420000+6420000</f>
        <v>12840000</v>
      </c>
      <c r="AB233" s="1604">
        <f>6420000+6420000</f>
        <v>12840000</v>
      </c>
      <c r="AC233" s="695">
        <f t="shared" si="46"/>
        <v>69336000</v>
      </c>
      <c r="AD233" s="701">
        <f t="shared" si="47"/>
        <v>1284000</v>
      </c>
      <c r="AE233" s="1428"/>
      <c r="AF233" s="887">
        <v>57</v>
      </c>
      <c r="AG233" s="310" t="s">
        <v>252</v>
      </c>
      <c r="AH233" s="268" t="str">
        <f>VLOOKUP(N233,[5]Hoja2!J$141:N$168,5,0)</f>
        <v>HANZ  RIPPE GABRIEL</v>
      </c>
      <c r="AI233" s="498">
        <f t="shared" si="43"/>
        <v>144</v>
      </c>
      <c r="AJ233" s="304">
        <v>70620000</v>
      </c>
      <c r="AK233" s="871">
        <f t="shared" si="44"/>
        <v>0</v>
      </c>
      <c r="AL233" s="918"/>
      <c r="AM233" s="302">
        <f t="shared" si="45"/>
        <v>0</v>
      </c>
    </row>
    <row r="234" spans="1:39" s="8" customFormat="1">
      <c r="A234" s="88" t="s">
        <v>40</v>
      </c>
      <c r="B234" s="169">
        <f t="shared" si="41"/>
        <v>20000000</v>
      </c>
      <c r="C234" s="89" t="s">
        <v>36</v>
      </c>
      <c r="D234" s="89" t="s">
        <v>827</v>
      </c>
      <c r="E234" s="89" t="s">
        <v>37</v>
      </c>
      <c r="F234" s="87" t="s">
        <v>1650</v>
      </c>
      <c r="G234" s="89" t="s">
        <v>38</v>
      </c>
      <c r="H234" s="2076" t="s">
        <v>1640</v>
      </c>
      <c r="I234" s="2059">
        <v>59</v>
      </c>
      <c r="J234" s="160">
        <v>0</v>
      </c>
      <c r="K234" s="468"/>
      <c r="L234" s="1583">
        <v>299</v>
      </c>
      <c r="M234" s="1508">
        <v>20000000</v>
      </c>
      <c r="N234" s="1583">
        <v>324</v>
      </c>
      <c r="O234" s="1610">
        <v>20000000</v>
      </c>
      <c r="P234" s="2002">
        <v>263</v>
      </c>
      <c r="Q234" s="225"/>
      <c r="R234" s="789"/>
      <c r="S234" s="166"/>
      <c r="T234" s="166">
        <f>VLOOKUP(N234,[4]Hoja2!N$66:T$128,7,0)</f>
        <v>4333333</v>
      </c>
      <c r="U234" s="789">
        <v>5000000</v>
      </c>
      <c r="V234" s="166">
        <v>5000000</v>
      </c>
      <c r="W234" s="166">
        <v>5000000</v>
      </c>
      <c r="X234" s="166"/>
      <c r="Y234" s="166">
        <v>666667</v>
      </c>
      <c r="Z234" s="166"/>
      <c r="AA234" s="166"/>
      <c r="AB234" s="1604"/>
      <c r="AC234" s="695">
        <f t="shared" si="46"/>
        <v>20000000</v>
      </c>
      <c r="AD234" s="701">
        <f t="shared" si="47"/>
        <v>0</v>
      </c>
      <c r="AE234" s="1428"/>
      <c r="AF234" s="887">
        <v>59</v>
      </c>
      <c r="AG234" s="310" t="s">
        <v>253</v>
      </c>
      <c r="AH234" s="316" t="s">
        <v>776</v>
      </c>
      <c r="AI234" s="498">
        <f t="shared" si="43"/>
        <v>263</v>
      </c>
      <c r="AJ234" s="304">
        <v>20000000</v>
      </c>
      <c r="AK234" s="871">
        <f t="shared" si="44"/>
        <v>0</v>
      </c>
      <c r="AL234" s="918"/>
      <c r="AM234" s="302">
        <f t="shared" si="45"/>
        <v>0</v>
      </c>
    </row>
    <row r="235" spans="1:39" s="8" customFormat="1">
      <c r="A235" s="88" t="s">
        <v>40</v>
      </c>
      <c r="B235" s="169">
        <f t="shared" si="41"/>
        <v>71500000</v>
      </c>
      <c r="C235" s="89" t="s">
        <v>36</v>
      </c>
      <c r="D235" s="89" t="s">
        <v>827</v>
      </c>
      <c r="E235" s="89" t="s">
        <v>37</v>
      </c>
      <c r="F235" s="87" t="s">
        <v>1650</v>
      </c>
      <c r="G235" s="89" t="s">
        <v>38</v>
      </c>
      <c r="H235" s="2076" t="s">
        <v>1640</v>
      </c>
      <c r="I235" s="2059">
        <v>64</v>
      </c>
      <c r="J235" s="160">
        <v>0</v>
      </c>
      <c r="K235" s="468"/>
      <c r="L235" s="1583">
        <v>39</v>
      </c>
      <c r="M235" s="1508">
        <v>71500000</v>
      </c>
      <c r="N235" s="1583">
        <v>37</v>
      </c>
      <c r="O235" s="1604">
        <v>71500000</v>
      </c>
      <c r="P235" s="1993">
        <v>25</v>
      </c>
      <c r="Q235" s="225"/>
      <c r="R235" s="166">
        <v>2816667</v>
      </c>
      <c r="S235" s="166">
        <v>6500000</v>
      </c>
      <c r="T235" s="166">
        <f>VLOOKUP(N235,[4]Hoja2!N$66:T$128,7,0)</f>
        <v>6500000</v>
      </c>
      <c r="U235" s="789">
        <v>6500000</v>
      </c>
      <c r="V235" s="166">
        <v>6500000</v>
      </c>
      <c r="W235" s="166">
        <v>6500000</v>
      </c>
      <c r="X235" s="166">
        <v>6500000</v>
      </c>
      <c r="Y235" s="166">
        <v>6500000</v>
      </c>
      <c r="Z235" s="166">
        <v>6500000</v>
      </c>
      <c r="AA235" s="166">
        <v>6500000</v>
      </c>
      <c r="AB235" s="1604">
        <f>6500000+3683333</f>
        <v>10183333</v>
      </c>
      <c r="AC235" s="695">
        <f t="shared" si="46"/>
        <v>71500000</v>
      </c>
      <c r="AD235" s="701">
        <f t="shared" si="47"/>
        <v>0</v>
      </c>
      <c r="AE235" s="1428"/>
      <c r="AF235" s="887">
        <v>64</v>
      </c>
      <c r="AG235" s="310" t="s">
        <v>254</v>
      </c>
      <c r="AH235" s="268" t="str">
        <f>VLOOKUP(N235,[5]Hoja2!J$141:N$168,5,0)</f>
        <v>JUAN PABLO HENAO VALLEJO</v>
      </c>
      <c r="AI235" s="498">
        <f t="shared" si="43"/>
        <v>25</v>
      </c>
      <c r="AJ235" s="304">
        <v>71500000</v>
      </c>
      <c r="AK235" s="871">
        <f t="shared" si="44"/>
        <v>0</v>
      </c>
      <c r="AL235" s="918"/>
      <c r="AM235" s="302">
        <f t="shared" si="45"/>
        <v>0</v>
      </c>
    </row>
    <row r="236" spans="1:39" s="8" customFormat="1">
      <c r="A236" s="88" t="s">
        <v>40</v>
      </c>
      <c r="B236" s="169">
        <f t="shared" si="41"/>
        <v>47300000</v>
      </c>
      <c r="C236" s="89" t="s">
        <v>36</v>
      </c>
      <c r="D236" s="89" t="s">
        <v>827</v>
      </c>
      <c r="E236" s="89" t="s">
        <v>37</v>
      </c>
      <c r="F236" s="87" t="s">
        <v>1650</v>
      </c>
      <c r="G236" s="89" t="s">
        <v>38</v>
      </c>
      <c r="H236" s="2076" t="s">
        <v>1640</v>
      </c>
      <c r="I236" s="2059">
        <v>65</v>
      </c>
      <c r="J236" s="160">
        <v>0</v>
      </c>
      <c r="K236" s="468"/>
      <c r="L236" s="1583">
        <v>178</v>
      </c>
      <c r="M236" s="1508">
        <v>47300000</v>
      </c>
      <c r="N236" s="1583">
        <v>180</v>
      </c>
      <c r="O236" s="1604">
        <v>47300000</v>
      </c>
      <c r="P236" s="1993">
        <v>160</v>
      </c>
      <c r="Q236" s="225"/>
      <c r="R236" s="166"/>
      <c r="S236" s="166">
        <v>4443333</v>
      </c>
      <c r="T236" s="166">
        <f>VLOOKUP(N236,[4]Hoja2!N$66:T$128,7,0)</f>
        <v>4300000</v>
      </c>
      <c r="U236" s="166">
        <v>4300000</v>
      </c>
      <c r="V236" s="166">
        <v>4300000</v>
      </c>
      <c r="W236" s="166">
        <v>4300000</v>
      </c>
      <c r="X236" s="166">
        <v>4300000</v>
      </c>
      <c r="Y236" s="166">
        <v>4300000</v>
      </c>
      <c r="Z236" s="166">
        <v>4300000</v>
      </c>
      <c r="AA236" s="166">
        <v>4300000</v>
      </c>
      <c r="AB236" s="1604">
        <f>3440000+3870000</f>
        <v>7310000</v>
      </c>
      <c r="AC236" s="695">
        <f t="shared" si="46"/>
        <v>46153333</v>
      </c>
      <c r="AD236" s="701">
        <f t="shared" si="47"/>
        <v>1146667</v>
      </c>
      <c r="AE236" s="1428"/>
      <c r="AF236" s="887">
        <v>65</v>
      </c>
      <c r="AG236" s="310" t="s">
        <v>255</v>
      </c>
      <c r="AH236" s="268" t="s">
        <v>1382</v>
      </c>
      <c r="AI236" s="498">
        <f t="shared" si="43"/>
        <v>160</v>
      </c>
      <c r="AJ236" s="304">
        <f>72820000-25520000</f>
        <v>47300000</v>
      </c>
      <c r="AK236" s="871">
        <f t="shared" si="44"/>
        <v>0</v>
      </c>
      <c r="AL236" s="918"/>
      <c r="AM236" s="302">
        <f t="shared" si="45"/>
        <v>0</v>
      </c>
    </row>
    <row r="237" spans="1:39" s="8" customFormat="1">
      <c r="A237" s="88" t="s">
        <v>40</v>
      </c>
      <c r="B237" s="169">
        <f t="shared" si="41"/>
        <v>5733333</v>
      </c>
      <c r="C237" s="89" t="s">
        <v>36</v>
      </c>
      <c r="D237" s="89" t="s">
        <v>827</v>
      </c>
      <c r="E237" s="89" t="s">
        <v>37</v>
      </c>
      <c r="F237" s="87" t="s">
        <v>1650</v>
      </c>
      <c r="G237" s="89" t="s">
        <v>38</v>
      </c>
      <c r="H237" s="2076" t="s">
        <v>1640</v>
      </c>
      <c r="I237" s="2059" t="s">
        <v>325</v>
      </c>
      <c r="J237" s="160">
        <v>773</v>
      </c>
      <c r="K237" s="468">
        <v>5733333</v>
      </c>
      <c r="L237" s="1583">
        <v>896</v>
      </c>
      <c r="M237" s="1508">
        <v>5733333</v>
      </c>
      <c r="N237" s="1583">
        <v>1094</v>
      </c>
      <c r="O237" s="1604">
        <v>5733333</v>
      </c>
      <c r="P237" s="1993">
        <v>160</v>
      </c>
      <c r="Q237" s="225"/>
      <c r="R237" s="166"/>
      <c r="S237" s="166"/>
      <c r="T237" s="166"/>
      <c r="U237" s="166"/>
      <c r="V237" s="166"/>
      <c r="W237" s="166"/>
      <c r="X237" s="166"/>
      <c r="Y237" s="166"/>
      <c r="Z237" s="166"/>
      <c r="AA237" s="166"/>
      <c r="AB237" s="1604"/>
      <c r="AC237" s="695">
        <f t="shared" si="46"/>
        <v>0</v>
      </c>
      <c r="AD237" s="701">
        <f t="shared" si="47"/>
        <v>5733333</v>
      </c>
      <c r="AE237" s="1428"/>
      <c r="AF237" s="887" t="s">
        <v>325</v>
      </c>
      <c r="AG237" s="310" t="s">
        <v>1381</v>
      </c>
      <c r="AH237" s="268" t="s">
        <v>1382</v>
      </c>
      <c r="AI237" s="498">
        <f t="shared" si="43"/>
        <v>160</v>
      </c>
      <c r="AJ237" s="304">
        <f>4443334-4443334+5733333</f>
        <v>5733333</v>
      </c>
      <c r="AK237" s="871">
        <f t="shared" si="44"/>
        <v>0</v>
      </c>
      <c r="AL237" s="918"/>
      <c r="AM237" s="302">
        <f t="shared" si="45"/>
        <v>0</v>
      </c>
    </row>
    <row r="238" spans="1:39" s="8" customFormat="1">
      <c r="A238" s="88" t="s">
        <v>40</v>
      </c>
      <c r="B238" s="169">
        <f t="shared" si="41"/>
        <v>49500000</v>
      </c>
      <c r="C238" s="89" t="s">
        <v>36</v>
      </c>
      <c r="D238" s="89" t="s">
        <v>827</v>
      </c>
      <c r="E238" s="89" t="s">
        <v>37</v>
      </c>
      <c r="F238" s="87" t="s">
        <v>1650</v>
      </c>
      <c r="G238" s="89" t="s">
        <v>38</v>
      </c>
      <c r="H238" s="2076" t="s">
        <v>1640</v>
      </c>
      <c r="I238" s="2059">
        <v>67</v>
      </c>
      <c r="J238" s="160">
        <v>0</v>
      </c>
      <c r="K238" s="468"/>
      <c r="L238" s="1583">
        <v>190</v>
      </c>
      <c r="M238" s="1508">
        <v>49500000</v>
      </c>
      <c r="N238" s="1583">
        <v>176</v>
      </c>
      <c r="O238" s="1604">
        <v>49500000</v>
      </c>
      <c r="P238" s="1993">
        <v>168</v>
      </c>
      <c r="Q238" s="225"/>
      <c r="R238" s="166"/>
      <c r="S238" s="166">
        <v>4650000</v>
      </c>
      <c r="T238" s="166">
        <f>VLOOKUP(N238,[4]Hoja2!N$66:T$128,7,0)</f>
        <v>4500000</v>
      </c>
      <c r="U238" s="166">
        <v>4500000</v>
      </c>
      <c r="V238" s="166">
        <v>4500000</v>
      </c>
      <c r="W238" s="166">
        <v>4500000</v>
      </c>
      <c r="X238" s="166">
        <v>4500000</v>
      </c>
      <c r="Y238" s="166">
        <v>4500000</v>
      </c>
      <c r="Z238" s="166">
        <v>4500000</v>
      </c>
      <c r="AA238" s="166">
        <v>4500000</v>
      </c>
      <c r="AB238" s="1604">
        <f>4500000+4350000</f>
        <v>8850000</v>
      </c>
      <c r="AC238" s="695">
        <f t="shared" si="46"/>
        <v>49500000</v>
      </c>
      <c r="AD238" s="701">
        <f t="shared" si="47"/>
        <v>0</v>
      </c>
      <c r="AE238" s="1428"/>
      <c r="AF238" s="887">
        <v>67</v>
      </c>
      <c r="AG238" s="310" t="s">
        <v>256</v>
      </c>
      <c r="AH238" s="268" t="str">
        <f>VLOOKUP(N238,[5]Hoja2!J$141:N$168,5,0)</f>
        <v>LAURA  MEJIA TORRES</v>
      </c>
      <c r="AI238" s="498">
        <f t="shared" si="43"/>
        <v>168</v>
      </c>
      <c r="AJ238" s="304">
        <v>49500000</v>
      </c>
      <c r="AK238" s="871">
        <f t="shared" si="44"/>
        <v>0</v>
      </c>
      <c r="AL238" s="918"/>
      <c r="AM238" s="302">
        <f t="shared" si="45"/>
        <v>0</v>
      </c>
    </row>
    <row r="239" spans="1:39" s="8" customFormat="1">
      <c r="A239" s="88" t="s">
        <v>40</v>
      </c>
      <c r="B239" s="169">
        <f t="shared" si="41"/>
        <v>65560000</v>
      </c>
      <c r="C239" s="89" t="s">
        <v>36</v>
      </c>
      <c r="D239" s="89" t="s">
        <v>827</v>
      </c>
      <c r="E239" s="89" t="s">
        <v>37</v>
      </c>
      <c r="F239" s="87" t="s">
        <v>1650</v>
      </c>
      <c r="G239" s="89" t="s">
        <v>38</v>
      </c>
      <c r="H239" s="2076" t="s">
        <v>1640</v>
      </c>
      <c r="I239" s="2059">
        <v>68</v>
      </c>
      <c r="J239" s="160">
        <v>0</v>
      </c>
      <c r="K239" s="468"/>
      <c r="L239" s="1583">
        <v>225</v>
      </c>
      <c r="M239" s="1508">
        <v>65560000</v>
      </c>
      <c r="N239" s="1583">
        <v>223</v>
      </c>
      <c r="O239" s="1604">
        <v>65560000</v>
      </c>
      <c r="P239" s="2002">
        <v>195</v>
      </c>
      <c r="Q239" s="225"/>
      <c r="R239" s="789"/>
      <c r="S239" s="166">
        <v>5364000</v>
      </c>
      <c r="T239" s="166">
        <f>VLOOKUP(N239,[4]Hoja2!N$66:T$128,7,0)</f>
        <v>5960000</v>
      </c>
      <c r="U239" s="166">
        <v>5960000</v>
      </c>
      <c r="V239" s="166">
        <v>5960000</v>
      </c>
      <c r="W239" s="166">
        <v>5960000</v>
      </c>
      <c r="X239" s="166">
        <v>5960000</v>
      </c>
      <c r="Y239" s="166">
        <v>5960000</v>
      </c>
      <c r="Z239" s="166">
        <v>5960000</v>
      </c>
      <c r="AA239" s="166">
        <v>5960000</v>
      </c>
      <c r="AB239" s="1604">
        <f>5960000+6556000</f>
        <v>12516000</v>
      </c>
      <c r="AC239" s="695">
        <f t="shared" si="46"/>
        <v>65560000</v>
      </c>
      <c r="AD239" s="701">
        <f t="shared" si="47"/>
        <v>0</v>
      </c>
      <c r="AE239" s="1428"/>
      <c r="AF239" s="887">
        <v>68</v>
      </c>
      <c r="AG239" s="310" t="s">
        <v>257</v>
      </c>
      <c r="AH239" s="316" t="s">
        <v>640</v>
      </c>
      <c r="AI239" s="498">
        <f t="shared" si="43"/>
        <v>195</v>
      </c>
      <c r="AJ239" s="304">
        <v>65560000</v>
      </c>
      <c r="AK239" s="871">
        <f t="shared" si="44"/>
        <v>0</v>
      </c>
      <c r="AL239" s="918"/>
      <c r="AM239" s="302">
        <f t="shared" si="45"/>
        <v>0</v>
      </c>
    </row>
    <row r="240" spans="1:39" s="8" customFormat="1">
      <c r="A240" s="88" t="s">
        <v>40</v>
      </c>
      <c r="B240" s="169">
        <f t="shared" si="41"/>
        <v>1600000</v>
      </c>
      <c r="C240" s="89" t="s">
        <v>36</v>
      </c>
      <c r="D240" s="89" t="s">
        <v>827</v>
      </c>
      <c r="E240" s="89" t="s">
        <v>37</v>
      </c>
      <c r="F240" s="87" t="s">
        <v>1650</v>
      </c>
      <c r="G240" s="89" t="s">
        <v>38</v>
      </c>
      <c r="H240" s="2076" t="s">
        <v>1640</v>
      </c>
      <c r="I240" s="2059" t="s">
        <v>325</v>
      </c>
      <c r="J240" s="160">
        <v>719</v>
      </c>
      <c r="K240" s="468">
        <v>3500000</v>
      </c>
      <c r="L240" s="1583">
        <v>826</v>
      </c>
      <c r="M240" s="1508">
        <f>3500000-1900000</f>
        <v>1600000</v>
      </c>
      <c r="N240" s="1583">
        <v>1145</v>
      </c>
      <c r="O240" s="1604">
        <v>1600000</v>
      </c>
      <c r="P240" s="2002">
        <v>195</v>
      </c>
      <c r="Q240" s="225"/>
      <c r="R240" s="789"/>
      <c r="S240" s="166"/>
      <c r="T240" s="166"/>
      <c r="U240" s="166"/>
      <c r="V240" s="166"/>
      <c r="W240" s="166"/>
      <c r="X240" s="166"/>
      <c r="Y240" s="166"/>
      <c r="Z240" s="166"/>
      <c r="AA240" s="166"/>
      <c r="AB240" s="1604">
        <v>1004000</v>
      </c>
      <c r="AC240" s="695">
        <f t="shared" si="46"/>
        <v>1004000</v>
      </c>
      <c r="AD240" s="701">
        <f t="shared" si="47"/>
        <v>596000</v>
      </c>
      <c r="AE240" s="1428"/>
      <c r="AF240" s="887" t="s">
        <v>325</v>
      </c>
      <c r="AG240" s="310" t="s">
        <v>1390</v>
      </c>
      <c r="AH240" s="316" t="s">
        <v>640</v>
      </c>
      <c r="AI240" s="498">
        <f t="shared" ref="AI240:AI272" si="48">P240</f>
        <v>195</v>
      </c>
      <c r="AJ240" s="304">
        <v>3500000</v>
      </c>
      <c r="AK240" s="871">
        <f t="shared" ref="AK240:AK272" si="49">AJ240-O240</f>
        <v>1900000</v>
      </c>
      <c r="AL240" s="918"/>
      <c r="AM240" s="302">
        <f t="shared" ref="AM240:AM272" si="50">AJ240-M240</f>
        <v>1900000</v>
      </c>
    </row>
    <row r="241" spans="1:39" s="8" customFormat="1">
      <c r="A241" s="88" t="s">
        <v>40</v>
      </c>
      <c r="B241" s="169">
        <f t="shared" si="41"/>
        <v>5364000</v>
      </c>
      <c r="C241" s="89" t="s">
        <v>36</v>
      </c>
      <c r="D241" s="89" t="s">
        <v>827</v>
      </c>
      <c r="E241" s="89" t="s">
        <v>37</v>
      </c>
      <c r="F241" s="87" t="s">
        <v>1650</v>
      </c>
      <c r="G241" s="89" t="s">
        <v>38</v>
      </c>
      <c r="H241" s="2076" t="s">
        <v>1640</v>
      </c>
      <c r="I241" s="2059" t="s">
        <v>325</v>
      </c>
      <c r="J241" s="160">
        <v>770</v>
      </c>
      <c r="K241" s="468">
        <v>5364000</v>
      </c>
      <c r="L241" s="1583">
        <v>895</v>
      </c>
      <c r="M241" s="1508">
        <v>5364000</v>
      </c>
      <c r="N241" s="1583">
        <v>1178</v>
      </c>
      <c r="O241" s="1604">
        <v>5364000</v>
      </c>
      <c r="P241" s="2002">
        <v>195</v>
      </c>
      <c r="Q241" s="225"/>
      <c r="R241" s="789"/>
      <c r="S241" s="166"/>
      <c r="T241" s="166"/>
      <c r="U241" s="166"/>
      <c r="V241" s="166"/>
      <c r="W241" s="166"/>
      <c r="X241" s="166"/>
      <c r="Y241" s="166"/>
      <c r="Z241" s="166"/>
      <c r="AA241" s="166"/>
      <c r="AB241" s="1604"/>
      <c r="AC241" s="695">
        <f t="shared" si="46"/>
        <v>0</v>
      </c>
      <c r="AD241" s="701">
        <f t="shared" si="47"/>
        <v>5364000</v>
      </c>
      <c r="AE241" s="1428"/>
      <c r="AF241" s="888" t="s">
        <v>325</v>
      </c>
      <c r="AG241" s="310" t="s">
        <v>1528</v>
      </c>
      <c r="AH241" s="316" t="s">
        <v>640</v>
      </c>
      <c r="AI241" s="498">
        <f t="shared" si="48"/>
        <v>195</v>
      </c>
      <c r="AJ241" s="304">
        <v>5364000</v>
      </c>
      <c r="AK241" s="871">
        <f t="shared" si="49"/>
        <v>0</v>
      </c>
      <c r="AL241" s="918"/>
      <c r="AM241" s="302">
        <f t="shared" si="50"/>
        <v>0</v>
      </c>
    </row>
    <row r="242" spans="1:39" s="8" customFormat="1">
      <c r="A242" s="88" t="s">
        <v>40</v>
      </c>
      <c r="B242" s="169">
        <f t="shared" si="41"/>
        <v>0</v>
      </c>
      <c r="C242" s="89" t="s">
        <v>36</v>
      </c>
      <c r="D242" s="89" t="s">
        <v>827</v>
      </c>
      <c r="E242" s="89" t="s">
        <v>37</v>
      </c>
      <c r="F242" s="87" t="s">
        <v>1650</v>
      </c>
      <c r="G242" s="89" t="s">
        <v>38</v>
      </c>
      <c r="H242" s="2076" t="s">
        <v>1640</v>
      </c>
      <c r="I242" s="2059">
        <v>69</v>
      </c>
      <c r="J242" s="160">
        <v>661745</v>
      </c>
      <c r="K242" s="468">
        <v>8575000</v>
      </c>
      <c r="L242" s="1583" t="s">
        <v>1533</v>
      </c>
      <c r="M242" s="1508">
        <f>8575000-8575000+8575000-8575000</f>
        <v>0</v>
      </c>
      <c r="N242" s="1583"/>
      <c r="O242" s="1610"/>
      <c r="P242" s="2002"/>
      <c r="Q242" s="225"/>
      <c r="R242" s="789"/>
      <c r="S242" s="166"/>
      <c r="T242" s="166"/>
      <c r="U242" s="166"/>
      <c r="V242" s="166"/>
      <c r="W242" s="166"/>
      <c r="X242" s="166"/>
      <c r="Y242" s="166"/>
      <c r="Z242" s="166"/>
      <c r="AA242" s="166"/>
      <c r="AB242" s="1604"/>
      <c r="AC242" s="695">
        <f t="shared" si="46"/>
        <v>0</v>
      </c>
      <c r="AD242" s="701">
        <f t="shared" si="47"/>
        <v>0</v>
      </c>
      <c r="AE242" s="1428"/>
      <c r="AF242" s="887">
        <v>69</v>
      </c>
      <c r="AG242" s="310" t="s">
        <v>258</v>
      </c>
      <c r="AH242" s="316" t="s">
        <v>173</v>
      </c>
      <c r="AI242" s="498">
        <f t="shared" si="48"/>
        <v>0</v>
      </c>
      <c r="AJ242" s="304">
        <f>10575000-2000000</f>
        <v>8575000</v>
      </c>
      <c r="AK242" s="871">
        <f t="shared" si="49"/>
        <v>8575000</v>
      </c>
      <c r="AL242" s="918"/>
      <c r="AM242" s="302">
        <f t="shared" si="50"/>
        <v>8575000</v>
      </c>
    </row>
    <row r="243" spans="1:39" s="8" customFormat="1">
      <c r="A243" s="88" t="s">
        <v>40</v>
      </c>
      <c r="B243" s="169">
        <f t="shared" si="41"/>
        <v>37800000</v>
      </c>
      <c r="C243" s="89" t="s">
        <v>36</v>
      </c>
      <c r="D243" s="89" t="s">
        <v>827</v>
      </c>
      <c r="E243" s="89" t="s">
        <v>37</v>
      </c>
      <c r="F243" s="87" t="s">
        <v>1650</v>
      </c>
      <c r="G243" s="89" t="s">
        <v>38</v>
      </c>
      <c r="H243" s="2076" t="s">
        <v>1640</v>
      </c>
      <c r="I243" s="2059">
        <v>72</v>
      </c>
      <c r="J243" s="160">
        <v>0</v>
      </c>
      <c r="K243" s="468"/>
      <c r="L243" s="1583">
        <v>362</v>
      </c>
      <c r="M243" s="1508">
        <v>37800000</v>
      </c>
      <c r="N243" s="1583">
        <v>382</v>
      </c>
      <c r="O243" s="1610">
        <v>37800000</v>
      </c>
      <c r="P243" s="2002">
        <v>291</v>
      </c>
      <c r="Q243" s="225"/>
      <c r="R243" s="789"/>
      <c r="S243" s="166"/>
      <c r="T243" s="166">
        <f>VLOOKUP(N243,[4]Hoja2!N$66:T$128,7,0)</f>
        <v>1540000</v>
      </c>
      <c r="U243" s="166">
        <v>4200000</v>
      </c>
      <c r="V243" s="166">
        <v>4200000</v>
      </c>
      <c r="W243" s="166">
        <v>4200000</v>
      </c>
      <c r="X243" s="166">
        <v>4200000</v>
      </c>
      <c r="Y243" s="166">
        <v>4200000</v>
      </c>
      <c r="Z243" s="166">
        <v>4200000</v>
      </c>
      <c r="AA243" s="166">
        <v>4200000</v>
      </c>
      <c r="AB243" s="1604">
        <f>4200000+2660000</f>
        <v>6860000</v>
      </c>
      <c r="AC243" s="695">
        <f t="shared" si="46"/>
        <v>37800000</v>
      </c>
      <c r="AD243" s="701">
        <f t="shared" si="47"/>
        <v>0</v>
      </c>
      <c r="AE243" s="1428"/>
      <c r="AF243" s="887">
        <v>72</v>
      </c>
      <c r="AG243" s="310" t="s">
        <v>232</v>
      </c>
      <c r="AH243" s="316" t="s">
        <v>811</v>
      </c>
      <c r="AI243" s="498">
        <f t="shared" si="48"/>
        <v>291</v>
      </c>
      <c r="AJ243" s="304">
        <v>37800000</v>
      </c>
      <c r="AK243" s="871">
        <f t="shared" si="49"/>
        <v>0</v>
      </c>
      <c r="AL243" s="918"/>
      <c r="AM243" s="302">
        <f t="shared" si="50"/>
        <v>0</v>
      </c>
    </row>
    <row r="244" spans="1:39" s="8" customFormat="1">
      <c r="A244" s="88" t="s">
        <v>40</v>
      </c>
      <c r="B244" s="169">
        <f t="shared" si="41"/>
        <v>65560000</v>
      </c>
      <c r="C244" s="89" t="s">
        <v>36</v>
      </c>
      <c r="D244" s="89" t="s">
        <v>827</v>
      </c>
      <c r="E244" s="89" t="s">
        <v>37</v>
      </c>
      <c r="F244" s="87" t="s">
        <v>1650</v>
      </c>
      <c r="G244" s="89" t="s">
        <v>38</v>
      </c>
      <c r="H244" s="2076" t="s">
        <v>1640</v>
      </c>
      <c r="I244" s="2059">
        <v>73</v>
      </c>
      <c r="J244" s="160">
        <v>0</v>
      </c>
      <c r="K244" s="468"/>
      <c r="L244" s="1583">
        <v>159</v>
      </c>
      <c r="M244" s="1508">
        <v>65560000</v>
      </c>
      <c r="N244" s="1583">
        <v>181</v>
      </c>
      <c r="O244" s="1604">
        <v>65560000</v>
      </c>
      <c r="P244" s="1993">
        <v>143</v>
      </c>
      <c r="Q244" s="225"/>
      <c r="R244" s="166"/>
      <c r="S244" s="166">
        <v>6158667</v>
      </c>
      <c r="T244" s="166">
        <f>VLOOKUP(N244,[4]Hoja2!N$66:T$128,7,0)</f>
        <v>5960000</v>
      </c>
      <c r="U244" s="166">
        <v>5960000</v>
      </c>
      <c r="V244" s="166">
        <v>5960000</v>
      </c>
      <c r="W244" s="166">
        <v>5960000</v>
      </c>
      <c r="X244" s="166">
        <v>5960000</v>
      </c>
      <c r="Y244" s="166">
        <v>5960000</v>
      </c>
      <c r="Z244" s="166">
        <v>5960000</v>
      </c>
      <c r="AA244" s="166">
        <v>5960000</v>
      </c>
      <c r="AB244" s="1604">
        <f>5960000+5761333</f>
        <v>11721333</v>
      </c>
      <c r="AC244" s="695">
        <f t="shared" si="46"/>
        <v>65560000</v>
      </c>
      <c r="AD244" s="701">
        <f t="shared" si="47"/>
        <v>0</v>
      </c>
      <c r="AE244" s="1428"/>
      <c r="AF244" s="887">
        <v>73</v>
      </c>
      <c r="AG244" s="310" t="s">
        <v>259</v>
      </c>
      <c r="AH244" s="268" t="str">
        <f>VLOOKUP(N244,[5]Hoja2!J$141:N$168,5,0)</f>
        <v>LUIS ALFREDO BARON LEAL</v>
      </c>
      <c r="AI244" s="498">
        <f t="shared" si="48"/>
        <v>143</v>
      </c>
      <c r="AJ244" s="304">
        <v>65560000</v>
      </c>
      <c r="AK244" s="871">
        <f t="shared" si="49"/>
        <v>0</v>
      </c>
      <c r="AL244" s="918"/>
      <c r="AM244" s="302">
        <f t="shared" si="50"/>
        <v>0</v>
      </c>
    </row>
    <row r="245" spans="1:39" s="8" customFormat="1">
      <c r="A245" s="88" t="s">
        <v>40</v>
      </c>
      <c r="B245" s="169">
        <f t="shared" si="41"/>
        <v>40950000</v>
      </c>
      <c r="C245" s="89" t="s">
        <v>36</v>
      </c>
      <c r="D245" s="89" t="s">
        <v>827</v>
      </c>
      <c r="E245" s="89" t="s">
        <v>37</v>
      </c>
      <c r="F245" s="87" t="s">
        <v>1650</v>
      </c>
      <c r="G245" s="89" t="s">
        <v>38</v>
      </c>
      <c r="H245" s="2076" t="s">
        <v>1640</v>
      </c>
      <c r="I245" s="2059">
        <v>77</v>
      </c>
      <c r="J245" s="160">
        <v>0</v>
      </c>
      <c r="K245" s="468"/>
      <c r="L245" s="1583">
        <v>288</v>
      </c>
      <c r="M245" s="1508">
        <v>40950000</v>
      </c>
      <c r="N245" s="1583">
        <v>283</v>
      </c>
      <c r="O245" s="1610">
        <v>40950000</v>
      </c>
      <c r="P245" s="2002">
        <v>252</v>
      </c>
      <c r="Q245" s="225"/>
      <c r="R245" s="789"/>
      <c r="S245" s="166">
        <v>1560000</v>
      </c>
      <c r="T245" s="166">
        <f>VLOOKUP(N245,[4]Hoja2!N$66:T$128,7,0)</f>
        <v>3900000</v>
      </c>
      <c r="U245" s="789">
        <v>3900000</v>
      </c>
      <c r="V245" s="166">
        <v>3900000</v>
      </c>
      <c r="W245" s="166">
        <v>3900000</v>
      </c>
      <c r="X245" s="166">
        <v>3900000</v>
      </c>
      <c r="Y245" s="166">
        <v>3900000</v>
      </c>
      <c r="Z245" s="166">
        <v>2990000</v>
      </c>
      <c r="AA245" s="166">
        <v>3900000</v>
      </c>
      <c r="AB245" s="1604">
        <f>3900000+3900000</f>
        <v>7800000</v>
      </c>
      <c r="AC245" s="695">
        <f t="shared" si="46"/>
        <v>39650000</v>
      </c>
      <c r="AD245" s="701">
        <f t="shared" si="47"/>
        <v>1300000</v>
      </c>
      <c r="AE245" s="1428"/>
      <c r="AF245" s="887">
        <v>77</v>
      </c>
      <c r="AG245" s="310" t="s">
        <v>260</v>
      </c>
      <c r="AH245" s="316" t="s">
        <v>657</v>
      </c>
      <c r="AI245" s="498">
        <f t="shared" si="48"/>
        <v>252</v>
      </c>
      <c r="AJ245" s="304">
        <f>42900000-1950000</f>
        <v>40950000</v>
      </c>
      <c r="AK245" s="871">
        <f t="shared" si="49"/>
        <v>0</v>
      </c>
      <c r="AL245" s="918"/>
      <c r="AM245" s="302">
        <f t="shared" si="50"/>
        <v>0</v>
      </c>
    </row>
    <row r="246" spans="1:39" s="8" customFormat="1">
      <c r="A246" s="88" t="s">
        <v>40</v>
      </c>
      <c r="B246" s="169">
        <f t="shared" si="41"/>
        <v>50600000</v>
      </c>
      <c r="C246" s="89" t="s">
        <v>36</v>
      </c>
      <c r="D246" s="89" t="s">
        <v>827</v>
      </c>
      <c r="E246" s="89" t="s">
        <v>37</v>
      </c>
      <c r="F246" s="87" t="s">
        <v>1650</v>
      </c>
      <c r="G246" s="89" t="s">
        <v>38</v>
      </c>
      <c r="H246" s="2076" t="s">
        <v>1640</v>
      </c>
      <c r="I246" s="2059">
        <v>83</v>
      </c>
      <c r="J246" s="160">
        <v>0</v>
      </c>
      <c r="K246" s="468"/>
      <c r="L246" s="1583">
        <v>172</v>
      </c>
      <c r="M246" s="1508">
        <v>50600000</v>
      </c>
      <c r="N246" s="1583">
        <v>167</v>
      </c>
      <c r="O246" s="1604">
        <v>50600000</v>
      </c>
      <c r="P246" s="1993">
        <v>148</v>
      </c>
      <c r="Q246" s="225"/>
      <c r="R246" s="166"/>
      <c r="S246" s="166">
        <v>4753333</v>
      </c>
      <c r="T246" s="166">
        <f>VLOOKUP(N246,[4]Hoja2!N$66:T$128,7,0)</f>
        <v>4600000</v>
      </c>
      <c r="U246" s="166">
        <v>4600000</v>
      </c>
      <c r="V246" s="166">
        <v>4600000</v>
      </c>
      <c r="W246" s="166">
        <v>4600000</v>
      </c>
      <c r="X246" s="166">
        <v>4600000</v>
      </c>
      <c r="Y246" s="166">
        <v>4600000</v>
      </c>
      <c r="Z246" s="166">
        <v>4600000</v>
      </c>
      <c r="AA246" s="166">
        <v>4600000</v>
      </c>
      <c r="AB246" s="1604">
        <f>4600000+4446667</f>
        <v>9046667</v>
      </c>
      <c r="AC246" s="695">
        <f t="shared" si="46"/>
        <v>50600000</v>
      </c>
      <c r="AD246" s="701">
        <f t="shared" si="47"/>
        <v>0</v>
      </c>
      <c r="AE246" s="1428"/>
      <c r="AF246" s="887">
        <v>83</v>
      </c>
      <c r="AG246" s="310" t="s">
        <v>261</v>
      </c>
      <c r="AH246" s="268" t="str">
        <f>VLOOKUP(N246,[5]Hoja2!J$141:N$168,5,0)</f>
        <v>MONICA ANDREA SARMIENTO ROA</v>
      </c>
      <c r="AI246" s="498">
        <f t="shared" si="48"/>
        <v>148</v>
      </c>
      <c r="AJ246" s="304">
        <v>50600000</v>
      </c>
      <c r="AK246" s="871">
        <f t="shared" si="49"/>
        <v>0</v>
      </c>
      <c r="AL246" s="918"/>
      <c r="AM246" s="302">
        <f t="shared" si="50"/>
        <v>0</v>
      </c>
    </row>
    <row r="247" spans="1:39" s="8" customFormat="1">
      <c r="A247" s="88" t="s">
        <v>40</v>
      </c>
      <c r="B247" s="169">
        <f t="shared" si="41"/>
        <v>72800000</v>
      </c>
      <c r="C247" s="89" t="s">
        <v>36</v>
      </c>
      <c r="D247" s="89" t="s">
        <v>827</v>
      </c>
      <c r="E247" s="89" t="s">
        <v>37</v>
      </c>
      <c r="F247" s="87" t="s">
        <v>1650</v>
      </c>
      <c r="G247" s="89" t="s">
        <v>38</v>
      </c>
      <c r="H247" s="2076" t="s">
        <v>1640</v>
      </c>
      <c r="I247" s="2059">
        <v>86</v>
      </c>
      <c r="J247" s="160">
        <v>0</v>
      </c>
      <c r="K247" s="468"/>
      <c r="L247" s="1583">
        <v>264</v>
      </c>
      <c r="M247" s="1508">
        <v>72800000</v>
      </c>
      <c r="N247" s="1583">
        <v>265</v>
      </c>
      <c r="O247" s="1604">
        <v>72800000</v>
      </c>
      <c r="P247" s="2002">
        <v>239</v>
      </c>
      <c r="Q247" s="225"/>
      <c r="R247" s="166"/>
      <c r="S247" s="166">
        <v>4550000</v>
      </c>
      <c r="T247" s="166">
        <f>VLOOKUP(N247,[4]Hoja2!N$66:T$128,7,0)</f>
        <v>6825000</v>
      </c>
      <c r="U247" s="789">
        <v>6825000</v>
      </c>
      <c r="V247" s="166">
        <v>6825000</v>
      </c>
      <c r="W247" s="166">
        <v>6825000</v>
      </c>
      <c r="X247" s="166">
        <v>3867500</v>
      </c>
      <c r="Y247" s="166">
        <v>6825000</v>
      </c>
      <c r="Z247" s="166">
        <v>6825000</v>
      </c>
      <c r="AA247" s="166">
        <v>6825000</v>
      </c>
      <c r="AB247" s="1604">
        <f>6825000+6825000</f>
        <v>13650000</v>
      </c>
      <c r="AC247" s="695">
        <f t="shared" si="46"/>
        <v>69842500</v>
      </c>
      <c r="AD247" s="701">
        <f t="shared" si="47"/>
        <v>2957500</v>
      </c>
      <c r="AE247" s="1428"/>
      <c r="AF247" s="887">
        <v>86</v>
      </c>
      <c r="AG247" s="310" t="s">
        <v>262</v>
      </c>
      <c r="AH247" s="316" t="s">
        <v>639</v>
      </c>
      <c r="AI247" s="498">
        <f t="shared" si="48"/>
        <v>239</v>
      </c>
      <c r="AJ247" s="304">
        <f>72820000-20000</f>
        <v>72800000</v>
      </c>
      <c r="AK247" s="871">
        <f t="shared" si="49"/>
        <v>0</v>
      </c>
      <c r="AL247" s="918"/>
      <c r="AM247" s="302">
        <f t="shared" si="50"/>
        <v>0</v>
      </c>
    </row>
    <row r="248" spans="1:39" s="8" customFormat="1">
      <c r="A248" s="88" t="s">
        <v>40</v>
      </c>
      <c r="B248" s="169">
        <f t="shared" si="41"/>
        <v>4095000</v>
      </c>
      <c r="C248" s="89" t="s">
        <v>36</v>
      </c>
      <c r="D248" s="89" t="s">
        <v>827</v>
      </c>
      <c r="E248" s="89" t="s">
        <v>37</v>
      </c>
      <c r="F248" s="87" t="s">
        <v>1650</v>
      </c>
      <c r="G248" s="89" t="s">
        <v>38</v>
      </c>
      <c r="H248" s="2076" t="s">
        <v>1640</v>
      </c>
      <c r="I248" s="2059" t="s">
        <v>325</v>
      </c>
      <c r="J248" s="160">
        <v>782</v>
      </c>
      <c r="K248" s="468">
        <v>4095000</v>
      </c>
      <c r="L248" s="1583">
        <v>894</v>
      </c>
      <c r="M248" s="1508">
        <v>4095000</v>
      </c>
      <c r="N248" s="1583">
        <v>1115</v>
      </c>
      <c r="O248" s="1604">
        <v>4095000</v>
      </c>
      <c r="P248" s="2002">
        <v>239</v>
      </c>
      <c r="Q248" s="225"/>
      <c r="R248" s="166"/>
      <c r="S248" s="166"/>
      <c r="T248" s="166"/>
      <c r="U248" s="789"/>
      <c r="V248" s="166"/>
      <c r="W248" s="166"/>
      <c r="X248" s="166"/>
      <c r="Y248" s="166"/>
      <c r="Z248" s="166"/>
      <c r="AA248" s="166"/>
      <c r="AB248" s="1604"/>
      <c r="AC248" s="695">
        <f t="shared" si="46"/>
        <v>0</v>
      </c>
      <c r="AD248" s="701">
        <f t="shared" si="47"/>
        <v>4095000</v>
      </c>
      <c r="AE248" s="1428"/>
      <c r="AF248" s="887" t="s">
        <v>325</v>
      </c>
      <c r="AG248" s="310" t="s">
        <v>1384</v>
      </c>
      <c r="AH248" s="316" t="s">
        <v>639</v>
      </c>
      <c r="AI248" s="498">
        <f t="shared" si="48"/>
        <v>239</v>
      </c>
      <c r="AJ248" s="304">
        <f>4095000-4095000+4095000</f>
        <v>4095000</v>
      </c>
      <c r="AK248" s="871">
        <f t="shared" si="49"/>
        <v>0</v>
      </c>
      <c r="AL248" s="918"/>
      <c r="AM248" s="302">
        <f t="shared" si="50"/>
        <v>0</v>
      </c>
    </row>
    <row r="249" spans="1:39" s="8" customFormat="1">
      <c r="A249" s="88" t="s">
        <v>40</v>
      </c>
      <c r="B249" s="169">
        <f t="shared" si="41"/>
        <v>12000000</v>
      </c>
      <c r="C249" s="89" t="s">
        <v>36</v>
      </c>
      <c r="D249" s="89" t="s">
        <v>827</v>
      </c>
      <c r="E249" s="89" t="s">
        <v>37</v>
      </c>
      <c r="F249" s="87" t="s">
        <v>1650</v>
      </c>
      <c r="G249" s="89" t="s">
        <v>38</v>
      </c>
      <c r="H249" s="2076" t="s">
        <v>1640</v>
      </c>
      <c r="I249" s="2059">
        <v>87</v>
      </c>
      <c r="J249" s="160">
        <v>0</v>
      </c>
      <c r="K249" s="468"/>
      <c r="L249" s="1583">
        <v>300</v>
      </c>
      <c r="M249" s="1508">
        <v>12000000</v>
      </c>
      <c r="N249" s="1583">
        <v>302</v>
      </c>
      <c r="O249" s="1610">
        <v>12000000</v>
      </c>
      <c r="P249" s="2002">
        <v>268</v>
      </c>
      <c r="Q249" s="225"/>
      <c r="R249" s="166"/>
      <c r="S249" s="166"/>
      <c r="T249" s="166">
        <f>VLOOKUP(N249,[4]Hoja2!N$66:T$128,7,0)</f>
        <v>7000000</v>
      </c>
      <c r="U249" s="166"/>
      <c r="V249" s="166">
        <v>5000000</v>
      </c>
      <c r="W249" s="166"/>
      <c r="X249" s="166"/>
      <c r="Y249" s="166"/>
      <c r="Z249" s="166"/>
      <c r="AA249" s="166"/>
      <c r="AB249" s="1604"/>
      <c r="AC249" s="695">
        <f t="shared" si="46"/>
        <v>12000000</v>
      </c>
      <c r="AD249" s="701">
        <f t="shared" si="47"/>
        <v>0</v>
      </c>
      <c r="AE249" s="1428"/>
      <c r="AF249" s="887">
        <v>87</v>
      </c>
      <c r="AG249" s="310" t="s">
        <v>263</v>
      </c>
      <c r="AH249" s="316" t="s">
        <v>744</v>
      </c>
      <c r="AI249" s="498">
        <f t="shared" si="48"/>
        <v>268</v>
      </c>
      <c r="AJ249" s="304">
        <v>12000000</v>
      </c>
      <c r="AK249" s="871">
        <f t="shared" si="49"/>
        <v>0</v>
      </c>
      <c r="AL249" s="918"/>
      <c r="AM249" s="302">
        <f t="shared" si="50"/>
        <v>0</v>
      </c>
    </row>
    <row r="250" spans="1:39" s="8" customFormat="1">
      <c r="A250" s="88" t="s">
        <v>40</v>
      </c>
      <c r="B250" s="169">
        <f t="shared" si="41"/>
        <v>20000000</v>
      </c>
      <c r="C250" s="89" t="s">
        <v>36</v>
      </c>
      <c r="D250" s="89" t="s">
        <v>827</v>
      </c>
      <c r="E250" s="89" t="s">
        <v>37</v>
      </c>
      <c r="F250" s="87" t="s">
        <v>1650</v>
      </c>
      <c r="G250" s="89" t="s">
        <v>38</v>
      </c>
      <c r="H250" s="2076" t="s">
        <v>1640</v>
      </c>
      <c r="I250" s="2059">
        <v>88</v>
      </c>
      <c r="J250" s="160">
        <v>0</v>
      </c>
      <c r="K250" s="468"/>
      <c r="L250" s="1583">
        <v>296</v>
      </c>
      <c r="M250" s="1508">
        <v>20000000</v>
      </c>
      <c r="N250" s="1583">
        <v>312</v>
      </c>
      <c r="O250" s="1610">
        <v>20000000</v>
      </c>
      <c r="P250" s="2002">
        <v>261</v>
      </c>
      <c r="Q250" s="225"/>
      <c r="R250" s="166"/>
      <c r="S250" s="166"/>
      <c r="T250" s="166">
        <f>VLOOKUP(N250,[4]Hoja2!N$66:T$128,7,0)</f>
        <v>5500000</v>
      </c>
      <c r="U250" s="789">
        <v>5000000</v>
      </c>
      <c r="V250" s="166">
        <v>5000000</v>
      </c>
      <c r="W250" s="166"/>
      <c r="X250" s="166"/>
      <c r="Y250" s="166"/>
      <c r="Z250" s="166">
        <v>4500000</v>
      </c>
      <c r="AA250" s="166"/>
      <c r="AB250" s="1604"/>
      <c r="AC250" s="695">
        <f t="shared" si="46"/>
        <v>20000000</v>
      </c>
      <c r="AD250" s="701">
        <f t="shared" si="47"/>
        <v>0</v>
      </c>
      <c r="AE250" s="1428"/>
      <c r="AF250" s="887">
        <v>88</v>
      </c>
      <c r="AG250" s="310" t="s">
        <v>264</v>
      </c>
      <c r="AH250" s="316" t="s">
        <v>777</v>
      </c>
      <c r="AI250" s="498">
        <f t="shared" si="48"/>
        <v>261</v>
      </c>
      <c r="AJ250" s="304">
        <v>20000000</v>
      </c>
      <c r="AK250" s="871">
        <f t="shared" si="49"/>
        <v>0</v>
      </c>
      <c r="AL250" s="918"/>
      <c r="AM250" s="302">
        <f t="shared" si="50"/>
        <v>0</v>
      </c>
    </row>
    <row r="251" spans="1:39" s="8" customFormat="1">
      <c r="A251" s="88" t="s">
        <v>40</v>
      </c>
      <c r="B251" s="169">
        <f t="shared" si="41"/>
        <v>49500000</v>
      </c>
      <c r="C251" s="89" t="s">
        <v>36</v>
      </c>
      <c r="D251" s="89" t="s">
        <v>827</v>
      </c>
      <c r="E251" s="89" t="s">
        <v>37</v>
      </c>
      <c r="F251" s="87" t="s">
        <v>1650</v>
      </c>
      <c r="G251" s="89" t="s">
        <v>38</v>
      </c>
      <c r="H251" s="2076" t="s">
        <v>1640</v>
      </c>
      <c r="I251" s="2059">
        <v>90</v>
      </c>
      <c r="J251" s="160">
        <v>0</v>
      </c>
      <c r="K251" s="468"/>
      <c r="L251" s="1583">
        <v>345</v>
      </c>
      <c r="M251" s="1508">
        <v>49500000</v>
      </c>
      <c r="N251" s="1583">
        <v>403</v>
      </c>
      <c r="O251" s="1508">
        <v>49500000</v>
      </c>
      <c r="P251" s="2002">
        <v>304</v>
      </c>
      <c r="Q251" s="225"/>
      <c r="R251" s="166"/>
      <c r="S251" s="166"/>
      <c r="T251" s="166"/>
      <c r="U251" s="789">
        <v>5866667</v>
      </c>
      <c r="V251" s="166">
        <v>5500000</v>
      </c>
      <c r="W251" s="166">
        <v>5500000</v>
      </c>
      <c r="X251" s="166">
        <v>5500000</v>
      </c>
      <c r="Y251" s="166">
        <v>5500000</v>
      </c>
      <c r="Z251" s="166">
        <v>5500000</v>
      </c>
      <c r="AA251" s="166">
        <v>5500000</v>
      </c>
      <c r="AB251" s="1604">
        <f>5500000+5133333</f>
        <v>10633333</v>
      </c>
      <c r="AC251" s="695">
        <f t="shared" si="46"/>
        <v>49500000</v>
      </c>
      <c r="AD251" s="701">
        <f t="shared" si="47"/>
        <v>0</v>
      </c>
      <c r="AE251" s="1428"/>
      <c r="AF251" s="887">
        <v>90</v>
      </c>
      <c r="AG251" s="310" t="s">
        <v>265</v>
      </c>
      <c r="AH251" s="316" t="s">
        <v>820</v>
      </c>
      <c r="AI251" s="498">
        <f t="shared" si="48"/>
        <v>304</v>
      </c>
      <c r="AJ251" s="304">
        <v>49500000</v>
      </c>
      <c r="AK251" s="871">
        <f t="shared" si="49"/>
        <v>0</v>
      </c>
      <c r="AL251" s="918"/>
      <c r="AM251" s="302">
        <f t="shared" si="50"/>
        <v>0</v>
      </c>
    </row>
    <row r="252" spans="1:39" s="8" customFormat="1">
      <c r="A252" s="88" t="s">
        <v>40</v>
      </c>
      <c r="B252" s="169">
        <f t="shared" si="41"/>
        <v>66000000</v>
      </c>
      <c r="C252" s="89" t="s">
        <v>36</v>
      </c>
      <c r="D252" s="89" t="s">
        <v>827</v>
      </c>
      <c r="E252" s="89" t="s">
        <v>37</v>
      </c>
      <c r="F252" s="87" t="s">
        <v>1650</v>
      </c>
      <c r="G252" s="89" t="s">
        <v>38</v>
      </c>
      <c r="H252" s="2076" t="s">
        <v>1640</v>
      </c>
      <c r="I252" s="2059">
        <v>91</v>
      </c>
      <c r="J252" s="160">
        <v>0</v>
      </c>
      <c r="K252" s="468"/>
      <c r="L252" s="1583">
        <v>192</v>
      </c>
      <c r="M252" s="1508">
        <v>66000000</v>
      </c>
      <c r="N252" s="1583">
        <v>246</v>
      </c>
      <c r="O252" s="1604">
        <v>66000000</v>
      </c>
      <c r="P252" s="2002">
        <v>185</v>
      </c>
      <c r="Q252" s="225"/>
      <c r="R252" s="166"/>
      <c r="S252" s="166">
        <v>5000000</v>
      </c>
      <c r="T252" s="166">
        <f>VLOOKUP(N252,[4]Hoja2!N$66:T$128,7,0)</f>
        <v>6000000</v>
      </c>
      <c r="U252" s="166">
        <v>6000000</v>
      </c>
      <c r="V252" s="166">
        <v>6000000</v>
      </c>
      <c r="W252" s="166">
        <v>6000000</v>
      </c>
      <c r="X252" s="166">
        <v>6000000</v>
      </c>
      <c r="Y252" s="166">
        <v>6000000</v>
      </c>
      <c r="Z252" s="166">
        <v>6000000</v>
      </c>
      <c r="AA252" s="166">
        <v>6000000</v>
      </c>
      <c r="AB252" s="1604">
        <f>6000000+6000000</f>
        <v>12000000</v>
      </c>
      <c r="AC252" s="695">
        <f t="shared" si="46"/>
        <v>65000000</v>
      </c>
      <c r="AD252" s="701">
        <f t="shared" si="47"/>
        <v>1000000</v>
      </c>
      <c r="AE252" s="1428"/>
      <c r="AF252" s="887">
        <v>91</v>
      </c>
      <c r="AG252" s="310" t="s">
        <v>266</v>
      </c>
      <c r="AH252" s="316" t="s">
        <v>638</v>
      </c>
      <c r="AI252" s="498">
        <f t="shared" si="48"/>
        <v>185</v>
      </c>
      <c r="AJ252" s="304">
        <v>66000000</v>
      </c>
      <c r="AK252" s="871">
        <f t="shared" si="49"/>
        <v>0</v>
      </c>
      <c r="AL252" s="918"/>
      <c r="AM252" s="302">
        <f t="shared" si="50"/>
        <v>0</v>
      </c>
    </row>
    <row r="253" spans="1:39" s="8" customFormat="1">
      <c r="A253" s="88" t="s">
        <v>40</v>
      </c>
      <c r="B253" s="169">
        <f t="shared" si="41"/>
        <v>27500000</v>
      </c>
      <c r="C253" s="89" t="s">
        <v>36</v>
      </c>
      <c r="D253" s="89" t="s">
        <v>827</v>
      </c>
      <c r="E253" s="89" t="s">
        <v>37</v>
      </c>
      <c r="F253" s="87" t="s">
        <v>1650</v>
      </c>
      <c r="G253" s="89" t="s">
        <v>38</v>
      </c>
      <c r="H253" s="2076" t="s">
        <v>1640</v>
      </c>
      <c r="I253" s="2059">
        <v>92</v>
      </c>
      <c r="J253" s="160">
        <v>0</v>
      </c>
      <c r="K253" s="468"/>
      <c r="L253" s="1583">
        <v>193</v>
      </c>
      <c r="M253" s="1508">
        <f>55000000-27500000</f>
        <v>27500000</v>
      </c>
      <c r="N253" s="1583">
        <v>225</v>
      </c>
      <c r="O253" s="1604">
        <f>55000000-27500000</f>
        <v>27500000</v>
      </c>
      <c r="P253" s="2002">
        <v>184</v>
      </c>
      <c r="Q253" s="225"/>
      <c r="R253" s="166"/>
      <c r="S253" s="166">
        <v>4333333</v>
      </c>
      <c r="T253" s="166">
        <f>VLOOKUP(N253,[4]Hoja2!N$66:T$128,7,0)</f>
        <v>5000000</v>
      </c>
      <c r="U253" s="166">
        <v>5000000</v>
      </c>
      <c r="V253" s="166">
        <v>5000000</v>
      </c>
      <c r="W253" s="166">
        <v>5000000</v>
      </c>
      <c r="X253" s="166">
        <v>3166666</v>
      </c>
      <c r="Y253" s="166"/>
      <c r="Z253" s="166"/>
      <c r="AA253" s="166"/>
      <c r="AB253" s="1604"/>
      <c r="AC253" s="695">
        <f t="shared" si="46"/>
        <v>27499999</v>
      </c>
      <c r="AD253" s="701">
        <f t="shared" si="47"/>
        <v>1</v>
      </c>
      <c r="AE253" s="1428"/>
      <c r="AF253" s="887">
        <v>92</v>
      </c>
      <c r="AG253" s="310" t="s">
        <v>267</v>
      </c>
      <c r="AH253" s="316" t="s">
        <v>637</v>
      </c>
      <c r="AI253" s="498">
        <f t="shared" si="48"/>
        <v>184</v>
      </c>
      <c r="AJ253" s="304">
        <f>55000000-27500000</f>
        <v>27500000</v>
      </c>
      <c r="AK253" s="871">
        <f t="shared" si="49"/>
        <v>0</v>
      </c>
      <c r="AL253" s="918"/>
      <c r="AM253" s="302">
        <f t="shared" si="50"/>
        <v>0</v>
      </c>
    </row>
    <row r="254" spans="1:39" s="8" customFormat="1">
      <c r="A254" s="88" t="s">
        <v>40</v>
      </c>
      <c r="B254" s="169">
        <f t="shared" si="41"/>
        <v>20000000</v>
      </c>
      <c r="C254" s="89" t="s">
        <v>36</v>
      </c>
      <c r="D254" s="89" t="s">
        <v>827</v>
      </c>
      <c r="E254" s="89" t="s">
        <v>37</v>
      </c>
      <c r="F254" s="87" t="s">
        <v>1650</v>
      </c>
      <c r="G254" s="89" t="s">
        <v>38</v>
      </c>
      <c r="H254" s="2076" t="s">
        <v>1640</v>
      </c>
      <c r="I254" s="2059">
        <v>93</v>
      </c>
      <c r="J254" s="160">
        <v>0</v>
      </c>
      <c r="K254" s="468"/>
      <c r="L254" s="1583">
        <v>301</v>
      </c>
      <c r="M254" s="1508">
        <v>20000000</v>
      </c>
      <c r="N254" s="1583">
        <v>340</v>
      </c>
      <c r="O254" s="1610">
        <v>20000000</v>
      </c>
      <c r="P254" s="2002">
        <v>262</v>
      </c>
      <c r="Q254" s="225"/>
      <c r="R254" s="166"/>
      <c r="S254" s="166"/>
      <c r="T254" s="166">
        <f>VLOOKUP(N254,[4]Hoja2!N$66:T$128,7,0)</f>
        <v>3000000</v>
      </c>
      <c r="U254" s="166">
        <v>5000000</v>
      </c>
      <c r="V254" s="166">
        <v>5000000</v>
      </c>
      <c r="W254" s="166">
        <v>5000000</v>
      </c>
      <c r="X254" s="166"/>
      <c r="Y254" s="166">
        <v>2000000</v>
      </c>
      <c r="Z254" s="166"/>
      <c r="AA254" s="166"/>
      <c r="AB254" s="1604"/>
      <c r="AC254" s="695">
        <f t="shared" si="46"/>
        <v>20000000</v>
      </c>
      <c r="AD254" s="701">
        <f t="shared" si="47"/>
        <v>0</v>
      </c>
      <c r="AE254" s="1428"/>
      <c r="AF254" s="887">
        <v>93</v>
      </c>
      <c r="AG254" s="310" t="s">
        <v>268</v>
      </c>
      <c r="AH254" s="316" t="s">
        <v>788</v>
      </c>
      <c r="AI254" s="498">
        <f t="shared" si="48"/>
        <v>262</v>
      </c>
      <c r="AJ254" s="304">
        <v>20000000</v>
      </c>
      <c r="AK254" s="871">
        <f t="shared" si="49"/>
        <v>0</v>
      </c>
      <c r="AL254" s="918"/>
      <c r="AM254" s="302">
        <f t="shared" si="50"/>
        <v>0</v>
      </c>
    </row>
    <row r="255" spans="1:39" s="8" customFormat="1">
      <c r="A255" s="88" t="s">
        <v>40</v>
      </c>
      <c r="B255" s="169">
        <f t="shared" si="41"/>
        <v>519248490</v>
      </c>
      <c r="C255" s="89" t="s">
        <v>36</v>
      </c>
      <c r="D255" s="89" t="s">
        <v>827</v>
      </c>
      <c r="E255" s="89" t="s">
        <v>37</v>
      </c>
      <c r="F255" s="87" t="s">
        <v>1650</v>
      </c>
      <c r="G255" s="89" t="s">
        <v>38</v>
      </c>
      <c r="H255" s="2076" t="s">
        <v>1640</v>
      </c>
      <c r="I255" s="2059">
        <v>94</v>
      </c>
      <c r="J255" s="160">
        <v>0</v>
      </c>
      <c r="K255" s="468"/>
      <c r="L255" s="1583">
        <v>484</v>
      </c>
      <c r="M255" s="1508">
        <f>595697255-76448765</f>
        <v>519248490</v>
      </c>
      <c r="N255" s="1583">
        <v>700</v>
      </c>
      <c r="O255" s="1610">
        <v>519248490</v>
      </c>
      <c r="P255" s="2002">
        <v>425</v>
      </c>
      <c r="Q255" s="225"/>
      <c r="R255" s="166"/>
      <c r="S255" s="166"/>
      <c r="T255" s="166"/>
      <c r="U255" s="166"/>
      <c r="V255" s="166"/>
      <c r="W255" s="166"/>
      <c r="X255" s="166">
        <f>40969000+8892600</f>
        <v>49861600</v>
      </c>
      <c r="Y255" s="166">
        <f>39600000+18900000+31376400</f>
        <v>89876400</v>
      </c>
      <c r="Z255" s="166">
        <v>19550000</v>
      </c>
      <c r="AA255" s="166">
        <f>2669000+15654000</f>
        <v>18323000</v>
      </c>
      <c r="AB255" s="1604">
        <f>92400000+26550000+13209000+9700000</f>
        <v>141859000</v>
      </c>
      <c r="AC255" s="695">
        <f t="shared" si="46"/>
        <v>319470000</v>
      </c>
      <c r="AD255" s="701">
        <f t="shared" si="47"/>
        <v>199778490</v>
      </c>
      <c r="AE255" s="1428"/>
      <c r="AF255" s="888" t="s">
        <v>1162</v>
      </c>
      <c r="AG255" s="310" t="s">
        <v>269</v>
      </c>
      <c r="AH255" s="316" t="s">
        <v>1107</v>
      </c>
      <c r="AI255" s="498">
        <f t="shared" si="48"/>
        <v>425</v>
      </c>
      <c r="AJ255" s="304">
        <f>447000000+150000000-77751510</f>
        <v>519248490</v>
      </c>
      <c r="AK255" s="871">
        <f t="shared" si="49"/>
        <v>0</v>
      </c>
      <c r="AL255" s="918"/>
      <c r="AM255" s="302">
        <f t="shared" si="50"/>
        <v>0</v>
      </c>
    </row>
    <row r="256" spans="1:39" s="8" customFormat="1">
      <c r="A256" s="88" t="s">
        <v>40</v>
      </c>
      <c r="B256" s="169">
        <f t="shared" si="41"/>
        <v>0</v>
      </c>
      <c r="C256" s="89" t="s">
        <v>36</v>
      </c>
      <c r="D256" s="89" t="s">
        <v>827</v>
      </c>
      <c r="E256" s="89" t="s">
        <v>37</v>
      </c>
      <c r="F256" s="87" t="s">
        <v>1650</v>
      </c>
      <c r="G256" s="89" t="s">
        <v>38</v>
      </c>
      <c r="H256" s="2076" t="s">
        <v>1640</v>
      </c>
      <c r="I256" s="2059">
        <v>99</v>
      </c>
      <c r="J256" s="160">
        <v>0</v>
      </c>
      <c r="K256" s="468"/>
      <c r="L256" s="1583"/>
      <c r="M256" s="1508"/>
      <c r="N256" s="1583"/>
      <c r="O256" s="1610"/>
      <c r="P256" s="2002"/>
      <c r="Q256" s="225"/>
      <c r="R256" s="166"/>
      <c r="S256" s="166"/>
      <c r="T256" s="166"/>
      <c r="U256" s="166"/>
      <c r="V256" s="166"/>
      <c r="W256" s="166"/>
      <c r="X256" s="166"/>
      <c r="Y256" s="166"/>
      <c r="Z256" s="166"/>
      <c r="AA256" s="166"/>
      <c r="AB256" s="1604"/>
      <c r="AC256" s="695">
        <f t="shared" si="46"/>
        <v>0</v>
      </c>
      <c r="AD256" s="701">
        <f t="shared" si="47"/>
        <v>0</v>
      </c>
      <c r="AE256" s="1428"/>
      <c r="AF256" s="887">
        <v>99</v>
      </c>
      <c r="AG256" s="310" t="s">
        <v>270</v>
      </c>
      <c r="AH256" s="316" t="s">
        <v>173</v>
      </c>
      <c r="AI256" s="498">
        <f t="shared" si="48"/>
        <v>0</v>
      </c>
      <c r="AJ256" s="304">
        <f>25000000-25000000</f>
        <v>0</v>
      </c>
      <c r="AK256" s="871">
        <f t="shared" si="49"/>
        <v>0</v>
      </c>
      <c r="AL256" s="918"/>
      <c r="AM256" s="302">
        <f t="shared" si="50"/>
        <v>0</v>
      </c>
    </row>
    <row r="257" spans="1:39" s="8" customFormat="1">
      <c r="A257" s="88" t="s">
        <v>40</v>
      </c>
      <c r="B257" s="169">
        <f t="shared" si="41"/>
        <v>15000000</v>
      </c>
      <c r="C257" s="89" t="s">
        <v>36</v>
      </c>
      <c r="D257" s="89" t="s">
        <v>827</v>
      </c>
      <c r="E257" s="89" t="s">
        <v>37</v>
      </c>
      <c r="F257" s="87" t="s">
        <v>1650</v>
      </c>
      <c r="G257" s="89" t="s">
        <v>38</v>
      </c>
      <c r="H257" s="2076" t="s">
        <v>1640</v>
      </c>
      <c r="I257" s="2059">
        <v>100</v>
      </c>
      <c r="J257" s="160">
        <v>0</v>
      </c>
      <c r="K257" s="468"/>
      <c r="L257" s="1583">
        <v>231</v>
      </c>
      <c r="M257" s="1508">
        <v>15000000</v>
      </c>
      <c r="N257" s="1583">
        <v>230</v>
      </c>
      <c r="O257" s="1604">
        <v>15000000</v>
      </c>
      <c r="P257" s="2002">
        <v>178</v>
      </c>
      <c r="Q257" s="225"/>
      <c r="R257" s="166"/>
      <c r="S257" s="166">
        <v>1250000</v>
      </c>
      <c r="T257" s="166">
        <f>VLOOKUP(N257,[4]Hoja2!N$66:T$128,7,0)</f>
        <v>1500000</v>
      </c>
      <c r="U257" s="166">
        <v>1500000</v>
      </c>
      <c r="V257" s="166">
        <v>1500000</v>
      </c>
      <c r="W257" s="166">
        <v>1500000</v>
      </c>
      <c r="X257" s="166">
        <v>1500000</v>
      </c>
      <c r="Y257" s="166">
        <v>1500000</v>
      </c>
      <c r="Z257" s="166">
        <v>1500000</v>
      </c>
      <c r="AA257" s="166">
        <v>1500000</v>
      </c>
      <c r="AB257" s="1604">
        <f>1500000+250000</f>
        <v>1750000</v>
      </c>
      <c r="AC257" s="695">
        <f t="shared" si="46"/>
        <v>15000000</v>
      </c>
      <c r="AD257" s="701">
        <f t="shared" si="47"/>
        <v>0</v>
      </c>
      <c r="AE257" s="1428"/>
      <c r="AF257" s="887">
        <v>100</v>
      </c>
      <c r="AG257" s="310" t="s">
        <v>271</v>
      </c>
      <c r="AH257" s="316" t="s">
        <v>636</v>
      </c>
      <c r="AI257" s="498">
        <f t="shared" si="48"/>
        <v>178</v>
      </c>
      <c r="AJ257" s="304">
        <v>15000000</v>
      </c>
      <c r="AK257" s="871">
        <f t="shared" si="49"/>
        <v>0</v>
      </c>
      <c r="AL257" s="918"/>
      <c r="AM257" s="302">
        <f t="shared" si="50"/>
        <v>0</v>
      </c>
    </row>
    <row r="258" spans="1:39" s="8" customFormat="1">
      <c r="A258" s="88" t="s">
        <v>40</v>
      </c>
      <c r="B258" s="169">
        <f t="shared" si="41"/>
        <v>0</v>
      </c>
      <c r="C258" s="89" t="s">
        <v>36</v>
      </c>
      <c r="D258" s="89" t="s">
        <v>827</v>
      </c>
      <c r="E258" s="89" t="s">
        <v>37</v>
      </c>
      <c r="F258" s="87" t="s">
        <v>1650</v>
      </c>
      <c r="G258" s="89" t="s">
        <v>38</v>
      </c>
      <c r="H258" s="2076" t="s">
        <v>1640</v>
      </c>
      <c r="I258" s="2059">
        <v>102</v>
      </c>
      <c r="J258" s="160">
        <v>0</v>
      </c>
      <c r="K258" s="468"/>
      <c r="L258" s="1583"/>
      <c r="M258" s="1508"/>
      <c r="N258" s="1583"/>
      <c r="O258" s="1610"/>
      <c r="P258" s="2002"/>
      <c r="Q258" s="225"/>
      <c r="R258" s="166"/>
      <c r="S258" s="166"/>
      <c r="T258" s="166"/>
      <c r="U258" s="166"/>
      <c r="V258" s="166"/>
      <c r="W258" s="166"/>
      <c r="X258" s="166"/>
      <c r="Y258" s="166"/>
      <c r="Z258" s="166"/>
      <c r="AA258" s="166"/>
      <c r="AB258" s="1604"/>
      <c r="AC258" s="695">
        <f t="shared" si="46"/>
        <v>0</v>
      </c>
      <c r="AD258" s="701">
        <f t="shared" si="47"/>
        <v>0</v>
      </c>
      <c r="AE258" s="1428"/>
      <c r="AF258" s="887">
        <v>102</v>
      </c>
      <c r="AG258" s="310" t="s">
        <v>272</v>
      </c>
      <c r="AH258" s="316" t="s">
        <v>173</v>
      </c>
      <c r="AI258" s="498">
        <f t="shared" si="48"/>
        <v>0</v>
      </c>
      <c r="AJ258" s="304">
        <f>8400000-8400000</f>
        <v>0</v>
      </c>
      <c r="AK258" s="871">
        <f t="shared" si="49"/>
        <v>0</v>
      </c>
      <c r="AL258" s="918"/>
      <c r="AM258" s="302">
        <f t="shared" si="50"/>
        <v>0</v>
      </c>
    </row>
    <row r="259" spans="1:39" s="8" customFormat="1">
      <c r="A259" s="88" t="s">
        <v>40</v>
      </c>
      <c r="B259" s="169">
        <f t="shared" si="41"/>
        <v>0</v>
      </c>
      <c r="C259" s="89" t="s">
        <v>36</v>
      </c>
      <c r="D259" s="89" t="s">
        <v>827</v>
      </c>
      <c r="E259" s="89" t="s">
        <v>37</v>
      </c>
      <c r="F259" s="87" t="s">
        <v>1650</v>
      </c>
      <c r="G259" s="89" t="s">
        <v>38</v>
      </c>
      <c r="H259" s="2076" t="s">
        <v>1640</v>
      </c>
      <c r="I259" s="2059">
        <v>103</v>
      </c>
      <c r="J259" s="160">
        <v>0</v>
      </c>
      <c r="K259" s="468"/>
      <c r="L259" s="1583"/>
      <c r="M259" s="1508"/>
      <c r="N259" s="1583"/>
      <c r="O259" s="1610"/>
      <c r="P259" s="2002"/>
      <c r="Q259" s="225"/>
      <c r="R259" s="166"/>
      <c r="S259" s="166"/>
      <c r="T259" s="166"/>
      <c r="U259" s="166"/>
      <c r="V259" s="166"/>
      <c r="W259" s="166"/>
      <c r="X259" s="166"/>
      <c r="Y259" s="166"/>
      <c r="Z259" s="166"/>
      <c r="AA259" s="166"/>
      <c r="AB259" s="1604"/>
      <c r="AC259" s="695">
        <f t="shared" si="46"/>
        <v>0</v>
      </c>
      <c r="AD259" s="701">
        <f t="shared" si="47"/>
        <v>0</v>
      </c>
      <c r="AE259" s="1428"/>
      <c r="AF259" s="887">
        <v>103</v>
      </c>
      <c r="AG259" s="310" t="s">
        <v>273</v>
      </c>
      <c r="AH259" s="316" t="s">
        <v>173</v>
      </c>
      <c r="AI259" s="498">
        <f t="shared" si="48"/>
        <v>0</v>
      </c>
      <c r="AJ259" s="304">
        <f>8400000-8400000</f>
        <v>0</v>
      </c>
      <c r="AK259" s="871">
        <f t="shared" si="49"/>
        <v>0</v>
      </c>
      <c r="AL259" s="918"/>
      <c r="AM259" s="302">
        <f t="shared" si="50"/>
        <v>0</v>
      </c>
    </row>
    <row r="260" spans="1:39" s="8" customFormat="1">
      <c r="A260" s="88" t="s">
        <v>40</v>
      </c>
      <c r="B260" s="169">
        <f t="shared" si="41"/>
        <v>25200000</v>
      </c>
      <c r="C260" s="89" t="s">
        <v>36</v>
      </c>
      <c r="D260" s="89" t="s">
        <v>827</v>
      </c>
      <c r="E260" s="89" t="s">
        <v>37</v>
      </c>
      <c r="F260" s="87" t="s">
        <v>1650</v>
      </c>
      <c r="G260" s="89" t="s">
        <v>38</v>
      </c>
      <c r="H260" s="2076" t="s">
        <v>1640</v>
      </c>
      <c r="I260" s="2059">
        <v>104</v>
      </c>
      <c r="J260" s="160">
        <v>0</v>
      </c>
      <c r="K260" s="468"/>
      <c r="L260" s="1583">
        <v>414</v>
      </c>
      <c r="M260" s="1508">
        <v>25200000</v>
      </c>
      <c r="N260" s="1583">
        <v>455</v>
      </c>
      <c r="O260" s="1610">
        <v>25200000</v>
      </c>
      <c r="P260" s="2002">
        <v>327</v>
      </c>
      <c r="Q260" s="225"/>
      <c r="R260" s="166"/>
      <c r="S260" s="166"/>
      <c r="T260" s="166"/>
      <c r="U260" s="166"/>
      <c r="V260" s="166">
        <v>3480000</v>
      </c>
      <c r="W260" s="166">
        <v>3600000</v>
      </c>
      <c r="X260" s="166">
        <v>3600000</v>
      </c>
      <c r="Y260" s="166">
        <v>3600000</v>
      </c>
      <c r="Z260" s="166">
        <v>3600000</v>
      </c>
      <c r="AA260" s="166">
        <v>3600000</v>
      </c>
      <c r="AB260" s="1604">
        <f>3600000+120000</f>
        <v>3720000</v>
      </c>
      <c r="AC260" s="695">
        <f t="shared" si="46"/>
        <v>25200000</v>
      </c>
      <c r="AD260" s="701">
        <f t="shared" si="47"/>
        <v>0</v>
      </c>
      <c r="AE260" s="1428"/>
      <c r="AF260" s="887">
        <v>104</v>
      </c>
      <c r="AG260" s="310" t="s">
        <v>273</v>
      </c>
      <c r="AH260" s="316" t="s">
        <v>932</v>
      </c>
      <c r="AI260" s="498">
        <f t="shared" si="48"/>
        <v>327</v>
      </c>
      <c r="AJ260" s="304">
        <f>8400000+16800000</f>
        <v>25200000</v>
      </c>
      <c r="AK260" s="871">
        <f t="shared" si="49"/>
        <v>0</v>
      </c>
      <c r="AL260" s="918"/>
      <c r="AM260" s="302">
        <f t="shared" si="50"/>
        <v>0</v>
      </c>
    </row>
    <row r="261" spans="1:39" s="8" customFormat="1">
      <c r="A261" s="88" t="s">
        <v>40</v>
      </c>
      <c r="B261" s="169">
        <f t="shared" si="41"/>
        <v>2400000</v>
      </c>
      <c r="C261" s="89" t="s">
        <v>36</v>
      </c>
      <c r="D261" s="89" t="s">
        <v>827</v>
      </c>
      <c r="E261" s="89" t="s">
        <v>37</v>
      </c>
      <c r="F261" s="87" t="s">
        <v>1650</v>
      </c>
      <c r="G261" s="89" t="s">
        <v>38</v>
      </c>
      <c r="H261" s="2076" t="s">
        <v>1640</v>
      </c>
      <c r="I261" s="225" t="s">
        <v>325</v>
      </c>
      <c r="J261" s="160">
        <v>653</v>
      </c>
      <c r="K261" s="468">
        <v>2400000</v>
      </c>
      <c r="L261" s="1583">
        <v>739</v>
      </c>
      <c r="M261" s="1508">
        <v>2400000</v>
      </c>
      <c r="N261" s="1583">
        <v>939</v>
      </c>
      <c r="O261" s="1610">
        <v>2400000</v>
      </c>
      <c r="P261" s="2002">
        <v>327</v>
      </c>
      <c r="Q261" s="225"/>
      <c r="R261" s="166"/>
      <c r="S261" s="166"/>
      <c r="T261" s="166"/>
      <c r="U261" s="166"/>
      <c r="V261" s="166"/>
      <c r="W261" s="166"/>
      <c r="X261" s="166"/>
      <c r="Y261" s="166"/>
      <c r="Z261" s="166"/>
      <c r="AA261" s="166"/>
      <c r="AB261" s="1604">
        <v>2400000</v>
      </c>
      <c r="AC261" s="695">
        <f t="shared" si="46"/>
        <v>2400000</v>
      </c>
      <c r="AD261" s="701">
        <f t="shared" si="47"/>
        <v>0</v>
      </c>
      <c r="AE261" s="1428"/>
      <c r="AF261" s="887" t="s">
        <v>325</v>
      </c>
      <c r="AG261" s="310" t="s">
        <v>1287</v>
      </c>
      <c r="AH261" s="316" t="s">
        <v>932</v>
      </c>
      <c r="AI261" s="498">
        <f t="shared" si="48"/>
        <v>327</v>
      </c>
      <c r="AJ261" s="304">
        <v>2400000</v>
      </c>
      <c r="AK261" s="871">
        <f t="shared" si="49"/>
        <v>0</v>
      </c>
      <c r="AL261" s="918"/>
      <c r="AM261" s="302">
        <f t="shared" si="50"/>
        <v>0</v>
      </c>
    </row>
    <row r="262" spans="1:39" s="8" customFormat="1">
      <c r="A262" s="88" t="s">
        <v>40</v>
      </c>
      <c r="B262" s="169">
        <f t="shared" si="41"/>
        <v>15000000</v>
      </c>
      <c r="C262" s="89" t="s">
        <v>36</v>
      </c>
      <c r="D262" s="89" t="s">
        <v>827</v>
      </c>
      <c r="E262" s="89" t="s">
        <v>37</v>
      </c>
      <c r="F262" s="87" t="s">
        <v>1650</v>
      </c>
      <c r="G262" s="89" t="s">
        <v>38</v>
      </c>
      <c r="H262" s="2076" t="s">
        <v>1640</v>
      </c>
      <c r="I262" s="2059">
        <v>108</v>
      </c>
      <c r="J262" s="160">
        <v>0</v>
      </c>
      <c r="K262" s="468"/>
      <c r="L262" s="1583">
        <v>232</v>
      </c>
      <c r="M262" s="1508">
        <v>15000000</v>
      </c>
      <c r="N262" s="1583">
        <v>226</v>
      </c>
      <c r="O262" s="1604">
        <v>15000000</v>
      </c>
      <c r="P262" s="2002">
        <v>180</v>
      </c>
      <c r="Q262" s="225"/>
      <c r="R262" s="166"/>
      <c r="S262" s="166">
        <v>1250000</v>
      </c>
      <c r="T262" s="166">
        <f>VLOOKUP(N262,[4]Hoja2!N$66:T$128,7,0)</f>
        <v>1500000</v>
      </c>
      <c r="U262" s="166">
        <v>1500000</v>
      </c>
      <c r="V262" s="166">
        <v>1500000</v>
      </c>
      <c r="W262" s="166">
        <v>1500000</v>
      </c>
      <c r="X262" s="166">
        <v>1500000</v>
      </c>
      <c r="Y262" s="166">
        <v>1500000</v>
      </c>
      <c r="Z262" s="166">
        <v>1500000</v>
      </c>
      <c r="AA262" s="166">
        <v>1500000</v>
      </c>
      <c r="AB262" s="1604">
        <f>1500000+250000</f>
        <v>1750000</v>
      </c>
      <c r="AC262" s="695">
        <f t="shared" si="46"/>
        <v>15000000</v>
      </c>
      <c r="AD262" s="701">
        <f t="shared" si="47"/>
        <v>0</v>
      </c>
      <c r="AE262" s="1428"/>
      <c r="AF262" s="887">
        <v>108</v>
      </c>
      <c r="AG262" s="310" t="s">
        <v>271</v>
      </c>
      <c r="AH262" s="316" t="s">
        <v>635</v>
      </c>
      <c r="AI262" s="498">
        <f t="shared" si="48"/>
        <v>180</v>
      </c>
      <c r="AJ262" s="304">
        <v>15000000</v>
      </c>
      <c r="AK262" s="871">
        <f t="shared" si="49"/>
        <v>0</v>
      </c>
      <c r="AL262" s="918"/>
      <c r="AM262" s="302">
        <f t="shared" si="50"/>
        <v>0</v>
      </c>
    </row>
    <row r="263" spans="1:39" s="8" customFormat="1">
      <c r="A263" s="88" t="s">
        <v>40</v>
      </c>
      <c r="B263" s="169">
        <f t="shared" si="41"/>
        <v>85333333</v>
      </c>
      <c r="C263" s="89" t="s">
        <v>36</v>
      </c>
      <c r="D263" s="89" t="s">
        <v>827</v>
      </c>
      <c r="E263" s="89" t="s">
        <v>37</v>
      </c>
      <c r="F263" s="87" t="s">
        <v>1650</v>
      </c>
      <c r="G263" s="89" t="s">
        <v>38</v>
      </c>
      <c r="H263" s="2076" t="s">
        <v>1640</v>
      </c>
      <c r="I263" s="2059">
        <v>109</v>
      </c>
      <c r="J263" s="160">
        <v>0</v>
      </c>
      <c r="K263" s="468"/>
      <c r="L263" s="1583">
        <v>250</v>
      </c>
      <c r="M263" s="1508">
        <v>85333333</v>
      </c>
      <c r="N263" s="1583">
        <v>242</v>
      </c>
      <c r="O263" s="1604">
        <v>85333333</v>
      </c>
      <c r="P263" s="2002">
        <v>141</v>
      </c>
      <c r="Q263" s="225"/>
      <c r="R263" s="166"/>
      <c r="S263" s="166">
        <v>6666667</v>
      </c>
      <c r="T263" s="166">
        <f>VLOOKUP(N263,[4]Hoja2!N$66:T$128,7,0)</f>
        <v>8000000</v>
      </c>
      <c r="U263" s="789">
        <v>8000000</v>
      </c>
      <c r="V263" s="166">
        <v>8000000</v>
      </c>
      <c r="W263" s="166">
        <v>8000000</v>
      </c>
      <c r="X263" s="166">
        <v>8000000</v>
      </c>
      <c r="Y263" s="166">
        <v>8000000</v>
      </c>
      <c r="Z263" s="166">
        <v>6666666</v>
      </c>
      <c r="AA263" s="166">
        <v>8000000</v>
      </c>
      <c r="AB263" s="1604">
        <f>8000000+8000000</f>
        <v>16000000</v>
      </c>
      <c r="AC263" s="695">
        <f t="shared" si="46"/>
        <v>85333333</v>
      </c>
      <c r="AD263" s="701">
        <f t="shared" si="47"/>
        <v>0</v>
      </c>
      <c r="AE263" s="1428"/>
      <c r="AF263" s="887">
        <v>109</v>
      </c>
      <c r="AG263" s="310" t="s">
        <v>274</v>
      </c>
      <c r="AH263" s="316" t="s">
        <v>634</v>
      </c>
      <c r="AI263" s="498">
        <f t="shared" si="48"/>
        <v>141</v>
      </c>
      <c r="AJ263" s="304">
        <f>88000000-2666667</f>
        <v>85333333</v>
      </c>
      <c r="AK263" s="871">
        <f t="shared" si="49"/>
        <v>0</v>
      </c>
      <c r="AL263" s="918"/>
      <c r="AM263" s="302">
        <f t="shared" si="50"/>
        <v>0</v>
      </c>
    </row>
    <row r="264" spans="1:39" s="8" customFormat="1">
      <c r="A264" s="88" t="s">
        <v>40</v>
      </c>
      <c r="B264" s="169">
        <f t="shared" si="41"/>
        <v>8000000</v>
      </c>
      <c r="C264" s="89" t="s">
        <v>36</v>
      </c>
      <c r="D264" s="89" t="s">
        <v>827</v>
      </c>
      <c r="E264" s="89" t="s">
        <v>37</v>
      </c>
      <c r="F264" s="87" t="s">
        <v>1650</v>
      </c>
      <c r="G264" s="89" t="s">
        <v>38</v>
      </c>
      <c r="H264" s="2076" t="s">
        <v>1640</v>
      </c>
      <c r="I264" s="2059" t="s">
        <v>325</v>
      </c>
      <c r="J264" s="160">
        <v>771</v>
      </c>
      <c r="K264" s="468">
        <v>8000000</v>
      </c>
      <c r="L264" s="1583">
        <v>897</v>
      </c>
      <c r="M264" s="1508">
        <v>8000000</v>
      </c>
      <c r="N264" s="1583">
        <v>1102</v>
      </c>
      <c r="O264" s="1604">
        <v>8000000</v>
      </c>
      <c r="P264" s="2002">
        <v>141</v>
      </c>
      <c r="Q264" s="225"/>
      <c r="R264" s="166"/>
      <c r="S264" s="166"/>
      <c r="T264" s="166"/>
      <c r="U264" s="789"/>
      <c r="V264" s="166"/>
      <c r="W264" s="166"/>
      <c r="X264" s="166"/>
      <c r="Y264" s="166"/>
      <c r="Z264" s="166"/>
      <c r="AA264" s="166"/>
      <c r="AB264" s="1604"/>
      <c r="AC264" s="695">
        <f t="shared" si="46"/>
        <v>0</v>
      </c>
      <c r="AD264" s="701">
        <f t="shared" si="47"/>
        <v>8000000</v>
      </c>
      <c r="AE264" s="1428"/>
      <c r="AF264" s="887" t="s">
        <v>325</v>
      </c>
      <c r="AG264" s="310" t="s">
        <v>1392</v>
      </c>
      <c r="AH264" s="316" t="s">
        <v>634</v>
      </c>
      <c r="AI264" s="498">
        <f t="shared" si="48"/>
        <v>141</v>
      </c>
      <c r="AJ264" s="304">
        <f>8000000-8000000+8000000</f>
        <v>8000000</v>
      </c>
      <c r="AK264" s="871">
        <f t="shared" si="49"/>
        <v>0</v>
      </c>
      <c r="AL264" s="918"/>
      <c r="AM264" s="302">
        <f t="shared" si="50"/>
        <v>0</v>
      </c>
    </row>
    <row r="265" spans="1:39" s="8" customFormat="1">
      <c r="A265" s="88" t="s">
        <v>40</v>
      </c>
      <c r="B265" s="169">
        <f t="shared" si="41"/>
        <v>72820000</v>
      </c>
      <c r="C265" s="89" t="s">
        <v>36</v>
      </c>
      <c r="D265" s="89" t="s">
        <v>827</v>
      </c>
      <c r="E265" s="89" t="s">
        <v>37</v>
      </c>
      <c r="F265" s="87" t="s">
        <v>1650</v>
      </c>
      <c r="G265" s="89" t="s">
        <v>38</v>
      </c>
      <c r="H265" s="2076" t="s">
        <v>1640</v>
      </c>
      <c r="I265" s="2059">
        <v>110</v>
      </c>
      <c r="J265" s="160">
        <v>0</v>
      </c>
      <c r="K265" s="468"/>
      <c r="L265" s="1583">
        <v>40</v>
      </c>
      <c r="M265" s="1508">
        <v>72820000</v>
      </c>
      <c r="N265" s="1583">
        <v>42</v>
      </c>
      <c r="O265" s="1604">
        <v>72820000</v>
      </c>
      <c r="P265" s="1993">
        <v>32</v>
      </c>
      <c r="Q265" s="225"/>
      <c r="R265" s="166">
        <v>2206667</v>
      </c>
      <c r="S265" s="166">
        <v>6620000</v>
      </c>
      <c r="T265" s="166">
        <f>VLOOKUP(N265,[4]Hoja2!N$66:T$128,7,0)</f>
        <v>6620000</v>
      </c>
      <c r="U265" s="789">
        <v>6620000</v>
      </c>
      <c r="V265" s="166">
        <v>6620000</v>
      </c>
      <c r="W265" s="166">
        <v>6620000</v>
      </c>
      <c r="X265" s="166">
        <v>6620000</v>
      </c>
      <c r="Y265" s="166">
        <v>6620000</v>
      </c>
      <c r="Z265" s="166">
        <v>6620000</v>
      </c>
      <c r="AA265" s="166">
        <v>6620000</v>
      </c>
      <c r="AB265" s="1604">
        <f>6620000+4413333</f>
        <v>11033333</v>
      </c>
      <c r="AC265" s="695">
        <f t="shared" si="46"/>
        <v>72820000</v>
      </c>
      <c r="AD265" s="701">
        <f t="shared" si="47"/>
        <v>0</v>
      </c>
      <c r="AE265" s="1428"/>
      <c r="AF265" s="887">
        <v>110</v>
      </c>
      <c r="AG265" s="310" t="s">
        <v>275</v>
      </c>
      <c r="AH265" s="268" t="s">
        <v>1399</v>
      </c>
      <c r="AI265" s="498">
        <f t="shared" si="48"/>
        <v>32</v>
      </c>
      <c r="AJ265" s="304">
        <v>72820176</v>
      </c>
      <c r="AK265" s="871">
        <f t="shared" si="49"/>
        <v>176</v>
      </c>
      <c r="AL265" s="918"/>
      <c r="AM265" s="302">
        <f t="shared" si="50"/>
        <v>176</v>
      </c>
    </row>
    <row r="266" spans="1:39" s="8" customFormat="1">
      <c r="A266" s="88" t="s">
        <v>40</v>
      </c>
      <c r="B266" s="169">
        <f t="shared" si="41"/>
        <v>1986000</v>
      </c>
      <c r="C266" s="89" t="s">
        <v>36</v>
      </c>
      <c r="D266" s="89" t="s">
        <v>827</v>
      </c>
      <c r="E266" s="89" t="s">
        <v>37</v>
      </c>
      <c r="F266" s="87" t="s">
        <v>1650</v>
      </c>
      <c r="G266" s="89" t="s">
        <v>38</v>
      </c>
      <c r="H266" s="2076" t="s">
        <v>1640</v>
      </c>
      <c r="I266" s="2059" t="s">
        <v>325</v>
      </c>
      <c r="J266" s="160">
        <v>701</v>
      </c>
      <c r="K266" s="468">
        <v>2090000</v>
      </c>
      <c r="L266" s="1583">
        <v>797</v>
      </c>
      <c r="M266" s="1508">
        <f>2090000-104000</f>
        <v>1986000</v>
      </c>
      <c r="N266" s="1583">
        <v>1037</v>
      </c>
      <c r="O266" s="1604">
        <v>1986000</v>
      </c>
      <c r="P266" s="1993">
        <v>32</v>
      </c>
      <c r="Q266" s="225"/>
      <c r="R266" s="166"/>
      <c r="S266" s="166"/>
      <c r="T266" s="166"/>
      <c r="U266" s="789"/>
      <c r="V266" s="166"/>
      <c r="W266" s="166"/>
      <c r="X266" s="166"/>
      <c r="Y266" s="166"/>
      <c r="Z266" s="166"/>
      <c r="AA266" s="166"/>
      <c r="AB266" s="1604">
        <v>1986000</v>
      </c>
      <c r="AC266" s="695">
        <f t="shared" si="46"/>
        <v>1986000</v>
      </c>
      <c r="AD266" s="701">
        <f t="shared" si="47"/>
        <v>0</v>
      </c>
      <c r="AE266" s="1428"/>
      <c r="AF266" s="887" t="s">
        <v>325</v>
      </c>
      <c r="AG266" s="310" t="s">
        <v>1419</v>
      </c>
      <c r="AH266" s="268" t="s">
        <v>1399</v>
      </c>
      <c r="AI266" s="498">
        <f t="shared" si="48"/>
        <v>32</v>
      </c>
      <c r="AJ266" s="304">
        <v>2090000</v>
      </c>
      <c r="AK266" s="871">
        <f t="shared" si="49"/>
        <v>104000</v>
      </c>
      <c r="AL266" s="918"/>
      <c r="AM266" s="302">
        <f t="shared" si="50"/>
        <v>104000</v>
      </c>
    </row>
    <row r="267" spans="1:39" s="8" customFormat="1">
      <c r="A267" s="88" t="s">
        <v>40</v>
      </c>
      <c r="B267" s="169">
        <f t="shared" si="41"/>
        <v>77000000</v>
      </c>
      <c r="C267" s="89" t="s">
        <v>36</v>
      </c>
      <c r="D267" s="89" t="s">
        <v>827</v>
      </c>
      <c r="E267" s="89" t="s">
        <v>37</v>
      </c>
      <c r="F267" s="87" t="s">
        <v>1650</v>
      </c>
      <c r="G267" s="89" t="s">
        <v>38</v>
      </c>
      <c r="H267" s="2076" t="s">
        <v>1640</v>
      </c>
      <c r="I267" s="2059">
        <v>111</v>
      </c>
      <c r="J267" s="160">
        <v>0</v>
      </c>
      <c r="K267" s="468"/>
      <c r="L267" s="1583">
        <v>41</v>
      </c>
      <c r="M267" s="1508">
        <v>77000000</v>
      </c>
      <c r="N267" s="1583">
        <v>38</v>
      </c>
      <c r="O267" s="1604">
        <v>77000000</v>
      </c>
      <c r="P267" s="1993">
        <v>24</v>
      </c>
      <c r="Q267" s="225"/>
      <c r="R267" s="166">
        <v>1866667</v>
      </c>
      <c r="S267" s="166">
        <v>7000000</v>
      </c>
      <c r="T267" s="166">
        <f>VLOOKUP(N267,[4]Hoja2!N$66:T$128,7,0)</f>
        <v>7000000</v>
      </c>
      <c r="U267" s="789">
        <v>7000000</v>
      </c>
      <c r="V267" s="166">
        <v>7000000</v>
      </c>
      <c r="W267" s="166">
        <v>7000000</v>
      </c>
      <c r="X267" s="166">
        <v>7000000</v>
      </c>
      <c r="Y267" s="166">
        <v>7000000</v>
      </c>
      <c r="Z267" s="166">
        <v>7000000</v>
      </c>
      <c r="AA267" s="166">
        <v>7000000</v>
      </c>
      <c r="AB267" s="1604">
        <f>7000000+5133333</f>
        <v>12133333</v>
      </c>
      <c r="AC267" s="695">
        <f t="shared" si="46"/>
        <v>77000000</v>
      </c>
      <c r="AD267" s="701">
        <f t="shared" si="47"/>
        <v>0</v>
      </c>
      <c r="AE267" s="1428"/>
      <c r="AF267" s="887">
        <v>111</v>
      </c>
      <c r="AG267" s="310" t="s">
        <v>276</v>
      </c>
      <c r="AH267" s="268" t="str">
        <f>VLOOKUP(N267,[5]Hoja2!J$141:N$168,5,0)</f>
        <v>YOLANDA  LOPEZ CORREAL</v>
      </c>
      <c r="AI267" s="498">
        <f t="shared" si="48"/>
        <v>24</v>
      </c>
      <c r="AJ267" s="304">
        <v>77000000</v>
      </c>
      <c r="AK267" s="871">
        <f t="shared" si="49"/>
        <v>0</v>
      </c>
      <c r="AL267" s="918"/>
      <c r="AM267" s="302">
        <f t="shared" si="50"/>
        <v>0</v>
      </c>
    </row>
    <row r="268" spans="1:39" s="8" customFormat="1">
      <c r="A268" s="88" t="s">
        <v>40</v>
      </c>
      <c r="B268" s="169">
        <f t="shared" si="41"/>
        <v>44800000</v>
      </c>
      <c r="C268" s="89" t="s">
        <v>36</v>
      </c>
      <c r="D268" s="89" t="s">
        <v>827</v>
      </c>
      <c r="E268" s="89" t="s">
        <v>37</v>
      </c>
      <c r="F268" s="87" t="s">
        <v>1650</v>
      </c>
      <c r="G268" s="89" t="s">
        <v>38</v>
      </c>
      <c r="H268" s="2076" t="s">
        <v>1640</v>
      </c>
      <c r="I268" s="225">
        <v>433</v>
      </c>
      <c r="J268" s="160">
        <v>0</v>
      </c>
      <c r="K268" s="468"/>
      <c r="L268" s="1583">
        <v>283</v>
      </c>
      <c r="M268" s="1508">
        <v>44800000</v>
      </c>
      <c r="N268" s="1583">
        <v>274</v>
      </c>
      <c r="O268" s="1610">
        <v>44800000</v>
      </c>
      <c r="P268" s="2002">
        <v>245</v>
      </c>
      <c r="Q268" s="225"/>
      <c r="R268" s="166"/>
      <c r="S268" s="166">
        <v>2380000</v>
      </c>
      <c r="T268" s="166">
        <f>VLOOKUP(N268,[4]Hoja2!N$66:T$128,7,0)</f>
        <v>4200000</v>
      </c>
      <c r="U268" s="166">
        <v>4200000</v>
      </c>
      <c r="V268" s="166">
        <v>4200000</v>
      </c>
      <c r="W268" s="166">
        <v>4200000</v>
      </c>
      <c r="X268" s="166">
        <v>4200000</v>
      </c>
      <c r="Y268" s="166">
        <v>4200000</v>
      </c>
      <c r="Z268" s="166">
        <v>4200000</v>
      </c>
      <c r="AA268" s="166">
        <v>4200000</v>
      </c>
      <c r="AB268" s="1604">
        <f>4200000+4200000</f>
        <v>8400000</v>
      </c>
      <c r="AC268" s="695">
        <f t="shared" si="46"/>
        <v>44380000</v>
      </c>
      <c r="AD268" s="701">
        <f t="shared" si="47"/>
        <v>420000</v>
      </c>
      <c r="AE268" s="1428"/>
      <c r="AF268" s="888">
        <v>433</v>
      </c>
      <c r="AG268" s="316" t="s">
        <v>485</v>
      </c>
      <c r="AH268" s="316" t="s">
        <v>630</v>
      </c>
      <c r="AI268" s="498">
        <f t="shared" si="48"/>
        <v>245</v>
      </c>
      <c r="AJ268" s="304">
        <f>46200000-1400000</f>
        <v>44800000</v>
      </c>
      <c r="AK268" s="871">
        <f t="shared" si="49"/>
        <v>0</v>
      </c>
      <c r="AL268" s="918"/>
      <c r="AM268" s="302">
        <f t="shared" si="50"/>
        <v>0</v>
      </c>
    </row>
    <row r="269" spans="1:39" s="8" customFormat="1">
      <c r="A269" s="88" t="s">
        <v>40</v>
      </c>
      <c r="B269" s="169">
        <f t="shared" si="41"/>
        <v>4200000</v>
      </c>
      <c r="C269" s="89" t="s">
        <v>36</v>
      </c>
      <c r="D269" s="89" t="s">
        <v>827</v>
      </c>
      <c r="E269" s="89" t="s">
        <v>37</v>
      </c>
      <c r="F269" s="87" t="s">
        <v>1650</v>
      </c>
      <c r="G269" s="89" t="s">
        <v>38</v>
      </c>
      <c r="H269" s="2076" t="s">
        <v>1640</v>
      </c>
      <c r="I269" s="225" t="s">
        <v>325</v>
      </c>
      <c r="J269" s="160">
        <v>880</v>
      </c>
      <c r="K269" s="468">
        <v>4200000</v>
      </c>
      <c r="L269" s="1583">
        <v>997</v>
      </c>
      <c r="M269" s="1508">
        <v>4200000</v>
      </c>
      <c r="N269" s="1583">
        <v>1216</v>
      </c>
      <c r="O269" s="1611">
        <v>4200000</v>
      </c>
      <c r="P269" s="2002">
        <v>245</v>
      </c>
      <c r="Q269" s="449"/>
      <c r="R269" s="450"/>
      <c r="S269" s="450"/>
      <c r="T269" s="166"/>
      <c r="U269" s="450"/>
      <c r="V269" s="166"/>
      <c r="W269" s="166"/>
      <c r="X269" s="166"/>
      <c r="Y269" s="166"/>
      <c r="Z269" s="166"/>
      <c r="AA269" s="166"/>
      <c r="AB269" s="1604"/>
      <c r="AC269" s="695">
        <f t="shared" si="46"/>
        <v>0</v>
      </c>
      <c r="AD269" s="701">
        <f t="shared" si="47"/>
        <v>4200000</v>
      </c>
      <c r="AE269" s="1428"/>
      <c r="AF269" s="1986" t="s">
        <v>325</v>
      </c>
      <c r="AG269" s="316" t="s">
        <v>1581</v>
      </c>
      <c r="AH269" s="316" t="s">
        <v>630</v>
      </c>
      <c r="AI269" s="498">
        <f t="shared" si="48"/>
        <v>245</v>
      </c>
      <c r="AJ269" s="1983">
        <v>4200000</v>
      </c>
      <c r="AK269" s="871">
        <f t="shared" si="49"/>
        <v>0</v>
      </c>
      <c r="AL269" s="918"/>
      <c r="AM269" s="302">
        <f t="shared" si="50"/>
        <v>0</v>
      </c>
    </row>
    <row r="270" spans="1:39" s="8" customFormat="1">
      <c r="A270" s="88" t="s">
        <v>40</v>
      </c>
      <c r="B270" s="169">
        <f t="shared" si="41"/>
        <v>88000000</v>
      </c>
      <c r="C270" s="89" t="s">
        <v>36</v>
      </c>
      <c r="D270" s="89" t="s">
        <v>827</v>
      </c>
      <c r="E270" s="89" t="s">
        <v>37</v>
      </c>
      <c r="F270" s="87" t="s">
        <v>1650</v>
      </c>
      <c r="G270" s="89" t="s">
        <v>38</v>
      </c>
      <c r="H270" s="2076" t="s">
        <v>1640</v>
      </c>
      <c r="I270" s="225">
        <v>440</v>
      </c>
      <c r="J270" s="160"/>
      <c r="K270" s="468"/>
      <c r="L270" s="1583">
        <v>371</v>
      </c>
      <c r="M270" s="1508">
        <v>88000000</v>
      </c>
      <c r="N270" s="1583">
        <v>390</v>
      </c>
      <c r="O270" s="1611">
        <v>88000000</v>
      </c>
      <c r="P270" s="2002">
        <v>305</v>
      </c>
      <c r="Q270" s="449"/>
      <c r="R270" s="450"/>
      <c r="S270" s="450"/>
      <c r="T270" s="166"/>
      <c r="U270" s="450">
        <v>39564742</v>
      </c>
      <c r="V270" s="166">
        <v>48435258</v>
      </c>
      <c r="W270" s="166"/>
      <c r="X270" s="166"/>
      <c r="Y270" s="166"/>
      <c r="Z270" s="166"/>
      <c r="AA270" s="166"/>
      <c r="AB270" s="1604"/>
      <c r="AC270" s="695">
        <f t="shared" si="46"/>
        <v>88000000</v>
      </c>
      <c r="AD270" s="701">
        <f t="shared" si="47"/>
        <v>0</v>
      </c>
      <c r="AE270" s="1428"/>
      <c r="AF270" s="888">
        <v>440</v>
      </c>
      <c r="AG270" s="316" t="s">
        <v>284</v>
      </c>
      <c r="AH270" s="316" t="s">
        <v>816</v>
      </c>
      <c r="AI270" s="498">
        <f t="shared" si="48"/>
        <v>305</v>
      </c>
      <c r="AJ270" s="304">
        <v>88000000</v>
      </c>
      <c r="AK270" s="871">
        <f t="shared" si="49"/>
        <v>0</v>
      </c>
      <c r="AL270" s="918"/>
      <c r="AM270" s="302">
        <f t="shared" si="50"/>
        <v>0</v>
      </c>
    </row>
    <row r="271" spans="1:39" s="8" customFormat="1">
      <c r="A271" s="88" t="s">
        <v>40</v>
      </c>
      <c r="B271" s="169">
        <f t="shared" si="41"/>
        <v>0</v>
      </c>
      <c r="C271" s="89" t="s">
        <v>36</v>
      </c>
      <c r="D271" s="89" t="s">
        <v>827</v>
      </c>
      <c r="E271" s="89" t="s">
        <v>37</v>
      </c>
      <c r="F271" s="87" t="s">
        <v>1650</v>
      </c>
      <c r="G271" s="89" t="s">
        <v>38</v>
      </c>
      <c r="H271" s="2076" t="s">
        <v>1640</v>
      </c>
      <c r="I271" s="449" t="s">
        <v>325</v>
      </c>
      <c r="J271" s="160">
        <v>571</v>
      </c>
      <c r="K271" s="468">
        <f>14000000-14000000</f>
        <v>0</v>
      </c>
      <c r="L271" s="1583">
        <v>651</v>
      </c>
      <c r="M271" s="1508">
        <f>14000000-14000000</f>
        <v>0</v>
      </c>
      <c r="N271" s="1583"/>
      <c r="O271" s="1611"/>
      <c r="P271" s="2002">
        <v>305</v>
      </c>
      <c r="Q271" s="449"/>
      <c r="R271" s="450"/>
      <c r="S271" s="450"/>
      <c r="T271" s="450"/>
      <c r="U271" s="450"/>
      <c r="V271" s="166"/>
      <c r="W271" s="166"/>
      <c r="X271" s="166"/>
      <c r="Y271" s="166"/>
      <c r="Z271" s="166"/>
      <c r="AA271" s="166"/>
      <c r="AB271" s="1604"/>
      <c r="AC271" s="695">
        <f t="shared" si="46"/>
        <v>0</v>
      </c>
      <c r="AD271" s="701">
        <f t="shared" si="47"/>
        <v>0</v>
      </c>
      <c r="AE271" s="1428"/>
      <c r="AF271" s="888" t="s">
        <v>325</v>
      </c>
      <c r="AG271" s="316" t="s">
        <v>1169</v>
      </c>
      <c r="AH271" s="316" t="s">
        <v>816</v>
      </c>
      <c r="AI271" s="498">
        <f t="shared" si="48"/>
        <v>305</v>
      </c>
      <c r="AJ271" s="984">
        <f>14000000-14000000</f>
        <v>0</v>
      </c>
      <c r="AK271" s="871">
        <f t="shared" si="49"/>
        <v>0</v>
      </c>
      <c r="AL271" s="918"/>
      <c r="AM271" s="302">
        <f t="shared" si="50"/>
        <v>0</v>
      </c>
    </row>
    <row r="272" spans="1:39" s="8" customFormat="1">
      <c r="A272" s="88" t="s">
        <v>40</v>
      </c>
      <c r="B272" s="169">
        <f t="shared" si="41"/>
        <v>43507000</v>
      </c>
      <c r="C272" s="89" t="s">
        <v>36</v>
      </c>
      <c r="D272" s="89" t="s">
        <v>827</v>
      </c>
      <c r="E272" s="89" t="s">
        <v>37</v>
      </c>
      <c r="F272" s="87" t="s">
        <v>1650</v>
      </c>
      <c r="G272" s="89" t="s">
        <v>38</v>
      </c>
      <c r="H272" s="2076" t="s">
        <v>1640</v>
      </c>
      <c r="I272" s="449" t="s">
        <v>325</v>
      </c>
      <c r="J272" s="160">
        <v>629</v>
      </c>
      <c r="K272" s="468">
        <v>43507000</v>
      </c>
      <c r="L272" s="1583">
        <v>708</v>
      </c>
      <c r="M272" s="1508">
        <v>43507000</v>
      </c>
      <c r="N272" s="1583">
        <v>857</v>
      </c>
      <c r="O272" s="1508">
        <v>43507000</v>
      </c>
      <c r="P272" s="2002">
        <v>305</v>
      </c>
      <c r="Q272" s="449"/>
      <c r="R272" s="450"/>
      <c r="S272" s="450"/>
      <c r="T272" s="450"/>
      <c r="U272" s="450"/>
      <c r="V272" s="166"/>
      <c r="W272" s="166"/>
      <c r="X272" s="166"/>
      <c r="Y272" s="166"/>
      <c r="Z272" s="166"/>
      <c r="AA272" s="166"/>
      <c r="AB272" s="1604">
        <v>43507000</v>
      </c>
      <c r="AC272" s="695">
        <f t="shared" si="46"/>
        <v>43507000</v>
      </c>
      <c r="AD272" s="701">
        <f t="shared" si="47"/>
        <v>0</v>
      </c>
      <c r="AE272" s="1428"/>
      <c r="AF272" s="888" t="s">
        <v>325</v>
      </c>
      <c r="AG272" s="316" t="s">
        <v>1169</v>
      </c>
      <c r="AH272" s="316" t="s">
        <v>816</v>
      </c>
      <c r="AI272" s="498">
        <f t="shared" si="48"/>
        <v>305</v>
      </c>
      <c r="AJ272" s="984">
        <v>43507000</v>
      </c>
      <c r="AK272" s="871">
        <f t="shared" si="49"/>
        <v>0</v>
      </c>
      <c r="AL272" s="918"/>
      <c r="AM272" s="302">
        <f t="shared" si="50"/>
        <v>0</v>
      </c>
    </row>
    <row r="273" spans="1:39" s="130" customFormat="1">
      <c r="A273" s="88" t="s">
        <v>40</v>
      </c>
      <c r="B273" s="169">
        <f t="shared" si="41"/>
        <v>9970900</v>
      </c>
      <c r="C273" s="89" t="s">
        <v>36</v>
      </c>
      <c r="D273" s="89" t="s">
        <v>827</v>
      </c>
      <c r="E273" s="89" t="s">
        <v>37</v>
      </c>
      <c r="F273" s="87" t="s">
        <v>1650</v>
      </c>
      <c r="G273" s="89" t="s">
        <v>38</v>
      </c>
      <c r="H273" s="2076" t="s">
        <v>1640</v>
      </c>
      <c r="I273" s="1955" t="s">
        <v>739</v>
      </c>
      <c r="J273" s="1907" t="s">
        <v>1593</v>
      </c>
      <c r="K273" s="468">
        <f>1116600+1116600+1116600+1116600+1037547-1037547+1038100</f>
        <v>5504500</v>
      </c>
      <c r="L273" s="1314" t="s">
        <v>1605</v>
      </c>
      <c r="M273" s="1508">
        <f>1116600+1116600+1116600+1116600+1116600+1116600+1116600+1116600+1038100</f>
        <v>9970900</v>
      </c>
      <c r="N273" s="1314" t="s">
        <v>1603</v>
      </c>
      <c r="O273" s="1508">
        <f>1116600+1116600+1116600+1116600+1116600+1116600+1116600+1116600+1038100</f>
        <v>9970900</v>
      </c>
      <c r="P273" s="2002" t="s">
        <v>739</v>
      </c>
      <c r="Q273" s="1955"/>
      <c r="R273" s="1909"/>
      <c r="S273" s="1909"/>
      <c r="T273" s="1909"/>
      <c r="U273" s="1909">
        <v>1116600</v>
      </c>
      <c r="V273" s="154">
        <v>1116600</v>
      </c>
      <c r="W273" s="154">
        <v>1116600</v>
      </c>
      <c r="X273" s="154">
        <v>1116600</v>
      </c>
      <c r="Y273" s="154">
        <v>1116600</v>
      </c>
      <c r="Z273" s="154">
        <v>1116600</v>
      </c>
      <c r="AA273" s="154">
        <v>1116600</v>
      </c>
      <c r="AB273" s="1604">
        <f>1116600+1038100</f>
        <v>2154700</v>
      </c>
      <c r="AC273" s="695">
        <f t="shared" ref="AC273:AC286" si="51">SUM(Q273:AB273)</f>
        <v>9970900</v>
      </c>
      <c r="AD273" s="701">
        <f t="shared" ref="AD273:AD286" si="52">O273-AC273</f>
        <v>0</v>
      </c>
      <c r="AE273" s="1428"/>
      <c r="AF273" s="1919" t="s">
        <v>739</v>
      </c>
      <c r="AG273" s="316" t="s">
        <v>283</v>
      </c>
      <c r="AH273" s="316" t="s">
        <v>1364</v>
      </c>
      <c r="AI273" s="992" t="s">
        <v>739</v>
      </c>
      <c r="AJ273" s="1956">
        <f>9314282+2600000</f>
        <v>11914282</v>
      </c>
      <c r="AK273" s="875">
        <f t="shared" ref="AK273:AK286" si="53">AJ273-O273</f>
        <v>1943382</v>
      </c>
      <c r="AL273" s="1957"/>
      <c r="AM273" s="1958">
        <f t="shared" ref="AM273:AM286" si="54">AJ273-M273</f>
        <v>1943382</v>
      </c>
    </row>
    <row r="274" spans="1:39" s="8" customFormat="1">
      <c r="A274" s="88" t="s">
        <v>40</v>
      </c>
      <c r="B274" s="169">
        <f t="shared" si="41"/>
        <v>2000000</v>
      </c>
      <c r="C274" s="89" t="s">
        <v>36</v>
      </c>
      <c r="D274" s="89" t="s">
        <v>827</v>
      </c>
      <c r="E274" s="89" t="s">
        <v>37</v>
      </c>
      <c r="F274" s="87" t="s">
        <v>1650</v>
      </c>
      <c r="G274" s="89" t="s">
        <v>38</v>
      </c>
      <c r="H274" s="2076" t="s">
        <v>1640</v>
      </c>
      <c r="I274" s="449">
        <v>537</v>
      </c>
      <c r="J274" s="160"/>
      <c r="K274" s="468"/>
      <c r="L274" s="1583">
        <v>550</v>
      </c>
      <c r="M274" s="1508">
        <v>2000000</v>
      </c>
      <c r="N274" s="1583">
        <v>637</v>
      </c>
      <c r="O274" s="1611">
        <v>2000000</v>
      </c>
      <c r="P274" s="2002">
        <v>385</v>
      </c>
      <c r="Q274" s="449"/>
      <c r="R274" s="450"/>
      <c r="S274" s="450"/>
      <c r="T274" s="450"/>
      <c r="U274" s="450"/>
      <c r="V274" s="450"/>
      <c r="W274" s="166"/>
      <c r="X274" s="166"/>
      <c r="Y274" s="166"/>
      <c r="Z274" s="166"/>
      <c r="AA274" s="166"/>
      <c r="AB274" s="1604">
        <f>1000000+1000000</f>
        <v>2000000</v>
      </c>
      <c r="AC274" s="695">
        <f t="shared" si="51"/>
        <v>2000000</v>
      </c>
      <c r="AD274" s="701">
        <f t="shared" si="52"/>
        <v>0</v>
      </c>
      <c r="AE274" s="1428"/>
      <c r="AF274" s="888">
        <v>537</v>
      </c>
      <c r="AG274" s="316" t="s">
        <v>258</v>
      </c>
      <c r="AH274" s="316" t="s">
        <v>1088</v>
      </c>
      <c r="AI274" s="498">
        <f t="shared" ref="AI274:AI286" si="55">P274</f>
        <v>385</v>
      </c>
      <c r="AJ274" s="984">
        <v>2000000</v>
      </c>
      <c r="AK274" s="871">
        <f t="shared" si="53"/>
        <v>0</v>
      </c>
      <c r="AL274" s="918"/>
      <c r="AM274" s="302">
        <f t="shared" si="54"/>
        <v>0</v>
      </c>
    </row>
    <row r="275" spans="1:39" s="8" customFormat="1">
      <c r="A275" s="88" t="s">
        <v>40</v>
      </c>
      <c r="B275" s="169">
        <f t="shared" si="41"/>
        <v>30305000</v>
      </c>
      <c r="C275" s="89" t="s">
        <v>36</v>
      </c>
      <c r="D275" s="89" t="s">
        <v>827</v>
      </c>
      <c r="E275" s="89" t="s">
        <v>37</v>
      </c>
      <c r="F275" s="87" t="s">
        <v>1650</v>
      </c>
      <c r="G275" s="89" t="s">
        <v>38</v>
      </c>
      <c r="H275" s="2076" t="s">
        <v>1640</v>
      </c>
      <c r="I275" s="449">
        <v>558</v>
      </c>
      <c r="J275" s="160"/>
      <c r="K275" s="468"/>
      <c r="L275" s="1583">
        <v>607</v>
      </c>
      <c r="M275" s="1508">
        <v>30305000</v>
      </c>
      <c r="N275" s="1583">
        <v>720</v>
      </c>
      <c r="O275" s="1611">
        <v>30305000</v>
      </c>
      <c r="P275" s="2002">
        <v>434</v>
      </c>
      <c r="Q275" s="449"/>
      <c r="R275" s="450"/>
      <c r="S275" s="450"/>
      <c r="T275" s="450"/>
      <c r="U275" s="450"/>
      <c r="V275" s="450"/>
      <c r="W275" s="450"/>
      <c r="X275" s="166"/>
      <c r="Y275" s="166">
        <v>6479000</v>
      </c>
      <c r="Z275" s="166">
        <v>6270000</v>
      </c>
      <c r="AA275" s="166">
        <v>6270000</v>
      </c>
      <c r="AB275" s="1604">
        <f>6270000+5016000</f>
        <v>11286000</v>
      </c>
      <c r="AC275" s="695">
        <f t="shared" si="51"/>
        <v>30305000</v>
      </c>
      <c r="AD275" s="701">
        <f t="shared" si="52"/>
        <v>0</v>
      </c>
      <c r="AE275" s="1428"/>
      <c r="AF275" s="888">
        <v>558</v>
      </c>
      <c r="AG275" s="316" t="s">
        <v>1105</v>
      </c>
      <c r="AH275" s="316" t="s">
        <v>1133</v>
      </c>
      <c r="AI275" s="498">
        <f t="shared" si="55"/>
        <v>434</v>
      </c>
      <c r="AJ275" s="984">
        <v>30305000</v>
      </c>
      <c r="AK275" s="871">
        <f t="shared" si="53"/>
        <v>0</v>
      </c>
      <c r="AL275" s="918"/>
      <c r="AM275" s="302">
        <f t="shared" si="54"/>
        <v>0</v>
      </c>
    </row>
    <row r="276" spans="1:39" s="8" customFormat="1">
      <c r="A276" s="88" t="s">
        <v>40</v>
      </c>
      <c r="B276" s="169">
        <f t="shared" si="41"/>
        <v>7315000</v>
      </c>
      <c r="C276" s="89" t="s">
        <v>36</v>
      </c>
      <c r="D276" s="89" t="s">
        <v>827</v>
      </c>
      <c r="E276" s="89" t="s">
        <v>37</v>
      </c>
      <c r="F276" s="87" t="s">
        <v>1650</v>
      </c>
      <c r="G276" s="89" t="s">
        <v>38</v>
      </c>
      <c r="H276" s="2076" t="s">
        <v>1640</v>
      </c>
      <c r="I276" s="449" t="s">
        <v>325</v>
      </c>
      <c r="J276" s="160">
        <v>772</v>
      </c>
      <c r="K276" s="468">
        <v>7315000</v>
      </c>
      <c r="L276" s="1583">
        <v>898</v>
      </c>
      <c r="M276" s="1508">
        <v>7315000</v>
      </c>
      <c r="N276" s="1583">
        <v>1091</v>
      </c>
      <c r="O276" s="1611">
        <v>7315000</v>
      </c>
      <c r="P276" s="2002">
        <v>434</v>
      </c>
      <c r="Q276" s="449"/>
      <c r="R276" s="450"/>
      <c r="S276" s="450"/>
      <c r="T276" s="450"/>
      <c r="U276" s="450"/>
      <c r="V276" s="450"/>
      <c r="W276" s="450"/>
      <c r="X276" s="450"/>
      <c r="Y276" s="166"/>
      <c r="Z276" s="166"/>
      <c r="AA276" s="166"/>
      <c r="AB276" s="1604">
        <v>1254000</v>
      </c>
      <c r="AC276" s="695">
        <f t="shared" si="51"/>
        <v>1254000</v>
      </c>
      <c r="AD276" s="701">
        <f t="shared" si="52"/>
        <v>6061000</v>
      </c>
      <c r="AE276" s="1428"/>
      <c r="AF276" s="888" t="s">
        <v>325</v>
      </c>
      <c r="AG276" s="316" t="s">
        <v>1385</v>
      </c>
      <c r="AH276" s="316" t="s">
        <v>1133</v>
      </c>
      <c r="AI276" s="498">
        <f t="shared" si="55"/>
        <v>434</v>
      </c>
      <c r="AJ276" s="984">
        <f>7723334-7723334+7315000</f>
        <v>7315000</v>
      </c>
      <c r="AK276" s="871">
        <f t="shared" si="53"/>
        <v>0</v>
      </c>
      <c r="AL276" s="918"/>
      <c r="AM276" s="302">
        <f t="shared" si="54"/>
        <v>0</v>
      </c>
    </row>
    <row r="277" spans="1:39" s="8" customFormat="1">
      <c r="A277" s="88" t="s">
        <v>40</v>
      </c>
      <c r="B277" s="169">
        <f t="shared" si="41"/>
        <v>12000000</v>
      </c>
      <c r="C277" s="89" t="s">
        <v>36</v>
      </c>
      <c r="D277" s="89" t="s">
        <v>827</v>
      </c>
      <c r="E277" s="89" t="s">
        <v>37</v>
      </c>
      <c r="F277" s="87" t="s">
        <v>1650</v>
      </c>
      <c r="G277" s="89" t="s">
        <v>38</v>
      </c>
      <c r="H277" s="2076" t="s">
        <v>1640</v>
      </c>
      <c r="I277" s="449">
        <v>561</v>
      </c>
      <c r="J277" s="160"/>
      <c r="K277" s="468"/>
      <c r="L277" s="1583">
        <v>635</v>
      </c>
      <c r="M277" s="1508">
        <v>12000000</v>
      </c>
      <c r="N277" s="1583">
        <v>920</v>
      </c>
      <c r="O277" s="1611">
        <v>12000000</v>
      </c>
      <c r="P277" s="2002">
        <v>486</v>
      </c>
      <c r="Q277" s="449"/>
      <c r="R277" s="450"/>
      <c r="S277" s="450"/>
      <c r="T277" s="450"/>
      <c r="U277" s="450"/>
      <c r="V277" s="450"/>
      <c r="W277" s="450"/>
      <c r="X277" s="450"/>
      <c r="Y277" s="166"/>
      <c r="Z277" s="166"/>
      <c r="AA277" s="166"/>
      <c r="AB277" s="1604">
        <f>6600000+5400000</f>
        <v>12000000</v>
      </c>
      <c r="AC277" s="695">
        <f t="shared" si="51"/>
        <v>12000000</v>
      </c>
      <c r="AD277" s="701">
        <f t="shared" si="52"/>
        <v>0</v>
      </c>
      <c r="AE277" s="1428"/>
      <c r="AF277" s="888">
        <v>561</v>
      </c>
      <c r="AG277" s="1378" t="s">
        <v>1170</v>
      </c>
      <c r="AH277" s="351" t="s">
        <v>1365</v>
      </c>
      <c r="AI277" s="498">
        <f t="shared" si="55"/>
        <v>486</v>
      </c>
      <c r="AJ277" s="984">
        <v>12000000</v>
      </c>
      <c r="AK277" s="871">
        <f t="shared" si="53"/>
        <v>0</v>
      </c>
      <c r="AL277" s="918"/>
      <c r="AM277" s="302">
        <f t="shared" si="54"/>
        <v>0</v>
      </c>
    </row>
    <row r="278" spans="1:39" s="8" customFormat="1">
      <c r="A278" s="88" t="s">
        <v>40</v>
      </c>
      <c r="B278" s="169">
        <f t="shared" si="41"/>
        <v>6000000</v>
      </c>
      <c r="C278" s="89" t="s">
        <v>36</v>
      </c>
      <c r="D278" s="89" t="s">
        <v>827</v>
      </c>
      <c r="E278" s="89" t="s">
        <v>37</v>
      </c>
      <c r="F278" s="87" t="s">
        <v>1650</v>
      </c>
      <c r="G278" s="89" t="s">
        <v>38</v>
      </c>
      <c r="H278" s="2076" t="s">
        <v>1640</v>
      </c>
      <c r="I278" s="449">
        <v>562</v>
      </c>
      <c r="J278" s="160">
        <v>638</v>
      </c>
      <c r="K278" s="468">
        <v>6000000</v>
      </c>
      <c r="L278" s="1583">
        <v>636</v>
      </c>
      <c r="M278" s="1508">
        <v>6000000</v>
      </c>
      <c r="N278" s="1583">
        <v>887</v>
      </c>
      <c r="O278" s="1611">
        <v>6000000</v>
      </c>
      <c r="P278" s="2002">
        <v>473</v>
      </c>
      <c r="Q278" s="449"/>
      <c r="R278" s="450"/>
      <c r="S278" s="450"/>
      <c r="T278" s="450"/>
      <c r="U278" s="450"/>
      <c r="V278" s="450"/>
      <c r="W278" s="450"/>
      <c r="X278" s="450"/>
      <c r="Y278" s="166"/>
      <c r="Z278" s="166"/>
      <c r="AA278" s="166">
        <v>2800000</v>
      </c>
      <c r="AB278" s="1604">
        <v>3200000</v>
      </c>
      <c r="AC278" s="695">
        <f t="shared" si="51"/>
        <v>6000000</v>
      </c>
      <c r="AD278" s="701">
        <f t="shared" si="52"/>
        <v>0</v>
      </c>
      <c r="AE278" s="1428"/>
      <c r="AF278" s="888">
        <v>562</v>
      </c>
      <c r="AG278" s="1378" t="s">
        <v>1171</v>
      </c>
      <c r="AH278" s="268" t="s">
        <v>1356</v>
      </c>
      <c r="AI278" s="498">
        <f t="shared" si="55"/>
        <v>473</v>
      </c>
      <c r="AJ278" s="984">
        <v>6000000</v>
      </c>
      <c r="AK278" s="871">
        <f t="shared" si="53"/>
        <v>0</v>
      </c>
      <c r="AL278" s="918"/>
      <c r="AM278" s="302">
        <f t="shared" si="54"/>
        <v>0</v>
      </c>
    </row>
    <row r="279" spans="1:39" s="8" customFormat="1">
      <c r="A279" s="88" t="s">
        <v>40</v>
      </c>
      <c r="B279" s="169">
        <f t="shared" si="41"/>
        <v>7500000</v>
      </c>
      <c r="C279" s="89" t="s">
        <v>36</v>
      </c>
      <c r="D279" s="89" t="s">
        <v>827</v>
      </c>
      <c r="E279" s="89" t="s">
        <v>37</v>
      </c>
      <c r="F279" s="87" t="s">
        <v>1650</v>
      </c>
      <c r="G279" s="89" t="s">
        <v>38</v>
      </c>
      <c r="H279" s="2076" t="s">
        <v>1640</v>
      </c>
      <c r="I279" s="449">
        <v>563</v>
      </c>
      <c r="J279" s="160"/>
      <c r="K279" s="468"/>
      <c r="L279" s="1583">
        <v>637</v>
      </c>
      <c r="M279" s="1508">
        <v>7500000</v>
      </c>
      <c r="N279" s="1583">
        <v>921</v>
      </c>
      <c r="O279" s="1611">
        <v>7500000</v>
      </c>
      <c r="P279" s="2002">
        <v>485</v>
      </c>
      <c r="Q279" s="449"/>
      <c r="R279" s="450"/>
      <c r="S279" s="450"/>
      <c r="T279" s="450"/>
      <c r="U279" s="450"/>
      <c r="V279" s="450"/>
      <c r="W279" s="450"/>
      <c r="X279" s="450"/>
      <c r="Y279" s="166"/>
      <c r="Z279" s="166"/>
      <c r="AA279" s="166"/>
      <c r="AB279" s="1604">
        <f>3875000+3625000</f>
        <v>7500000</v>
      </c>
      <c r="AC279" s="695">
        <f t="shared" si="51"/>
        <v>7500000</v>
      </c>
      <c r="AD279" s="701">
        <f t="shared" si="52"/>
        <v>0</v>
      </c>
      <c r="AE279" s="1428"/>
      <c r="AF279" s="888">
        <v>563</v>
      </c>
      <c r="AG279" s="1378" t="s">
        <v>1172</v>
      </c>
      <c r="AH279" s="268" t="s">
        <v>1366</v>
      </c>
      <c r="AI279" s="498">
        <f t="shared" si="55"/>
        <v>485</v>
      </c>
      <c r="AJ279" s="984">
        <v>7500000</v>
      </c>
      <c r="AK279" s="871">
        <f t="shared" si="53"/>
        <v>0</v>
      </c>
      <c r="AL279" s="918"/>
      <c r="AM279" s="302">
        <f t="shared" si="54"/>
        <v>0</v>
      </c>
    </row>
    <row r="280" spans="1:39" s="8" customFormat="1">
      <c r="A280" s="88" t="s">
        <v>40</v>
      </c>
      <c r="B280" s="169">
        <f t="shared" si="41"/>
        <v>9000000</v>
      </c>
      <c r="C280" s="89" t="s">
        <v>36</v>
      </c>
      <c r="D280" s="89" t="s">
        <v>827</v>
      </c>
      <c r="E280" s="89" t="s">
        <v>37</v>
      </c>
      <c r="F280" s="87" t="s">
        <v>1650</v>
      </c>
      <c r="G280" s="89" t="s">
        <v>38</v>
      </c>
      <c r="H280" s="2076" t="s">
        <v>1640</v>
      </c>
      <c r="I280" s="449">
        <v>564</v>
      </c>
      <c r="J280" s="160"/>
      <c r="K280" s="468"/>
      <c r="L280" s="1583">
        <v>638</v>
      </c>
      <c r="M280" s="1508">
        <v>9000000</v>
      </c>
      <c r="N280" s="1583">
        <v>796</v>
      </c>
      <c r="O280" s="1611">
        <v>9000000</v>
      </c>
      <c r="P280" s="2002">
        <v>446</v>
      </c>
      <c r="Q280" s="449"/>
      <c r="R280" s="450"/>
      <c r="S280" s="450"/>
      <c r="T280" s="450"/>
      <c r="U280" s="450"/>
      <c r="V280" s="450"/>
      <c r="W280" s="450"/>
      <c r="X280" s="450"/>
      <c r="Y280" s="166"/>
      <c r="Z280" s="166">
        <v>2500000</v>
      </c>
      <c r="AA280" s="166">
        <v>3000000</v>
      </c>
      <c r="AB280" s="1604">
        <f>3000000+500000</f>
        <v>3500000</v>
      </c>
      <c r="AC280" s="695">
        <f t="shared" si="51"/>
        <v>9000000</v>
      </c>
      <c r="AD280" s="701">
        <f t="shared" si="52"/>
        <v>0</v>
      </c>
      <c r="AE280" s="1428"/>
      <c r="AF280" s="888">
        <v>564</v>
      </c>
      <c r="AG280" s="1378" t="s">
        <v>1173</v>
      </c>
      <c r="AH280" s="268" t="s">
        <v>1065</v>
      </c>
      <c r="AI280" s="498">
        <f t="shared" si="55"/>
        <v>446</v>
      </c>
      <c r="AJ280" s="984">
        <v>9000000</v>
      </c>
      <c r="AK280" s="871">
        <f t="shared" si="53"/>
        <v>0</v>
      </c>
      <c r="AL280" s="918"/>
      <c r="AM280" s="302">
        <f t="shared" si="54"/>
        <v>0</v>
      </c>
    </row>
    <row r="281" spans="1:39" s="8" customFormat="1">
      <c r="A281" s="88" t="s">
        <v>40</v>
      </c>
      <c r="B281" s="169">
        <f t="shared" si="41"/>
        <v>20000000</v>
      </c>
      <c r="C281" s="89" t="s">
        <v>36</v>
      </c>
      <c r="D281" s="89" t="s">
        <v>827</v>
      </c>
      <c r="E281" s="89" t="s">
        <v>37</v>
      </c>
      <c r="F281" s="87" t="s">
        <v>1650</v>
      </c>
      <c r="G281" s="89" t="s">
        <v>38</v>
      </c>
      <c r="H281" s="2076" t="s">
        <v>1640</v>
      </c>
      <c r="I281" s="449">
        <v>565</v>
      </c>
      <c r="J281" s="160"/>
      <c r="K281" s="468"/>
      <c r="L281" s="1583">
        <v>647</v>
      </c>
      <c r="M281" s="1508">
        <f>25000000-5000000</f>
        <v>20000000</v>
      </c>
      <c r="N281" s="1583" t="s">
        <v>1231</v>
      </c>
      <c r="O281" s="1611">
        <f>25000000-25000000+25000000-25000000+20000000</f>
        <v>20000000</v>
      </c>
      <c r="P281" s="2002">
        <v>449</v>
      </c>
      <c r="Q281" s="449"/>
      <c r="R281" s="450"/>
      <c r="S281" s="450"/>
      <c r="T281" s="450"/>
      <c r="U281" s="450"/>
      <c r="V281" s="450"/>
      <c r="W281" s="450"/>
      <c r="X281" s="450"/>
      <c r="Y281" s="166"/>
      <c r="Z281" s="166">
        <v>4833334</v>
      </c>
      <c r="AA281" s="166">
        <v>5000000</v>
      </c>
      <c r="AB281" s="1604">
        <f>5000000+5000000</f>
        <v>10000000</v>
      </c>
      <c r="AC281" s="695">
        <f t="shared" si="51"/>
        <v>19833334</v>
      </c>
      <c r="AD281" s="701">
        <f t="shared" si="52"/>
        <v>166666</v>
      </c>
      <c r="AE281" s="1428"/>
      <c r="AF281" s="888">
        <v>565</v>
      </c>
      <c r="AG281" s="1378" t="s">
        <v>1174</v>
      </c>
      <c r="AH281" s="351" t="s">
        <v>1232</v>
      </c>
      <c r="AI281" s="498">
        <f t="shared" si="55"/>
        <v>449</v>
      </c>
      <c r="AJ281" s="984">
        <f>25000000-5000000</f>
        <v>20000000</v>
      </c>
      <c r="AK281" s="871">
        <f t="shared" si="53"/>
        <v>0</v>
      </c>
      <c r="AL281" s="918"/>
      <c r="AM281" s="302">
        <f t="shared" si="54"/>
        <v>0</v>
      </c>
    </row>
    <row r="282" spans="1:39" s="8" customFormat="1">
      <c r="A282" s="88" t="s">
        <v>40</v>
      </c>
      <c r="B282" s="169">
        <f t="shared" si="41"/>
        <v>18000000</v>
      </c>
      <c r="C282" s="89" t="s">
        <v>36</v>
      </c>
      <c r="D282" s="89" t="s">
        <v>827</v>
      </c>
      <c r="E282" s="89" t="s">
        <v>37</v>
      </c>
      <c r="F282" s="87" t="s">
        <v>1650</v>
      </c>
      <c r="G282" s="89" t="s">
        <v>38</v>
      </c>
      <c r="H282" s="2076" t="s">
        <v>1640</v>
      </c>
      <c r="I282" s="449">
        <v>566</v>
      </c>
      <c r="J282" s="160"/>
      <c r="K282" s="468"/>
      <c r="L282" s="1583">
        <v>639</v>
      </c>
      <c r="M282" s="1508">
        <v>18000000</v>
      </c>
      <c r="N282" s="1583">
        <v>799</v>
      </c>
      <c r="O282" s="1611">
        <v>18000000</v>
      </c>
      <c r="P282" s="2002">
        <v>452</v>
      </c>
      <c r="Q282" s="449"/>
      <c r="R282" s="450"/>
      <c r="S282" s="450"/>
      <c r="T282" s="450"/>
      <c r="U282" s="450"/>
      <c r="V282" s="450"/>
      <c r="W282" s="450"/>
      <c r="X282" s="450"/>
      <c r="Y282" s="166"/>
      <c r="Z282" s="166">
        <v>6400000</v>
      </c>
      <c r="AA282" s="166">
        <v>6000000</v>
      </c>
      <c r="AB282" s="1604">
        <v>5600000</v>
      </c>
      <c r="AC282" s="695">
        <f t="shared" si="51"/>
        <v>18000000</v>
      </c>
      <c r="AD282" s="701">
        <f t="shared" si="52"/>
        <v>0</v>
      </c>
      <c r="AE282" s="1428"/>
      <c r="AF282" s="888">
        <v>566</v>
      </c>
      <c r="AG282" s="316" t="s">
        <v>1175</v>
      </c>
      <c r="AH282" s="316" t="s">
        <v>1229</v>
      </c>
      <c r="AI282" s="498">
        <f t="shared" si="55"/>
        <v>452</v>
      </c>
      <c r="AJ282" s="984">
        <v>18000000</v>
      </c>
      <c r="AK282" s="871">
        <f t="shared" si="53"/>
        <v>0</v>
      </c>
      <c r="AL282" s="918"/>
      <c r="AM282" s="302">
        <f t="shared" si="54"/>
        <v>0</v>
      </c>
    </row>
    <row r="283" spans="1:39" s="8" customFormat="1">
      <c r="A283" s="88" t="s">
        <v>40</v>
      </c>
      <c r="B283" s="169">
        <f t="shared" si="41"/>
        <v>10000000</v>
      </c>
      <c r="C283" s="89" t="s">
        <v>36</v>
      </c>
      <c r="D283" s="89" t="s">
        <v>827</v>
      </c>
      <c r="E283" s="89" t="s">
        <v>37</v>
      </c>
      <c r="F283" s="87" t="s">
        <v>1650</v>
      </c>
      <c r="G283" s="89" t="s">
        <v>38</v>
      </c>
      <c r="H283" s="2076" t="s">
        <v>1640</v>
      </c>
      <c r="I283" s="449">
        <v>602</v>
      </c>
      <c r="J283" s="160">
        <v>655</v>
      </c>
      <c r="K283" s="468">
        <v>10000000</v>
      </c>
      <c r="L283" s="1583">
        <v>746</v>
      </c>
      <c r="M283" s="1508">
        <v>10000000</v>
      </c>
      <c r="N283" s="1583">
        <v>911</v>
      </c>
      <c r="O283" s="1611">
        <v>10000000</v>
      </c>
      <c r="P283" s="2002">
        <v>483</v>
      </c>
      <c r="Q283" s="449"/>
      <c r="R283" s="450"/>
      <c r="S283" s="450"/>
      <c r="T283" s="450"/>
      <c r="U283" s="450"/>
      <c r="V283" s="450"/>
      <c r="W283" s="450"/>
      <c r="X283" s="450"/>
      <c r="Y283" s="166"/>
      <c r="Z283" s="166"/>
      <c r="AA283" s="166"/>
      <c r="AB283" s="1604">
        <f>6500000+3500000</f>
        <v>10000000</v>
      </c>
      <c r="AC283" s="695">
        <f t="shared" si="51"/>
        <v>10000000</v>
      </c>
      <c r="AD283" s="701">
        <f t="shared" si="52"/>
        <v>0</v>
      </c>
      <c r="AE283" s="1428"/>
      <c r="AF283" s="888">
        <v>602</v>
      </c>
      <c r="AG283" s="316" t="s">
        <v>1300</v>
      </c>
      <c r="AH283" s="316" t="s">
        <v>1357</v>
      </c>
      <c r="AI283" s="498">
        <f t="shared" si="55"/>
        <v>483</v>
      </c>
      <c r="AJ283" s="984">
        <v>10000000</v>
      </c>
      <c r="AK283" s="871">
        <f t="shared" si="53"/>
        <v>0</v>
      </c>
      <c r="AL283" s="918"/>
      <c r="AM283" s="302">
        <f t="shared" si="54"/>
        <v>0</v>
      </c>
    </row>
    <row r="284" spans="1:39" s="8" customFormat="1">
      <c r="A284" s="88" t="s">
        <v>40</v>
      </c>
      <c r="B284" s="169">
        <f t="shared" si="41"/>
        <v>7000000</v>
      </c>
      <c r="C284" s="89" t="s">
        <v>36</v>
      </c>
      <c r="D284" s="89" t="s">
        <v>827</v>
      </c>
      <c r="E284" s="89" t="s">
        <v>37</v>
      </c>
      <c r="F284" s="87" t="s">
        <v>1650</v>
      </c>
      <c r="G284" s="89" t="s">
        <v>38</v>
      </c>
      <c r="H284" s="2076" t="s">
        <v>1640</v>
      </c>
      <c r="I284" s="449">
        <v>617</v>
      </c>
      <c r="J284" s="160">
        <v>694</v>
      </c>
      <c r="K284" s="468">
        <v>7000000</v>
      </c>
      <c r="L284" s="1583">
        <v>796</v>
      </c>
      <c r="M284" s="1508">
        <v>7000000</v>
      </c>
      <c r="N284" s="1583">
        <v>1002</v>
      </c>
      <c r="O284" s="1611">
        <v>7000000</v>
      </c>
      <c r="P284" s="2002">
        <v>501</v>
      </c>
      <c r="Q284" s="449"/>
      <c r="R284" s="450"/>
      <c r="S284" s="450"/>
      <c r="T284" s="450"/>
      <c r="U284" s="450"/>
      <c r="V284" s="450"/>
      <c r="W284" s="450"/>
      <c r="X284" s="450"/>
      <c r="Y284" s="166"/>
      <c r="Z284" s="450"/>
      <c r="AA284" s="450"/>
      <c r="AB284" s="1604">
        <v>7000000</v>
      </c>
      <c r="AC284" s="695">
        <f t="shared" si="51"/>
        <v>7000000</v>
      </c>
      <c r="AD284" s="701">
        <f t="shared" si="52"/>
        <v>0</v>
      </c>
      <c r="AE284" s="1428"/>
      <c r="AF284" s="888">
        <v>617</v>
      </c>
      <c r="AG284" s="316" t="s">
        <v>1398</v>
      </c>
      <c r="AH284" s="316" t="s">
        <v>1535</v>
      </c>
      <c r="AI284" s="498">
        <f t="shared" si="55"/>
        <v>501</v>
      </c>
      <c r="AJ284" s="984">
        <v>7000000</v>
      </c>
      <c r="AK284" s="871">
        <f t="shared" si="53"/>
        <v>0</v>
      </c>
      <c r="AL284" s="918"/>
      <c r="AM284" s="302">
        <f t="shared" si="54"/>
        <v>0</v>
      </c>
    </row>
    <row r="285" spans="1:39" s="8" customFormat="1">
      <c r="A285" s="88" t="s">
        <v>40</v>
      </c>
      <c r="B285" s="169">
        <f t="shared" si="41"/>
        <v>4000000</v>
      </c>
      <c r="C285" s="89" t="s">
        <v>36</v>
      </c>
      <c r="D285" s="89" t="s">
        <v>827</v>
      </c>
      <c r="E285" s="89" t="s">
        <v>37</v>
      </c>
      <c r="F285" s="87" t="s">
        <v>1650</v>
      </c>
      <c r="G285" s="89" t="s">
        <v>38</v>
      </c>
      <c r="H285" s="2076" t="s">
        <v>1640</v>
      </c>
      <c r="I285" s="449">
        <v>618</v>
      </c>
      <c r="J285" s="1907" t="s">
        <v>1459</v>
      </c>
      <c r="K285" s="468">
        <f>4000000-4000000+4000000</f>
        <v>4000000</v>
      </c>
      <c r="L285" s="1583">
        <v>837</v>
      </c>
      <c r="M285" s="1508">
        <v>4000000</v>
      </c>
      <c r="N285" s="1583">
        <v>1003</v>
      </c>
      <c r="O285" s="1611">
        <v>4000000</v>
      </c>
      <c r="P285" s="2002">
        <v>503</v>
      </c>
      <c r="Q285" s="449"/>
      <c r="R285" s="450"/>
      <c r="S285" s="450"/>
      <c r="T285" s="450"/>
      <c r="U285" s="450"/>
      <c r="V285" s="450"/>
      <c r="W285" s="450"/>
      <c r="X285" s="450"/>
      <c r="Y285" s="166"/>
      <c r="Z285" s="450"/>
      <c r="AA285" s="450"/>
      <c r="AB285" s="1604">
        <v>2933333</v>
      </c>
      <c r="AC285" s="695">
        <f t="shared" si="51"/>
        <v>2933333</v>
      </c>
      <c r="AD285" s="701">
        <f t="shared" si="52"/>
        <v>1066667</v>
      </c>
      <c r="AE285" s="1428"/>
      <c r="AF285" s="888">
        <v>618</v>
      </c>
      <c r="AG285" s="316" t="s">
        <v>1430</v>
      </c>
      <c r="AH285" s="316" t="s">
        <v>1534</v>
      </c>
      <c r="AI285" s="498">
        <f t="shared" si="55"/>
        <v>503</v>
      </c>
      <c r="AJ285" s="984">
        <v>4000000</v>
      </c>
      <c r="AK285" s="871">
        <f t="shared" si="53"/>
        <v>0</v>
      </c>
      <c r="AL285" s="918"/>
      <c r="AM285" s="302">
        <f t="shared" si="54"/>
        <v>0</v>
      </c>
    </row>
    <row r="286" spans="1:39" s="8" customFormat="1">
      <c r="A286" s="88" t="s">
        <v>40</v>
      </c>
      <c r="B286" s="169">
        <f t="shared" si="41"/>
        <v>0</v>
      </c>
      <c r="C286" s="89" t="s">
        <v>36</v>
      </c>
      <c r="D286" s="89" t="s">
        <v>827</v>
      </c>
      <c r="E286" s="89" t="s">
        <v>37</v>
      </c>
      <c r="F286" s="87" t="s">
        <v>1650</v>
      </c>
      <c r="G286" s="89" t="s">
        <v>38</v>
      </c>
      <c r="H286" s="2076" t="s">
        <v>1640</v>
      </c>
      <c r="I286" s="449" t="s">
        <v>173</v>
      </c>
      <c r="J286" s="160"/>
      <c r="K286" s="468"/>
      <c r="L286" s="1583"/>
      <c r="M286" s="1508"/>
      <c r="N286" s="1583"/>
      <c r="O286" s="1611"/>
      <c r="P286" s="2002"/>
      <c r="Q286" s="449"/>
      <c r="R286" s="450"/>
      <c r="S286" s="450"/>
      <c r="T286" s="450"/>
      <c r="U286" s="450"/>
      <c r="V286" s="450"/>
      <c r="W286" s="450"/>
      <c r="X286" s="450"/>
      <c r="Y286" s="166"/>
      <c r="Z286" s="450"/>
      <c r="AA286" s="450"/>
      <c r="AB286" s="1605"/>
      <c r="AC286" s="695">
        <f t="shared" si="51"/>
        <v>0</v>
      </c>
      <c r="AD286" s="701">
        <f t="shared" si="52"/>
        <v>0</v>
      </c>
      <c r="AE286" s="1428"/>
      <c r="AF286" s="888" t="s">
        <v>325</v>
      </c>
      <c r="AG286" s="316" t="s">
        <v>493</v>
      </c>
      <c r="AH286" s="316"/>
      <c r="AI286" s="498">
        <f t="shared" si="55"/>
        <v>0</v>
      </c>
      <c r="AJ286" s="984">
        <f>6067360-5305000+13771510+4273000-10400000+3000000-2600000-7631833-1175037</f>
        <v>0</v>
      </c>
      <c r="AK286" s="871">
        <f t="shared" si="53"/>
        <v>0</v>
      </c>
      <c r="AL286" s="791"/>
      <c r="AM286" s="302">
        <f t="shared" si="54"/>
        <v>0</v>
      </c>
    </row>
    <row r="287" spans="1:39" s="8" customFormat="1" ht="15">
      <c r="A287" s="167" t="s">
        <v>24</v>
      </c>
      <c r="B287" s="173">
        <f>B207-SUM(B208:B286)</f>
        <v>43827558</v>
      </c>
      <c r="C287" s="90"/>
      <c r="D287" s="90"/>
      <c r="E287" s="90"/>
      <c r="F287" s="90"/>
      <c r="G287" s="90"/>
      <c r="H287" s="2077"/>
      <c r="I287" s="947"/>
      <c r="J287" s="53"/>
      <c r="K287" s="465"/>
      <c r="L287" s="1584"/>
      <c r="M287" s="1563">
        <f>SUM(M208:M286)</f>
        <v>2780181410</v>
      </c>
      <c r="N287" s="1584"/>
      <c r="O287" s="1563">
        <f>SUM(O208:O286)</f>
        <v>2780181410</v>
      </c>
      <c r="P287" s="1994"/>
      <c r="Q287" s="162">
        <f t="shared" ref="Q287:AD287" si="56">SUM(Q208:Q286)</f>
        <v>0</v>
      </c>
      <c r="R287" s="162">
        <f t="shared" si="56"/>
        <v>12385334</v>
      </c>
      <c r="S287" s="162">
        <f t="shared" si="56"/>
        <v>143464000</v>
      </c>
      <c r="T287" s="162">
        <f t="shared" si="56"/>
        <v>188884333</v>
      </c>
      <c r="U287" s="162">
        <f t="shared" si="56"/>
        <v>238659009</v>
      </c>
      <c r="V287" s="162">
        <f t="shared" si="56"/>
        <v>252146858</v>
      </c>
      <c r="W287" s="162">
        <f t="shared" si="56"/>
        <v>182351600</v>
      </c>
      <c r="X287" s="162">
        <f t="shared" si="56"/>
        <v>220191230</v>
      </c>
      <c r="Y287" s="162">
        <f t="shared" si="56"/>
        <v>266574443</v>
      </c>
      <c r="Z287" s="162">
        <f t="shared" si="56"/>
        <v>203914100</v>
      </c>
      <c r="AA287" s="162">
        <f t="shared" si="56"/>
        <v>221287100</v>
      </c>
      <c r="AB287" s="1563">
        <f>SUM(AB208:AB286)</f>
        <v>592537579</v>
      </c>
      <c r="AC287" s="162">
        <f t="shared" si="56"/>
        <v>2522395586</v>
      </c>
      <c r="AD287" s="162">
        <f t="shared" si="56"/>
        <v>257785824</v>
      </c>
      <c r="AE287" s="229"/>
      <c r="AF287" s="867"/>
      <c r="AG287" s="301"/>
      <c r="AH287" s="301"/>
      <c r="AI287" s="506"/>
      <c r="AJ287" s="162">
        <f>SUM(AJ208:AJ286)</f>
        <v>2824008968</v>
      </c>
      <c r="AK287" s="162">
        <f>SUM(AK208:AK286)</f>
        <v>43827558</v>
      </c>
      <c r="AL287" s="791">
        <f>B207-AJ287</f>
        <v>0</v>
      </c>
      <c r="AM287" s="305"/>
    </row>
    <row r="288" spans="1:39" s="8" customFormat="1" ht="28.5" customHeight="1">
      <c r="A288" s="689" t="s">
        <v>40</v>
      </c>
      <c r="B288" s="172">
        <f>63000000-63000000</f>
        <v>0</v>
      </c>
      <c r="C288" s="1254" t="s">
        <v>1097</v>
      </c>
      <c r="D288" s="1254" t="s">
        <v>827</v>
      </c>
      <c r="E288" s="1254" t="s">
        <v>37</v>
      </c>
      <c r="F288" s="1254" t="s">
        <v>1650</v>
      </c>
      <c r="G288" s="1254" t="s">
        <v>38</v>
      </c>
      <c r="H288" s="2082" t="s">
        <v>1640</v>
      </c>
      <c r="I288" s="946"/>
      <c r="J288" s="436">
        <v>0</v>
      </c>
      <c r="K288" s="476"/>
      <c r="L288" s="1592"/>
      <c r="M288" s="1571"/>
      <c r="N288" s="1592"/>
      <c r="O288" s="1612"/>
      <c r="P288" s="2003"/>
      <c r="Q288" s="430"/>
      <c r="R288" s="431"/>
      <c r="S288" s="431"/>
      <c r="T288" s="431"/>
      <c r="U288" s="431"/>
      <c r="V288" s="431"/>
      <c r="W288" s="431"/>
      <c r="X288" s="431"/>
      <c r="Y288" s="431"/>
      <c r="Z288" s="431"/>
      <c r="AA288" s="431"/>
      <c r="AB288" s="1612"/>
      <c r="AC288" s="698"/>
      <c r="AD288" s="728"/>
      <c r="AE288" s="1435"/>
      <c r="AF288" s="901"/>
      <c r="AG288" s="434"/>
      <c r="AH288" s="434"/>
      <c r="AI288" s="1036"/>
      <c r="AJ288" s="435"/>
      <c r="AK288" s="900"/>
      <c r="AL288" s="918"/>
    </row>
    <row r="289" spans="1:39" s="8" customFormat="1">
      <c r="A289" s="88" t="s">
        <v>40</v>
      </c>
      <c r="B289" s="169">
        <f>M289</f>
        <v>0</v>
      </c>
      <c r="C289" s="87" t="s">
        <v>1097</v>
      </c>
      <c r="D289" s="89" t="s">
        <v>827</v>
      </c>
      <c r="E289" s="89" t="s">
        <v>37</v>
      </c>
      <c r="F289" s="87" t="s">
        <v>1650</v>
      </c>
      <c r="G289" s="89" t="s">
        <v>38</v>
      </c>
      <c r="H289" s="2076" t="s">
        <v>1640</v>
      </c>
      <c r="I289" s="2059">
        <v>94</v>
      </c>
      <c r="J289" s="588">
        <v>0</v>
      </c>
      <c r="K289" s="139"/>
      <c r="L289" s="1314"/>
      <c r="M289" s="1508"/>
      <c r="N289" s="1314"/>
      <c r="O289" s="1508"/>
      <c r="P289" s="2002"/>
      <c r="Q289" s="225"/>
      <c r="R289" s="166"/>
      <c r="S289" s="166"/>
      <c r="T289" s="166"/>
      <c r="U289" s="166"/>
      <c r="V289" s="166"/>
      <c r="W289" s="166"/>
      <c r="X289" s="166"/>
      <c r="Y289" s="166"/>
      <c r="Z289" s="166"/>
      <c r="AA289" s="166"/>
      <c r="AB289" s="1604"/>
      <c r="AC289" s="695">
        <f>SUM(Q289:AB289)</f>
        <v>0</v>
      </c>
      <c r="AD289" s="701">
        <f>O289-AC289</f>
        <v>0</v>
      </c>
      <c r="AE289" s="1428"/>
      <c r="AF289" s="887">
        <v>94</v>
      </c>
      <c r="AG289" s="310" t="s">
        <v>269</v>
      </c>
      <c r="AH289" s="316" t="s">
        <v>173</v>
      </c>
      <c r="AI289" s="498">
        <f>P289</f>
        <v>0</v>
      </c>
      <c r="AJ289" s="304">
        <f>63000000-63000000</f>
        <v>0</v>
      </c>
      <c r="AK289" s="871">
        <f>AJ289-O289</f>
        <v>0</v>
      </c>
      <c r="AL289" s="918"/>
    </row>
    <row r="290" spans="1:39" s="8" customFormat="1">
      <c r="A290" s="88" t="s">
        <v>40</v>
      </c>
      <c r="B290" s="169">
        <f>M290</f>
        <v>0</v>
      </c>
      <c r="C290" s="87" t="s">
        <v>1097</v>
      </c>
      <c r="D290" s="89" t="s">
        <v>827</v>
      </c>
      <c r="E290" s="89" t="s">
        <v>37</v>
      </c>
      <c r="F290" s="87" t="s">
        <v>1650</v>
      </c>
      <c r="G290" s="89" t="s">
        <v>38</v>
      </c>
      <c r="H290" s="2076" t="s">
        <v>1640</v>
      </c>
      <c r="I290" s="959" t="s">
        <v>173</v>
      </c>
      <c r="J290" s="588">
        <v>0</v>
      </c>
      <c r="K290" s="274"/>
      <c r="L290" s="1593"/>
      <c r="M290" s="1572"/>
      <c r="N290" s="1593"/>
      <c r="O290" s="1604"/>
      <c r="P290" s="1993"/>
      <c r="Q290" s="225"/>
      <c r="R290" s="166"/>
      <c r="S290" s="166"/>
      <c r="T290" s="166"/>
      <c r="U290" s="166"/>
      <c r="V290" s="166"/>
      <c r="W290" s="166"/>
      <c r="X290" s="166"/>
      <c r="Y290" s="166"/>
      <c r="Z290" s="166"/>
      <c r="AA290" s="166"/>
      <c r="AB290" s="1604"/>
      <c r="AC290" s="695">
        <f>SUM(Q290:AB290)</f>
        <v>0</v>
      </c>
      <c r="AD290" s="701">
        <f>O290-AC290</f>
        <v>0</v>
      </c>
      <c r="AE290" s="1428"/>
      <c r="AF290" s="888"/>
      <c r="AG290" s="268"/>
      <c r="AH290" s="252"/>
      <c r="AI290" s="498">
        <f>P290</f>
        <v>0</v>
      </c>
      <c r="AJ290" s="304"/>
      <c r="AK290" s="871"/>
      <c r="AL290" s="918"/>
    </row>
    <row r="291" spans="1:39" s="8" customFormat="1" ht="11.25" customHeight="1">
      <c r="A291" s="58" t="s">
        <v>24</v>
      </c>
      <c r="B291" s="10">
        <f>B288-SUM(B289:B290)</f>
        <v>0</v>
      </c>
      <c r="C291" s="13"/>
      <c r="D291" s="13"/>
      <c r="E291" s="13"/>
      <c r="F291" s="13"/>
      <c r="G291" s="13"/>
      <c r="H291" s="2078"/>
      <c r="I291" s="948"/>
      <c r="J291" s="55"/>
      <c r="K291" s="277"/>
      <c r="L291" s="1589"/>
      <c r="M291" s="1568">
        <f>SUM(M289:M290)</f>
        <v>0</v>
      </c>
      <c r="N291" s="1589"/>
      <c r="O291" s="1568">
        <f>SUM(O289:O290)</f>
        <v>0</v>
      </c>
      <c r="P291" s="1826"/>
      <c r="Q291" s="227">
        <f t="shared" ref="Q291:AB291" si="57">SUM(Q289:Q290)</f>
        <v>0</v>
      </c>
      <c r="R291" s="142">
        <f t="shared" si="57"/>
        <v>0</v>
      </c>
      <c r="S291" s="142">
        <f t="shared" si="57"/>
        <v>0</v>
      </c>
      <c r="T291" s="142">
        <f t="shared" si="57"/>
        <v>0</v>
      </c>
      <c r="U291" s="142">
        <f t="shared" si="57"/>
        <v>0</v>
      </c>
      <c r="V291" s="142">
        <f t="shared" si="57"/>
        <v>0</v>
      </c>
      <c r="W291" s="142">
        <f t="shared" si="57"/>
        <v>0</v>
      </c>
      <c r="X291" s="142">
        <f t="shared" si="57"/>
        <v>0</v>
      </c>
      <c r="Y291" s="142">
        <f t="shared" si="57"/>
        <v>0</v>
      </c>
      <c r="Z291" s="142">
        <f t="shared" si="57"/>
        <v>0</v>
      </c>
      <c r="AA291" s="142">
        <f t="shared" si="57"/>
        <v>0</v>
      </c>
      <c r="AB291" s="1568">
        <f t="shared" si="57"/>
        <v>0</v>
      </c>
      <c r="AC291" s="142">
        <f>SUM(AC289:AC290)</f>
        <v>0</v>
      </c>
      <c r="AD291" s="702">
        <f>SUM(AD289:AD290)</f>
        <v>0</v>
      </c>
      <c r="AE291" s="1436"/>
      <c r="AF291" s="852"/>
      <c r="AG291" s="301"/>
      <c r="AH291" s="301"/>
      <c r="AI291" s="506"/>
      <c r="AJ291" s="14">
        <f>SUM(AJ289:AJ290)</f>
        <v>0</v>
      </c>
      <c r="AK291" s="181">
        <f>SUM(AK289:AK290)</f>
        <v>0</v>
      </c>
      <c r="AL291" s="791">
        <f>B288-AJ291</f>
        <v>0</v>
      </c>
      <c r="AM291" s="305"/>
    </row>
    <row r="292" spans="1:39" s="8" customFormat="1" ht="11.25" customHeight="1">
      <c r="A292" s="176"/>
      <c r="B292" s="177"/>
      <c r="C292" s="145"/>
      <c r="D292" s="146"/>
      <c r="E292" s="145"/>
      <c r="F292" s="145"/>
      <c r="G292" s="145"/>
      <c r="H292" s="75"/>
      <c r="I292" s="209"/>
      <c r="J292" s="146"/>
      <c r="K292" s="477"/>
      <c r="L292" s="1594"/>
      <c r="M292" s="1573"/>
      <c r="N292" s="1607"/>
      <c r="O292" s="1565"/>
      <c r="P292" s="1854"/>
      <c r="Q292" s="229"/>
      <c r="R292" s="138"/>
      <c r="S292" s="138"/>
      <c r="T292" s="138"/>
      <c r="U292" s="138"/>
      <c r="V292" s="138"/>
      <c r="W292" s="138"/>
      <c r="X292" s="138"/>
      <c r="Y292" s="138"/>
      <c r="Z292" s="138"/>
      <c r="AA292" s="138"/>
      <c r="AB292" s="1565"/>
      <c r="AC292" s="695"/>
      <c r="AD292" s="701"/>
      <c r="AE292" s="1428"/>
      <c r="AF292" s="890"/>
      <c r="AG292" s="252"/>
      <c r="AH292" s="252"/>
      <c r="AI292" s="498"/>
      <c r="AJ292" s="304"/>
      <c r="AK292" s="902"/>
      <c r="AL292" s="918"/>
    </row>
    <row r="293" spans="1:39" s="792" customFormat="1" ht="15.75" thickBot="1">
      <c r="A293" s="773" t="s">
        <v>170</v>
      </c>
      <c r="B293" s="184">
        <f>B17+B145+B206</f>
        <v>6938000000</v>
      </c>
      <c r="C293" s="185"/>
      <c r="D293" s="186"/>
      <c r="E293" s="185"/>
      <c r="F293" s="185"/>
      <c r="G293" s="185"/>
      <c r="H293" s="2055"/>
      <c r="I293" s="949"/>
      <c r="J293" s="186"/>
      <c r="K293" s="478"/>
      <c r="L293" s="1595"/>
      <c r="M293" s="528">
        <f>M129+M134+M138+M144+M205+M287+M291</f>
        <v>6286680010</v>
      </c>
      <c r="N293" s="963"/>
      <c r="O293" s="528">
        <f>O129+O134+O138+O144+O205+O287+O291</f>
        <v>6286680010</v>
      </c>
      <c r="P293" s="187"/>
      <c r="Q293" s="528">
        <f t="shared" ref="Q293:AD293" si="58">Q129+Q134+Q138+Q144+Q205+Q287+Q291</f>
        <v>0</v>
      </c>
      <c r="R293" s="528">
        <f t="shared" si="58"/>
        <v>15342667</v>
      </c>
      <c r="S293" s="528">
        <f t="shared" si="58"/>
        <v>245383835</v>
      </c>
      <c r="T293" s="528">
        <f t="shared" si="58"/>
        <v>348762073</v>
      </c>
      <c r="U293" s="528">
        <f t="shared" si="58"/>
        <v>368647342</v>
      </c>
      <c r="V293" s="528">
        <f t="shared" si="58"/>
        <v>607002610</v>
      </c>
      <c r="W293" s="528">
        <f t="shared" si="58"/>
        <v>385093127</v>
      </c>
      <c r="X293" s="528">
        <f t="shared" si="58"/>
        <v>576723027</v>
      </c>
      <c r="Y293" s="528">
        <f t="shared" si="58"/>
        <v>677622182</v>
      </c>
      <c r="Z293" s="528">
        <f t="shared" si="58"/>
        <v>422000303</v>
      </c>
      <c r="AA293" s="528">
        <f t="shared" si="58"/>
        <v>451828648</v>
      </c>
      <c r="AB293" s="528">
        <f>AB129+AB134+AB138+AB144+AB205+AB287+AB291</f>
        <v>1039257663</v>
      </c>
      <c r="AC293" s="528">
        <f t="shared" si="58"/>
        <v>5137663477</v>
      </c>
      <c r="AD293" s="528">
        <f t="shared" si="58"/>
        <v>1149016533</v>
      </c>
      <c r="AE293" s="1438"/>
      <c r="AF293" s="903"/>
      <c r="AG293" s="904"/>
      <c r="AH293" s="904"/>
      <c r="AI293" s="1037"/>
      <c r="AJ293" s="528">
        <f>AJ129+AJ134+AJ138+AJ144+AJ205+AJ287+AJ291</f>
        <v>6938000000</v>
      </c>
      <c r="AK293" s="528">
        <f>AK129+AK134+AK138+AK144+AK205+AK287+AK291</f>
        <v>651319990</v>
      </c>
      <c r="AL293" s="916">
        <f>AL129+AL134+AL138+AL144+AL205+AL287+AL291</f>
        <v>0</v>
      </c>
    </row>
    <row r="294" spans="1:39" ht="15" hidden="1">
      <c r="A294" s="18"/>
      <c r="B294" s="19"/>
      <c r="C294" s="793"/>
      <c r="D294" s="793"/>
      <c r="E294" s="793"/>
      <c r="F294" s="793"/>
      <c r="G294" s="793"/>
      <c r="H294" s="2043"/>
      <c r="I294" s="210"/>
      <c r="J294" s="793"/>
      <c r="K294" s="125"/>
      <c r="L294" s="1015"/>
      <c r="M294" s="496"/>
      <c r="N294" s="1015"/>
      <c r="O294" s="1613"/>
      <c r="P294" s="2004"/>
      <c r="Q294" s="577"/>
      <c r="R294" s="577"/>
      <c r="S294" s="577"/>
      <c r="T294" s="577"/>
      <c r="U294" s="577"/>
      <c r="V294" s="577"/>
      <c r="W294" s="577"/>
      <c r="X294" s="577"/>
      <c r="Y294" s="577"/>
      <c r="Z294" s="577"/>
      <c r="AA294" s="577"/>
      <c r="AB294" s="1613"/>
      <c r="AC294" s="179"/>
      <c r="AD294" s="729"/>
      <c r="AE294" s="1432"/>
    </row>
    <row r="295" spans="1:39" ht="15" hidden="1">
      <c r="A295" s="18"/>
      <c r="B295" s="19"/>
      <c r="C295" s="793"/>
      <c r="D295" s="793"/>
      <c r="E295" s="793"/>
      <c r="F295" s="793"/>
      <c r="G295" s="793"/>
      <c r="H295" s="2043"/>
      <c r="I295" s="210"/>
      <c r="J295" s="793"/>
      <c r="K295" s="125"/>
      <c r="L295" s="1015"/>
      <c r="M295" s="496"/>
      <c r="N295" s="1015"/>
      <c r="O295" s="1613"/>
      <c r="P295" s="2004"/>
      <c r="Q295" s="577"/>
      <c r="R295" s="577"/>
      <c r="S295" s="577"/>
      <c r="T295" s="577"/>
      <c r="U295" s="577"/>
      <c r="V295" s="577"/>
      <c r="W295" s="577"/>
      <c r="X295" s="577"/>
      <c r="Y295" s="577"/>
      <c r="Z295" s="577"/>
      <c r="AA295" s="577"/>
      <c r="AB295" s="1613"/>
      <c r="AC295" s="179"/>
      <c r="AD295" s="729"/>
      <c r="AE295" s="1432"/>
    </row>
    <row r="296" spans="1:39" ht="15">
      <c r="A296" s="18"/>
      <c r="B296" s="19"/>
      <c r="C296" s="793"/>
      <c r="D296" s="793"/>
      <c r="E296" s="793"/>
      <c r="F296" s="793"/>
      <c r="G296" s="793"/>
      <c r="H296" s="2043"/>
      <c r="I296" s="210"/>
      <c r="J296" s="793"/>
      <c r="K296" s="125"/>
      <c r="L296" s="1015"/>
      <c r="M296" s="496"/>
      <c r="N296" s="1015"/>
      <c r="O296" s="1613"/>
      <c r="P296" s="2004"/>
      <c r="Q296" s="577"/>
      <c r="R296" s="577"/>
      <c r="S296" s="577"/>
      <c r="T296" s="577"/>
      <c r="U296" s="577"/>
      <c r="V296" s="577"/>
      <c r="W296" s="577"/>
      <c r="X296" s="577"/>
      <c r="Y296" s="577"/>
      <c r="Z296" s="577"/>
      <c r="AA296" s="577"/>
      <c r="AB296" s="1613"/>
      <c r="AC296" s="179"/>
      <c r="AD296" s="729"/>
      <c r="AE296" s="1432"/>
    </row>
    <row r="297" spans="1:39" ht="15">
      <c r="A297" s="18"/>
      <c r="B297" s="19"/>
      <c r="C297" s="793"/>
      <c r="D297" s="793"/>
      <c r="E297" s="793"/>
      <c r="F297" s="793"/>
      <c r="G297" s="793"/>
      <c r="H297" s="2043"/>
      <c r="I297" s="210"/>
      <c r="J297" s="793"/>
      <c r="K297" s="125"/>
      <c r="L297" s="1015"/>
      <c r="M297" s="496"/>
      <c r="N297" s="1015"/>
      <c r="O297" s="1613"/>
      <c r="P297" s="2004"/>
      <c r="Q297" s="577"/>
      <c r="R297" s="577"/>
      <c r="S297" s="577"/>
      <c r="T297" s="577"/>
      <c r="U297" s="577"/>
      <c r="V297" s="577"/>
      <c r="W297" s="577"/>
      <c r="X297" s="577"/>
      <c r="Y297" s="577"/>
      <c r="Z297" s="577"/>
      <c r="AA297" s="577"/>
      <c r="AB297" s="1613"/>
      <c r="AC297" s="179"/>
      <c r="AD297" s="729"/>
      <c r="AE297" s="1432"/>
      <c r="AJ297" s="312">
        <f>B293-AJ293</f>
        <v>0</v>
      </c>
    </row>
    <row r="298" spans="1:39" s="129" customFormat="1" ht="28.5" customHeight="1">
      <c r="A298" s="22" t="s">
        <v>30</v>
      </c>
      <c r="B298" s="23" t="s">
        <v>12</v>
      </c>
      <c r="C298" s="529"/>
      <c r="D298" s="529"/>
      <c r="E298" s="529"/>
      <c r="F298" s="529"/>
      <c r="G298" s="529"/>
      <c r="H298" s="529"/>
      <c r="I298" s="950"/>
      <c r="J298" s="75"/>
      <c r="K298" s="471"/>
      <c r="L298" s="1596"/>
      <c r="M298" s="1574" t="s">
        <v>17</v>
      </c>
      <c r="N298" s="1614" t="s">
        <v>18</v>
      </c>
      <c r="O298" s="1615" t="s">
        <v>19</v>
      </c>
      <c r="P298" s="2005" t="s">
        <v>136</v>
      </c>
      <c r="Q298" s="535">
        <v>0</v>
      </c>
      <c r="R298" s="535">
        <v>15342667</v>
      </c>
      <c r="S298" s="535">
        <v>245383835</v>
      </c>
      <c r="T298" s="535">
        <v>348762073</v>
      </c>
      <c r="U298" s="535">
        <v>368647342</v>
      </c>
      <c r="V298" s="535">
        <v>607002610</v>
      </c>
      <c r="W298" s="535">
        <v>385093127</v>
      </c>
      <c r="X298" s="535">
        <v>576723027</v>
      </c>
      <c r="Y298" s="535">
        <v>677622182</v>
      </c>
      <c r="Z298" s="535">
        <v>422000303</v>
      </c>
      <c r="AA298" s="535">
        <v>451828648</v>
      </c>
      <c r="AB298" s="1410">
        <v>1039257663</v>
      </c>
      <c r="AC298" s="699">
        <f>SUM(Q298:AB298)</f>
        <v>5137663477</v>
      </c>
      <c r="AD298" s="703">
        <f>O293-AC298</f>
        <v>1149016533</v>
      </c>
      <c r="AE298" s="1439"/>
      <c r="AF298" s="530"/>
      <c r="AI298" s="534"/>
      <c r="AJ298" s="531"/>
      <c r="AL298" s="919"/>
    </row>
    <row r="299" spans="1:39" ht="15">
      <c r="A299" s="18"/>
      <c r="B299" s="19"/>
      <c r="C299" s="2202"/>
      <c r="D299" s="2202"/>
      <c r="E299" s="2202"/>
      <c r="F299" s="573"/>
      <c r="G299" s="573"/>
      <c r="H299" s="573"/>
      <c r="I299" s="932"/>
      <c r="J299" s="793"/>
      <c r="K299" s="125"/>
      <c r="L299" s="1015"/>
      <c r="M299" s="348">
        <f>M293</f>
        <v>6286680010</v>
      </c>
      <c r="N299" s="348">
        <f>O293</f>
        <v>6286680010</v>
      </c>
      <c r="O299" s="348">
        <f>AC293</f>
        <v>5137663477</v>
      </c>
      <c r="P299" s="2004"/>
      <c r="Q299" s="577"/>
      <c r="R299" s="577"/>
      <c r="S299" s="577"/>
      <c r="T299" s="577"/>
      <c r="U299" s="577"/>
      <c r="V299" s="577"/>
      <c r="W299" s="577"/>
      <c r="X299" s="577"/>
      <c r="Y299" s="577"/>
      <c r="Z299" s="577"/>
      <c r="AA299" s="577"/>
      <c r="AB299" s="1613"/>
      <c r="AC299" s="179"/>
      <c r="AD299" s="729"/>
      <c r="AE299" s="1432"/>
    </row>
    <row r="300" spans="1:39" ht="24.75" customHeight="1">
      <c r="A300" s="25" t="s">
        <v>31</v>
      </c>
      <c r="B300" s="26">
        <f>B17+B145+B206</f>
        <v>6938000000</v>
      </c>
      <c r="C300" s="2170"/>
      <c r="D300" s="2203"/>
      <c r="E300" s="2203"/>
      <c r="F300" s="2203"/>
      <c r="G300" s="2203"/>
      <c r="H300" s="2044"/>
      <c r="I300" s="951"/>
      <c r="J300" s="178"/>
      <c r="K300" s="479"/>
      <c r="L300" s="1597"/>
      <c r="M300" s="1421"/>
      <c r="N300" s="1616" t="s">
        <v>31</v>
      </c>
      <c r="O300" s="348">
        <f>O129+O134+O138+O144+O205+O287+O291</f>
        <v>6286680010</v>
      </c>
      <c r="P300" s="2004"/>
      <c r="Q300" s="1206">
        <f>Q129+Q134+Q144+Q205+Q287+Q291</f>
        <v>0</v>
      </c>
      <c r="R300" s="1206">
        <f>R129+R134+R144+R205+R287+R291</f>
        <v>15342667</v>
      </c>
      <c r="S300" s="1206">
        <f>S129+S134+S144+S205+S287+S291</f>
        <v>245383835</v>
      </c>
      <c r="T300" s="1206">
        <f>T129+T134+T144+T205+T287+T291</f>
        <v>348762073</v>
      </c>
      <c r="U300" s="1206">
        <f>U129+U134+U144+U205+U287+U291</f>
        <v>368647342</v>
      </c>
      <c r="V300" s="1206">
        <f t="shared" ref="V300:AC300" si="59">V129+V134+V138+V144+V205+V287+V291</f>
        <v>607002610</v>
      </c>
      <c r="W300" s="1206">
        <f t="shared" si="59"/>
        <v>385093127</v>
      </c>
      <c r="X300" s="1206">
        <f t="shared" si="59"/>
        <v>576723027</v>
      </c>
      <c r="Y300" s="1206">
        <f t="shared" si="59"/>
        <v>677622182</v>
      </c>
      <c r="Z300" s="1206">
        <f t="shared" si="59"/>
        <v>422000303</v>
      </c>
      <c r="AA300" s="1206">
        <f t="shared" si="59"/>
        <v>451828648</v>
      </c>
      <c r="AB300" s="348">
        <f t="shared" si="59"/>
        <v>1039257663</v>
      </c>
      <c r="AC300" s="1408">
        <f t="shared" si="59"/>
        <v>5137663477</v>
      </c>
      <c r="AD300" s="1409">
        <f>O300-AC300</f>
        <v>1149016533</v>
      </c>
      <c r="AE300" s="1421"/>
      <c r="AF300" s="157"/>
    </row>
    <row r="301" spans="1:39" s="8" customFormat="1" ht="15">
      <c r="A301" s="406"/>
      <c r="B301" s="407"/>
      <c r="C301" s="2204"/>
      <c r="D301" s="2204"/>
      <c r="E301" s="2204"/>
      <c r="F301" s="2204"/>
      <c r="G301" s="2204"/>
      <c r="H301" s="2045"/>
      <c r="I301" s="952"/>
      <c r="J301" s="276"/>
      <c r="K301" s="222"/>
      <c r="L301" s="1597"/>
      <c r="M301" s="1421"/>
      <c r="N301" s="1597"/>
      <c r="O301" s="1421"/>
      <c r="P301" s="2006"/>
      <c r="Q301" s="408"/>
      <c r="R301" s="408"/>
      <c r="S301" s="408"/>
      <c r="T301" s="408"/>
      <c r="U301" s="408"/>
      <c r="V301" s="408"/>
      <c r="W301" s="408"/>
      <c r="X301" s="408"/>
      <c r="Y301" s="408"/>
      <c r="Z301" s="408"/>
      <c r="AA301" s="408"/>
      <c r="AB301" s="1421"/>
      <c r="AC301" s="408"/>
      <c r="AD301" s="578"/>
      <c r="AE301" s="157"/>
      <c r="AF301" s="157"/>
      <c r="AI301" s="508"/>
      <c r="AJ301" s="409"/>
      <c r="AL301" s="918"/>
    </row>
    <row r="302" spans="1:39" s="8" customFormat="1" ht="15">
      <c r="A302" s="579"/>
      <c r="B302" s="407"/>
      <c r="C302" s="155"/>
      <c r="D302" s="155"/>
      <c r="E302" s="155"/>
      <c r="F302" s="155"/>
      <c r="G302" s="558"/>
      <c r="H302" s="558"/>
      <c r="I302" s="953"/>
      <c r="J302" s="276"/>
      <c r="K302" s="222"/>
      <c r="L302" s="1597"/>
      <c r="M302" s="1421"/>
      <c r="N302" s="1597"/>
      <c r="O302" s="1421"/>
      <c r="P302" s="2006"/>
      <c r="Q302" s="408"/>
      <c r="R302" s="408"/>
      <c r="S302" s="408"/>
      <c r="T302" s="408"/>
      <c r="U302" s="408"/>
      <c r="V302" s="408"/>
      <c r="W302" s="408"/>
      <c r="X302" s="408"/>
      <c r="Y302" s="408"/>
      <c r="Z302" s="408"/>
      <c r="AA302" s="408"/>
      <c r="AB302" s="1421"/>
      <c r="AC302" s="408"/>
      <c r="AD302" s="578">
        <f>AD300-AD298</f>
        <v>0</v>
      </c>
      <c r="AE302" s="157"/>
      <c r="AF302" s="157"/>
      <c r="AI302" s="508"/>
      <c r="AJ302" s="409"/>
      <c r="AL302" s="918"/>
    </row>
    <row r="303" spans="1:39" s="8" customFormat="1" ht="15.75" thickBot="1">
      <c r="A303" s="580"/>
      <c r="B303" s="581"/>
      <c r="C303" s="582"/>
      <c r="D303" s="582"/>
      <c r="E303" s="582"/>
      <c r="F303" s="582"/>
      <c r="G303" s="583"/>
      <c r="H303" s="583"/>
      <c r="I303" s="954"/>
      <c r="J303" s="584"/>
      <c r="K303" s="585"/>
      <c r="L303" s="1598"/>
      <c r="M303" s="1575"/>
      <c r="N303" s="1598"/>
      <c r="O303" s="1575"/>
      <c r="P303" s="2007"/>
      <c r="Q303" s="586"/>
      <c r="R303" s="586"/>
      <c r="S303" s="586"/>
      <c r="T303" s="586"/>
      <c r="U303" s="586"/>
      <c r="V303" s="586"/>
      <c r="W303" s="586"/>
      <c r="X303" s="586"/>
      <c r="Y303" s="586"/>
      <c r="Z303" s="586"/>
      <c r="AA303" s="586"/>
      <c r="AB303" s="1575"/>
      <c r="AC303" s="586"/>
      <c r="AD303" s="587"/>
      <c r="AE303" s="157"/>
      <c r="AF303" s="157"/>
      <c r="AI303" s="508"/>
      <c r="AJ303" s="409"/>
      <c r="AL303" s="918"/>
    </row>
    <row r="304" spans="1:39" s="8" customFormat="1" ht="15" hidden="1">
      <c r="A304" s="406"/>
      <c r="B304" s="407"/>
      <c r="C304" s="155"/>
      <c r="D304" s="155"/>
      <c r="E304" s="155"/>
      <c r="F304" s="155"/>
      <c r="I304" s="955"/>
      <c r="J304" s="276"/>
      <c r="K304" s="222"/>
      <c r="L304" s="1597"/>
      <c r="M304" s="1421">
        <v>6286680010</v>
      </c>
      <c r="N304" s="1421">
        <v>6286680010</v>
      </c>
      <c r="O304" s="1421">
        <f>O299</f>
        <v>5137663477</v>
      </c>
      <c r="P304" s="2008"/>
      <c r="Q304" s="408"/>
      <c r="R304" s="408"/>
      <c r="S304" s="408"/>
      <c r="T304" s="408"/>
      <c r="U304" s="408"/>
      <c r="V304" s="408"/>
      <c r="W304" s="408"/>
      <c r="X304" s="408"/>
      <c r="Y304" s="408"/>
      <c r="Z304" s="408"/>
      <c r="AA304" s="408"/>
      <c r="AB304" s="1421"/>
      <c r="AC304" s="408"/>
      <c r="AD304" s="157"/>
      <c r="AE304" s="157"/>
      <c r="AF304" s="157"/>
      <c r="AI304" s="508"/>
      <c r="AJ304" s="409"/>
      <c r="AL304" s="918"/>
    </row>
    <row r="305" spans="1:39" s="8" customFormat="1" ht="15" hidden="1">
      <c r="A305" s="406"/>
      <c r="B305" s="407"/>
      <c r="C305" s="155"/>
      <c r="D305" s="155"/>
      <c r="E305" s="155"/>
      <c r="F305" s="155"/>
      <c r="I305" s="955"/>
      <c r="J305" s="276"/>
      <c r="K305" s="222"/>
      <c r="L305" s="1597"/>
      <c r="M305" s="1421">
        <f>M299-M302-M304</f>
        <v>0</v>
      </c>
      <c r="N305" s="1421">
        <f>N304-N299</f>
        <v>0</v>
      </c>
      <c r="O305" s="1421">
        <f>O304-O299</f>
        <v>0</v>
      </c>
      <c r="P305" s="2008"/>
      <c r="Q305" s="408"/>
      <c r="R305" s="408"/>
      <c r="S305" s="408"/>
      <c r="T305" s="408"/>
      <c r="U305" s="408"/>
      <c r="V305" s="408"/>
      <c r="W305" s="408"/>
      <c r="X305" s="408"/>
      <c r="Y305" s="408"/>
      <c r="Z305" s="408"/>
      <c r="AA305" s="408"/>
      <c r="AB305" s="1421"/>
      <c r="AC305" s="408"/>
      <c r="AD305" s="157"/>
      <c r="AE305" s="157"/>
      <c r="AF305" s="157"/>
      <c r="AI305" s="508"/>
      <c r="AJ305" s="409"/>
      <c r="AL305" s="918"/>
    </row>
    <row r="306" spans="1:39" s="8" customFormat="1" ht="15" hidden="1">
      <c r="A306" s="406"/>
      <c r="B306" s="407"/>
      <c r="C306" s="155"/>
      <c r="D306" s="155"/>
      <c r="E306" s="155"/>
      <c r="F306" s="155"/>
      <c r="I306" s="955"/>
      <c r="J306" s="276"/>
      <c r="K306" s="222"/>
      <c r="L306" s="1597"/>
      <c r="M306" s="1421"/>
      <c r="N306" s="1597"/>
      <c r="O306" s="1421"/>
      <c r="P306" s="2008"/>
      <c r="Q306" s="408"/>
      <c r="R306" s="408"/>
      <c r="S306" s="408"/>
      <c r="T306" s="408"/>
      <c r="U306" s="408"/>
      <c r="V306" s="408"/>
      <c r="W306" s="408"/>
      <c r="X306" s="408"/>
      <c r="Y306" s="408"/>
      <c r="Z306" s="408"/>
      <c r="AA306" s="408"/>
      <c r="AB306" s="1421"/>
      <c r="AC306" s="408"/>
      <c r="AD306" s="157"/>
      <c r="AE306" s="157"/>
      <c r="AF306" s="157"/>
      <c r="AI306" s="508"/>
      <c r="AJ306" s="409"/>
      <c r="AL306" s="918"/>
    </row>
    <row r="307" spans="1:39" s="8" customFormat="1" ht="15" hidden="1">
      <c r="A307" s="406"/>
      <c r="B307" s="407"/>
      <c r="C307" s="155"/>
      <c r="D307" s="155"/>
      <c r="E307" s="155"/>
      <c r="F307" s="155"/>
      <c r="I307" s="955"/>
      <c r="J307" s="276"/>
      <c r="K307" s="222"/>
      <c r="L307" s="1597"/>
      <c r="M307" s="1421"/>
      <c r="N307" s="1597"/>
      <c r="O307" s="1421"/>
      <c r="P307" s="2008"/>
      <c r="Q307" s="408"/>
      <c r="R307" s="408"/>
      <c r="S307" s="408">
        <f t="shared" ref="S307:AA307" si="60">S298-S293</f>
        <v>0</v>
      </c>
      <c r="T307" s="408">
        <f t="shared" si="60"/>
        <v>0</v>
      </c>
      <c r="U307" s="408">
        <f t="shared" si="60"/>
        <v>0</v>
      </c>
      <c r="V307" s="408">
        <f t="shared" si="60"/>
        <v>0</v>
      </c>
      <c r="W307" s="408">
        <f t="shared" si="60"/>
        <v>0</v>
      </c>
      <c r="X307" s="408">
        <f t="shared" si="60"/>
        <v>0</v>
      </c>
      <c r="Y307" s="408">
        <f t="shared" si="60"/>
        <v>0</v>
      </c>
      <c r="Z307" s="408">
        <f t="shared" si="60"/>
        <v>0</v>
      </c>
      <c r="AA307" s="408">
        <f t="shared" si="60"/>
        <v>0</v>
      </c>
      <c r="AB307" s="1421">
        <f>AB298-AB293</f>
        <v>0</v>
      </c>
      <c r="AC307" s="408"/>
      <c r="AD307" s="157"/>
      <c r="AE307" s="157"/>
      <c r="AF307" s="157"/>
      <c r="AI307" s="508"/>
      <c r="AJ307" s="409"/>
      <c r="AL307" s="918"/>
    </row>
    <row r="308" spans="1:39" hidden="1">
      <c r="A308" s="59"/>
      <c r="B308" s="60"/>
      <c r="C308" s="61"/>
      <c r="D308" s="61"/>
      <c r="E308" s="61"/>
      <c r="F308" s="61"/>
      <c r="G308" s="61"/>
      <c r="H308" s="61"/>
      <c r="I308" s="956"/>
      <c r="J308" s="62"/>
      <c r="K308" s="480"/>
      <c r="L308" s="1599"/>
      <c r="M308" s="1576"/>
      <c r="N308" s="1599"/>
    </row>
    <row r="309" spans="1:39" hidden="1">
      <c r="A309" s="354" t="s">
        <v>41</v>
      </c>
      <c r="B309" s="355" t="s">
        <v>42</v>
      </c>
      <c r="C309" s="356" t="s">
        <v>151</v>
      </c>
      <c r="D309" s="356" t="s">
        <v>124</v>
      </c>
      <c r="E309" s="356" t="s">
        <v>125</v>
      </c>
      <c r="F309" s="356" t="s">
        <v>126</v>
      </c>
      <c r="G309" s="61"/>
      <c r="H309" s="61"/>
      <c r="I309" s="956"/>
      <c r="J309" s="62"/>
      <c r="K309" s="480"/>
      <c r="L309" s="1599"/>
      <c r="M309" s="1576"/>
      <c r="N309" s="1599"/>
    </row>
    <row r="310" spans="1:39" hidden="1">
      <c r="A310" s="1328" t="s">
        <v>43</v>
      </c>
      <c r="B310" s="64" t="s">
        <v>922</v>
      </c>
      <c r="C310" s="1805">
        <f>B18+B207</f>
        <v>5921415500</v>
      </c>
      <c r="D310" s="218">
        <f>M129+M287</f>
        <v>5511889010</v>
      </c>
      <c r="E310" s="218">
        <f>O129+O287</f>
        <v>5511889010</v>
      </c>
      <c r="F310" s="218">
        <f>AC129+AC287</f>
        <v>4372790977</v>
      </c>
      <c r="G310" s="218"/>
      <c r="H310" s="218"/>
      <c r="I310" s="956"/>
      <c r="J310" s="62"/>
      <c r="K310" s="480"/>
      <c r="L310" s="1599"/>
      <c r="M310" s="1468"/>
      <c r="N310" s="1599"/>
    </row>
    <row r="311" spans="1:39" hidden="1">
      <c r="A311" s="1328" t="s">
        <v>43</v>
      </c>
      <c r="B311" s="64" t="s">
        <v>923</v>
      </c>
      <c r="C311" s="409">
        <f>B145</f>
        <v>573584500</v>
      </c>
      <c r="D311" s="218">
        <f>M205</f>
        <v>572915000</v>
      </c>
      <c r="E311" s="218">
        <f>O205</f>
        <v>572915000</v>
      </c>
      <c r="F311" s="218">
        <f>AC205</f>
        <v>562996500</v>
      </c>
      <c r="G311" s="61"/>
      <c r="H311" s="61"/>
      <c r="I311" s="956"/>
      <c r="J311" s="62"/>
      <c r="K311" s="480"/>
      <c r="L311" s="1599"/>
      <c r="M311" s="1576"/>
      <c r="N311" s="1599"/>
    </row>
    <row r="312" spans="1:39" hidden="1">
      <c r="A312" s="1328" t="s">
        <v>837</v>
      </c>
      <c r="B312" s="64" t="s">
        <v>922</v>
      </c>
      <c r="C312" s="1806">
        <f>B130</f>
        <v>240000000</v>
      </c>
      <c r="D312" s="218">
        <f>M134</f>
        <v>0</v>
      </c>
      <c r="E312" s="218">
        <f>O134</f>
        <v>0</v>
      </c>
      <c r="F312" s="218">
        <f>AC134</f>
        <v>0</v>
      </c>
      <c r="G312" s="61"/>
      <c r="H312" s="61"/>
      <c r="I312" s="956"/>
      <c r="J312" s="62"/>
      <c r="K312" s="480"/>
      <c r="L312" s="1599"/>
      <c r="M312" s="1576"/>
      <c r="N312" s="1599"/>
    </row>
    <row r="313" spans="1:39" s="164" customFormat="1" hidden="1">
      <c r="A313" s="1328" t="s">
        <v>920</v>
      </c>
      <c r="B313" s="64" t="s">
        <v>922</v>
      </c>
      <c r="C313" s="1806">
        <f>B135</f>
        <v>63000000</v>
      </c>
      <c r="D313" s="218">
        <f>M138</f>
        <v>63000000</v>
      </c>
      <c r="E313" s="218">
        <f>O138</f>
        <v>63000000</v>
      </c>
      <c r="F313" s="218">
        <f>AC138</f>
        <v>63000000</v>
      </c>
      <c r="G313" s="218"/>
      <c r="H313" s="218"/>
      <c r="I313" s="956"/>
      <c r="J313" s="62"/>
      <c r="K313" s="480"/>
      <c r="L313" s="1599"/>
      <c r="M313" s="1468"/>
      <c r="N313" s="1599"/>
      <c r="O313" s="1064"/>
      <c r="P313" s="786"/>
      <c r="Q313" s="165"/>
      <c r="R313" s="165"/>
      <c r="S313" s="165"/>
      <c r="T313" s="165"/>
      <c r="U313" s="165"/>
      <c r="V313" s="165"/>
      <c r="W313" s="165"/>
      <c r="X313" s="165"/>
      <c r="Y313" s="165"/>
      <c r="Z313" s="165"/>
      <c r="AA313" s="165"/>
      <c r="AB313" s="1064"/>
      <c r="AC313" s="353"/>
      <c r="AD313" s="530"/>
      <c r="AE313" s="1440"/>
      <c r="AF313" s="70"/>
      <c r="AG313"/>
      <c r="AH313"/>
      <c r="AI313" s="505"/>
      <c r="AJ313" s="312"/>
      <c r="AK313"/>
      <c r="AL313" s="917"/>
      <c r="AM313"/>
    </row>
    <row r="314" spans="1:39" s="164" customFormat="1" hidden="1">
      <c r="A314" s="1328" t="s">
        <v>157</v>
      </c>
      <c r="B314" s="64" t="s">
        <v>922</v>
      </c>
      <c r="C314" s="409">
        <f>B139</f>
        <v>140000000</v>
      </c>
      <c r="D314" s="218">
        <f>M144</f>
        <v>138876000</v>
      </c>
      <c r="E314" s="218">
        <f>O144</f>
        <v>138876000</v>
      </c>
      <c r="F314" s="218">
        <f>AC144</f>
        <v>138876000</v>
      </c>
      <c r="G314" s="61"/>
      <c r="H314" s="61"/>
      <c r="I314" s="956"/>
      <c r="J314" s="62"/>
      <c r="K314" s="480"/>
      <c r="L314" s="1599"/>
      <c r="M314" s="1576"/>
      <c r="N314" s="1599"/>
      <c r="O314" s="1064"/>
      <c r="P314" s="786"/>
      <c r="Q314" s="165"/>
      <c r="R314" s="165"/>
      <c r="S314" s="165"/>
      <c r="T314" s="165"/>
      <c r="U314" s="165"/>
      <c r="V314" s="165"/>
      <c r="W314" s="165"/>
      <c r="X314" s="165"/>
      <c r="Y314" s="165"/>
      <c r="Z314" s="165"/>
      <c r="AA314" s="165"/>
      <c r="AB314" s="1064"/>
      <c r="AC314" s="353"/>
      <c r="AD314" s="530"/>
      <c r="AE314" s="1440"/>
      <c r="AF314" s="70"/>
      <c r="AG314"/>
      <c r="AH314"/>
      <c r="AI314" s="505"/>
      <c r="AJ314" s="312"/>
      <c r="AK314"/>
      <c r="AL314" s="917"/>
      <c r="AM314"/>
    </row>
    <row r="315" spans="1:39" s="164" customFormat="1" hidden="1">
      <c r="A315" s="63"/>
      <c r="B315" s="357" t="s">
        <v>123</v>
      </c>
      <c r="C315" s="357">
        <f>SUM(C310:C314)</f>
        <v>6938000000</v>
      </c>
      <c r="D315" s="357">
        <f>SUM(D310:D314)</f>
        <v>6286680010</v>
      </c>
      <c r="E315" s="357">
        <f>SUM(E310:E314)</f>
        <v>6286680010</v>
      </c>
      <c r="F315" s="357">
        <f>SUM(F310:F314)</f>
        <v>5137663477</v>
      </c>
      <c r="G315" s="61"/>
      <c r="H315" s="61"/>
      <c r="I315" s="956"/>
      <c r="J315" s="62"/>
      <c r="K315" s="480"/>
      <c r="L315" s="1599"/>
      <c r="M315" s="1576"/>
      <c r="N315" s="1599"/>
      <c r="O315" s="1064"/>
      <c r="P315" s="786"/>
      <c r="Q315" s="165"/>
      <c r="R315" s="165"/>
      <c r="S315" s="165"/>
      <c r="T315" s="165"/>
      <c r="U315" s="165"/>
      <c r="V315" s="165"/>
      <c r="W315" s="165"/>
      <c r="X315" s="165"/>
      <c r="Y315" s="165"/>
      <c r="Z315" s="165"/>
      <c r="AA315" s="165"/>
      <c r="AB315" s="1064"/>
      <c r="AC315" s="353"/>
      <c r="AD315" s="530"/>
      <c r="AE315" s="1440"/>
      <c r="AF315" s="70"/>
      <c r="AG315"/>
      <c r="AH315"/>
      <c r="AI315" s="505"/>
      <c r="AJ315" s="312"/>
      <c r="AK315"/>
      <c r="AL315" s="917"/>
      <c r="AM315"/>
    </row>
    <row r="316" spans="1:39" s="164" customFormat="1" ht="14.25" hidden="1" customHeight="1">
      <c r="A316" s="410"/>
      <c r="B316" s="60"/>
      <c r="C316" s="411"/>
      <c r="D316" s="412"/>
      <c r="E316" s="413"/>
      <c r="F316" s="414"/>
      <c r="G316" s="414"/>
      <c r="H316" s="414"/>
      <c r="I316" s="957"/>
      <c r="J316" s="62"/>
      <c r="K316" s="480"/>
      <c r="L316" s="1599"/>
      <c r="M316" s="1576"/>
      <c r="N316" s="1599"/>
      <c r="O316" s="1064"/>
      <c r="P316" s="786"/>
      <c r="Q316" s="165"/>
      <c r="R316" s="165"/>
      <c r="S316" s="165"/>
      <c r="T316" s="165"/>
      <c r="U316" s="165"/>
      <c r="V316" s="165"/>
      <c r="W316" s="165"/>
      <c r="X316" s="165"/>
      <c r="Y316" s="165"/>
      <c r="Z316" s="165"/>
      <c r="AA316" s="165"/>
      <c r="AB316" s="1064"/>
      <c r="AC316" s="353"/>
      <c r="AD316" s="530"/>
      <c r="AE316" s="1440"/>
      <c r="AF316" s="70"/>
      <c r="AG316"/>
      <c r="AH316"/>
      <c r="AI316" s="505"/>
      <c r="AJ316" s="312"/>
      <c r="AK316"/>
      <c r="AL316" s="917"/>
      <c r="AM316"/>
    </row>
    <row r="317" spans="1:39" s="164" customFormat="1" hidden="1">
      <c r="A317"/>
      <c r="B317" s="27"/>
      <c r="C317"/>
      <c r="D317"/>
      <c r="E317"/>
      <c r="F317" s="28"/>
      <c r="G317"/>
      <c r="H317"/>
      <c r="I317" s="936"/>
      <c r="J317" s="70"/>
      <c r="L317" s="1046"/>
      <c r="M317" s="350"/>
      <c r="N317" s="1046"/>
      <c r="O317" s="1064"/>
      <c r="P317" s="786"/>
      <c r="Q317" s="165"/>
      <c r="R317" s="165"/>
      <c r="S317" s="165"/>
      <c r="T317" s="165"/>
      <c r="U317" s="165"/>
      <c r="V317" s="165"/>
      <c r="W317" s="165"/>
      <c r="X317" s="165"/>
      <c r="Y317" s="165"/>
      <c r="Z317" s="165"/>
      <c r="AA317" s="165"/>
      <c r="AB317" s="1064"/>
      <c r="AC317" s="353"/>
      <c r="AD317" s="530"/>
      <c r="AE317" s="1440"/>
      <c r="AF317" s="70"/>
      <c r="AG317"/>
      <c r="AH317"/>
      <c r="AI317" s="505"/>
      <c r="AJ317" s="312"/>
      <c r="AK317"/>
      <c r="AL317" s="917"/>
      <c r="AM317"/>
    </row>
    <row r="318" spans="1:39" s="164" customFormat="1" hidden="1">
      <c r="A318"/>
      <c r="B318" s="27"/>
      <c r="C318" s="220"/>
      <c r="D318" s="220"/>
      <c r="E318" s="220"/>
      <c r="F318" s="220"/>
      <c r="G318" s="128"/>
      <c r="H318" s="128"/>
      <c r="I318" s="958"/>
      <c r="J318" s="70"/>
      <c r="L318" s="1046"/>
      <c r="M318" s="350"/>
      <c r="N318" s="1046"/>
      <c r="O318" s="1064"/>
      <c r="P318" s="786"/>
      <c r="Q318" s="165"/>
      <c r="R318" s="165"/>
      <c r="S318" s="165"/>
      <c r="T318" s="165"/>
      <c r="U318" s="165"/>
      <c r="V318" s="165"/>
      <c r="W318" s="165"/>
      <c r="X318" s="165"/>
      <c r="Y318" s="165"/>
      <c r="Z318" s="165"/>
      <c r="AA318" s="165"/>
      <c r="AB318" s="1064"/>
      <c r="AC318" s="353"/>
      <c r="AD318" s="530"/>
      <c r="AE318" s="1440"/>
      <c r="AF318" s="70"/>
      <c r="AG318"/>
      <c r="AH318"/>
      <c r="AI318" s="505"/>
      <c r="AJ318" s="312"/>
      <c r="AK318"/>
      <c r="AL318" s="917"/>
      <c r="AM318"/>
    </row>
    <row r="319" spans="1:39" s="164" customFormat="1" hidden="1">
      <c r="A319"/>
      <c r="B319" s="27"/>
      <c r="C319" s="220"/>
      <c r="D319" s="220"/>
      <c r="E319" s="220"/>
      <c r="F319" s="220"/>
      <c r="G319" s="128"/>
      <c r="H319" s="128"/>
      <c r="I319" s="958"/>
      <c r="J319" s="70"/>
      <c r="L319" s="1046"/>
      <c r="M319" s="350"/>
      <c r="N319" s="1046"/>
      <c r="O319" s="1064"/>
      <c r="P319" s="786"/>
      <c r="Q319" s="165"/>
      <c r="R319" s="165"/>
      <c r="S319" s="165"/>
      <c r="T319" s="165"/>
      <c r="U319" s="165"/>
      <c r="V319" s="165"/>
      <c r="W319" s="165"/>
      <c r="X319" s="165"/>
      <c r="Y319" s="165"/>
      <c r="Z319" s="165"/>
      <c r="AA319" s="165"/>
      <c r="AB319" s="1064"/>
      <c r="AC319" s="353"/>
      <c r="AD319" s="530"/>
      <c r="AE319" s="1440"/>
      <c r="AF319" s="70"/>
      <c r="AG319"/>
      <c r="AH319"/>
      <c r="AI319" s="505"/>
      <c r="AJ319" s="312"/>
      <c r="AK319"/>
      <c r="AL319" s="917"/>
      <c r="AM319"/>
    </row>
    <row r="320" spans="1:39" s="164" customFormat="1" hidden="1">
      <c r="A320"/>
      <c r="B320" s="27"/>
      <c r="C320" s="220"/>
      <c r="D320" s="220"/>
      <c r="E320" s="220"/>
      <c r="F320" s="220"/>
      <c r="G320" s="128"/>
      <c r="H320" s="128"/>
      <c r="I320" s="958"/>
      <c r="J320" s="70"/>
      <c r="L320" s="1046"/>
      <c r="M320" s="350"/>
      <c r="N320" s="1046"/>
      <c r="O320" s="1064"/>
      <c r="P320" s="786"/>
      <c r="Q320" s="165"/>
      <c r="R320" s="165"/>
      <c r="S320" s="165"/>
      <c r="T320" s="165"/>
      <c r="U320" s="165"/>
      <c r="V320" s="165"/>
      <c r="W320" s="165"/>
      <c r="X320" s="165"/>
      <c r="Y320" s="165"/>
      <c r="Z320" s="165"/>
      <c r="AA320" s="165"/>
      <c r="AB320" s="1064"/>
      <c r="AC320" s="353"/>
      <c r="AD320" s="530"/>
      <c r="AE320" s="1440"/>
      <c r="AF320" s="70"/>
      <c r="AG320"/>
      <c r="AH320"/>
      <c r="AI320" s="505"/>
      <c r="AJ320" s="312"/>
      <c r="AK320"/>
      <c r="AL320" s="917"/>
      <c r="AM320"/>
    </row>
    <row r="321" spans="1:39" s="164" customFormat="1" ht="15" hidden="1">
      <c r="A321" s="1807" t="s">
        <v>158</v>
      </c>
      <c r="B321" s="1808">
        <f>B17</f>
        <v>3540406532</v>
      </c>
      <c r="C321" s="220"/>
      <c r="D321" s="220"/>
      <c r="E321" s="220"/>
      <c r="F321" s="220"/>
      <c r="G321" s="128"/>
      <c r="H321" s="128"/>
      <c r="I321" s="958"/>
      <c r="J321" s="70"/>
      <c r="L321" s="1046"/>
      <c r="M321" s="350"/>
      <c r="N321" s="1046"/>
      <c r="O321" s="1064"/>
      <c r="P321" s="786"/>
      <c r="Q321" s="165"/>
      <c r="R321" s="165"/>
      <c r="S321" s="165"/>
      <c r="T321" s="165"/>
      <c r="U321" s="165"/>
      <c r="V321" s="165"/>
      <c r="W321" s="165"/>
      <c r="X321" s="165"/>
      <c r="Y321" s="165"/>
      <c r="Z321" s="165"/>
      <c r="AA321" s="165"/>
      <c r="AB321" s="1064"/>
      <c r="AC321" s="353"/>
      <c r="AD321" s="530"/>
      <c r="AE321" s="1440"/>
      <c r="AF321" s="70"/>
      <c r="AG321"/>
      <c r="AH321"/>
      <c r="AI321" s="505"/>
      <c r="AJ321" s="312"/>
      <c r="AK321"/>
      <c r="AL321" s="917"/>
      <c r="AM321"/>
    </row>
    <row r="322" spans="1:39" s="164" customFormat="1" ht="15" hidden="1">
      <c r="A322" s="1807" t="s">
        <v>159</v>
      </c>
      <c r="B322" s="1808">
        <f>B145</f>
        <v>573584500</v>
      </c>
      <c r="C322" s="220"/>
      <c r="D322" s="220"/>
      <c r="E322" s="220"/>
      <c r="F322" s="220"/>
      <c r="G322"/>
      <c r="H322"/>
      <c r="I322" s="936"/>
      <c r="J322" s="70"/>
      <c r="L322" s="1046"/>
      <c r="M322" s="350"/>
      <c r="N322" s="1046"/>
      <c r="O322" s="1064"/>
      <c r="P322" s="786"/>
      <c r="Q322" s="165"/>
      <c r="R322" s="165"/>
      <c r="S322" s="165"/>
      <c r="T322" s="165"/>
      <c r="U322" s="165"/>
      <c r="V322" s="165"/>
      <c r="W322" s="165"/>
      <c r="X322" s="165"/>
      <c r="Y322" s="165"/>
      <c r="Z322" s="165"/>
      <c r="AA322" s="165"/>
      <c r="AB322" s="1064"/>
      <c r="AC322" s="353"/>
      <c r="AD322" s="530"/>
      <c r="AE322" s="1440"/>
      <c r="AF322" s="70"/>
      <c r="AG322"/>
      <c r="AH322"/>
      <c r="AI322" s="505"/>
      <c r="AJ322" s="312"/>
      <c r="AK322"/>
      <c r="AL322" s="917"/>
      <c r="AM322"/>
    </row>
    <row r="323" spans="1:39" s="164" customFormat="1" ht="15" hidden="1">
      <c r="A323" s="1807" t="s">
        <v>160</v>
      </c>
      <c r="B323" s="1808">
        <f>B206</f>
        <v>2824008968</v>
      </c>
      <c r="C323" s="220"/>
      <c r="D323" s="220"/>
      <c r="E323" s="220"/>
      <c r="F323" s="220"/>
      <c r="G323"/>
      <c r="H323"/>
      <c r="I323" s="936"/>
      <c r="J323" s="70"/>
      <c r="L323" s="1046"/>
      <c r="M323" s="350"/>
      <c r="N323" s="1046"/>
      <c r="O323" s="1064"/>
      <c r="P323" s="786"/>
      <c r="Q323" s="165"/>
      <c r="R323" s="165"/>
      <c r="S323" s="165"/>
      <c r="T323" s="165"/>
      <c r="U323" s="165"/>
      <c r="V323" s="165"/>
      <c r="W323" s="165"/>
      <c r="X323" s="165"/>
      <c r="Y323" s="165"/>
      <c r="Z323" s="165"/>
      <c r="AA323" s="165"/>
      <c r="AB323" s="1064"/>
      <c r="AC323" s="353"/>
      <c r="AD323" s="530"/>
      <c r="AE323" s="1440"/>
      <c r="AF323" s="70"/>
      <c r="AG323"/>
      <c r="AH323"/>
      <c r="AI323" s="505"/>
      <c r="AJ323" s="312"/>
      <c r="AK323"/>
      <c r="AL323" s="917"/>
      <c r="AM323"/>
    </row>
    <row r="324" spans="1:39" s="164" customFormat="1" ht="15" hidden="1">
      <c r="A324" s="1809"/>
      <c r="B324" s="1810">
        <f>SUM(B321:B323)</f>
        <v>6938000000</v>
      </c>
      <c r="C324" s="220"/>
      <c r="D324" s="220"/>
      <c r="E324" s="220"/>
      <c r="F324" s="220"/>
      <c r="G324"/>
      <c r="H324"/>
      <c r="I324" s="936"/>
      <c r="J324" s="70"/>
      <c r="L324" s="1046"/>
      <c r="M324" s="350"/>
      <c r="N324" s="1046"/>
      <c r="O324" s="1064"/>
      <c r="P324" s="786"/>
      <c r="Q324" s="165"/>
      <c r="R324" s="165"/>
      <c r="S324" s="165"/>
      <c r="T324" s="165"/>
      <c r="U324" s="165"/>
      <c r="V324" s="165"/>
      <c r="W324" s="165"/>
      <c r="X324" s="165"/>
      <c r="Y324" s="165"/>
      <c r="Z324" s="165"/>
      <c r="AA324" s="165"/>
      <c r="AB324" s="1064"/>
      <c r="AC324" s="353"/>
      <c r="AD324" s="530"/>
      <c r="AE324" s="1440"/>
      <c r="AF324" s="70"/>
      <c r="AG324"/>
      <c r="AH324"/>
      <c r="AI324" s="505"/>
      <c r="AJ324" s="312"/>
      <c r="AK324"/>
      <c r="AL324" s="917"/>
      <c r="AM324"/>
    </row>
    <row r="325" spans="1:39" s="164" customFormat="1">
      <c r="A325"/>
      <c r="B325" s="27"/>
      <c r="C325" s="220"/>
      <c r="D325" s="220"/>
      <c r="E325" s="220"/>
      <c r="F325" s="220"/>
      <c r="G325"/>
      <c r="H325"/>
      <c r="I325" s="936"/>
      <c r="J325" s="70"/>
      <c r="L325" s="1046"/>
      <c r="M325" s="350"/>
      <c r="N325" s="1046"/>
      <c r="O325" s="1064"/>
      <c r="P325" s="786"/>
      <c r="Q325" s="165"/>
      <c r="R325" s="165"/>
      <c r="S325" s="165"/>
      <c r="T325" s="165"/>
      <c r="U325" s="165"/>
      <c r="V325" s="165"/>
      <c r="W325" s="165"/>
      <c r="X325" s="165"/>
      <c r="Y325" s="165"/>
      <c r="Z325" s="165"/>
      <c r="AA325" s="165"/>
      <c r="AB325" s="1064"/>
      <c r="AC325" s="353"/>
      <c r="AD325" s="530"/>
      <c r="AE325" s="1440"/>
      <c r="AF325" s="70"/>
      <c r="AG325"/>
      <c r="AH325"/>
      <c r="AI325" s="505"/>
      <c r="AJ325" s="312"/>
      <c r="AK325"/>
      <c r="AL325" s="917"/>
      <c r="AM325"/>
    </row>
    <row r="326" spans="1:39" s="164" customFormat="1">
      <c r="A326"/>
      <c r="B326" s="27"/>
      <c r="C326" s="220"/>
      <c r="D326" s="220"/>
      <c r="E326" s="220"/>
      <c r="F326" s="220"/>
      <c r="G326"/>
      <c r="H326"/>
      <c r="I326" s="936"/>
      <c r="J326" s="70"/>
      <c r="L326" s="1046"/>
      <c r="M326" s="350"/>
      <c r="N326" s="1046"/>
      <c r="O326" s="1064"/>
      <c r="P326" s="786"/>
      <c r="Q326" s="165"/>
      <c r="R326" s="165"/>
      <c r="S326" s="165"/>
      <c r="T326" s="165"/>
      <c r="U326" s="165"/>
      <c r="V326" s="165"/>
      <c r="W326" s="165"/>
      <c r="X326" s="165"/>
      <c r="Y326" s="165"/>
      <c r="Z326" s="165"/>
      <c r="AA326" s="165"/>
      <c r="AB326" s="1064"/>
      <c r="AC326" s="353"/>
      <c r="AD326" s="530"/>
      <c r="AE326" s="1440"/>
      <c r="AF326" s="70"/>
      <c r="AG326"/>
      <c r="AH326"/>
      <c r="AI326" s="505"/>
      <c r="AJ326" s="312"/>
      <c r="AK326"/>
      <c r="AL326" s="917"/>
      <c r="AM326"/>
    </row>
    <row r="327" spans="1:39" s="164" customFormat="1">
      <c r="A327"/>
      <c r="B327" s="27"/>
      <c r="C327" s="220"/>
      <c r="D327" s="220"/>
      <c r="E327" s="220"/>
      <c r="F327" s="220"/>
      <c r="G327"/>
      <c r="H327"/>
      <c r="I327" s="936"/>
      <c r="J327" s="70"/>
      <c r="L327" s="1046"/>
      <c r="M327" s="350"/>
      <c r="N327" s="1046"/>
      <c r="O327" s="1064"/>
      <c r="P327" s="786"/>
      <c r="Q327" s="165"/>
      <c r="R327" s="165"/>
      <c r="S327" s="165"/>
      <c r="T327" s="165"/>
      <c r="U327" s="165"/>
      <c r="V327" s="165"/>
      <c r="W327" s="165"/>
      <c r="X327" s="165"/>
      <c r="Y327" s="165"/>
      <c r="Z327" s="165"/>
      <c r="AA327" s="165"/>
      <c r="AB327" s="1064"/>
      <c r="AC327" s="353"/>
      <c r="AD327" s="530"/>
      <c r="AE327" s="1440"/>
      <c r="AF327" s="70"/>
      <c r="AG327"/>
      <c r="AH327"/>
      <c r="AI327" s="505"/>
      <c r="AJ327" s="312"/>
      <c r="AK327"/>
      <c r="AL327" s="917"/>
      <c r="AM327"/>
    </row>
    <row r="328" spans="1:39" s="164" customFormat="1">
      <c r="A328"/>
      <c r="B328" s="27"/>
      <c r="C328" s="220"/>
      <c r="D328" s="220"/>
      <c r="E328" s="220"/>
      <c r="F328" s="220"/>
      <c r="G328"/>
      <c r="H328"/>
      <c r="I328" s="936"/>
      <c r="J328" s="70"/>
      <c r="L328" s="1046"/>
      <c r="M328" s="350"/>
      <c r="N328" s="1046"/>
      <c r="O328" s="1064"/>
      <c r="P328" s="786"/>
      <c r="Q328" s="165"/>
      <c r="R328" s="165"/>
      <c r="S328" s="165"/>
      <c r="T328" s="165"/>
      <c r="U328" s="165"/>
      <c r="V328" s="165"/>
      <c r="W328" s="165"/>
      <c r="X328" s="165"/>
      <c r="Y328" s="165"/>
      <c r="Z328" s="165"/>
      <c r="AA328" s="165"/>
      <c r="AB328" s="1064"/>
      <c r="AC328" s="353"/>
      <c r="AD328" s="530"/>
      <c r="AE328" s="1440"/>
      <c r="AF328" s="70"/>
      <c r="AG328"/>
      <c r="AH328"/>
      <c r="AI328" s="505"/>
      <c r="AJ328" s="312"/>
      <c r="AK328"/>
      <c r="AL328" s="917"/>
      <c r="AM328"/>
    </row>
    <row r="329" spans="1:39" s="164" customFormat="1">
      <c r="A329"/>
      <c r="B329" s="27"/>
      <c r="C329" s="220"/>
      <c r="D329" s="220"/>
      <c r="E329" s="220"/>
      <c r="F329" s="220"/>
      <c r="G329"/>
      <c r="H329"/>
      <c r="I329" s="936"/>
      <c r="J329" s="70"/>
      <c r="L329" s="1046"/>
      <c r="M329" s="350"/>
      <c r="N329" s="1046"/>
      <c r="O329" s="1064"/>
      <c r="P329" s="786"/>
      <c r="Q329" s="165"/>
      <c r="R329" s="165"/>
      <c r="S329" s="165"/>
      <c r="T329" s="165"/>
      <c r="U329" s="165"/>
      <c r="V329" s="165"/>
      <c r="W329" s="165"/>
      <c r="X329" s="165"/>
      <c r="Y329" s="165"/>
      <c r="Z329" s="165"/>
      <c r="AA329" s="165"/>
      <c r="AB329" s="1064"/>
      <c r="AC329" s="353"/>
      <c r="AD329" s="530"/>
      <c r="AE329" s="1440"/>
      <c r="AF329" s="70"/>
      <c r="AG329"/>
      <c r="AH329"/>
      <c r="AI329" s="505"/>
      <c r="AJ329" s="312"/>
      <c r="AK329"/>
      <c r="AL329" s="917"/>
      <c r="AM329"/>
    </row>
    <row r="330" spans="1:39">
      <c r="C330" s="220"/>
      <c r="D330" s="220"/>
      <c r="E330" s="220"/>
      <c r="F330" s="220"/>
    </row>
    <row r="332" spans="1:39">
      <c r="A332" s="29"/>
      <c r="B332" s="30"/>
    </row>
    <row r="333" spans="1:39">
      <c r="A333" s="33"/>
      <c r="B333" s="34"/>
      <c r="F333" s="37"/>
    </row>
    <row r="334" spans="1:39">
      <c r="A334" s="33"/>
      <c r="B334" s="34"/>
      <c r="F334" s="37"/>
    </row>
    <row r="335" spans="1:39">
      <c r="A335" s="33"/>
      <c r="B335" s="34"/>
      <c r="F335" s="37"/>
    </row>
    <row r="336" spans="1:39">
      <c r="A336" s="33"/>
      <c r="B336" s="34"/>
      <c r="F336" s="37"/>
    </row>
    <row r="343" spans="1:2">
      <c r="A343" s="33"/>
      <c r="B343" s="34"/>
    </row>
    <row r="344" spans="1:2">
      <c r="A344" s="33"/>
      <c r="B344" s="34"/>
    </row>
    <row r="345" spans="1:2">
      <c r="A345" s="33"/>
      <c r="B345" s="34"/>
    </row>
    <row r="346" spans="1:2">
      <c r="A346" s="33"/>
      <c r="B346" s="34"/>
    </row>
    <row r="347" spans="1:2">
      <c r="A347" s="33"/>
      <c r="B347" s="34"/>
    </row>
    <row r="348" spans="1:2">
      <c r="A348" s="33"/>
      <c r="B348" s="34"/>
    </row>
    <row r="349" spans="1:2">
      <c r="A349" s="33"/>
      <c r="B349" s="34"/>
    </row>
    <row r="350" spans="1:2">
      <c r="A350" s="33"/>
      <c r="B350" s="34"/>
    </row>
    <row r="351" spans="1:2">
      <c r="A351" s="33"/>
      <c r="B351" s="34"/>
    </row>
    <row r="352" spans="1:2">
      <c r="A352" s="33"/>
      <c r="B352" s="34"/>
    </row>
    <row r="353" spans="1:2">
      <c r="A353" s="33"/>
      <c r="B353" s="34"/>
    </row>
    <row r="354" spans="1:2">
      <c r="A354" s="33"/>
      <c r="B354" s="34"/>
    </row>
    <row r="355" spans="1:2">
      <c r="A355" s="33"/>
      <c r="B355" s="34"/>
    </row>
    <row r="356" spans="1:2">
      <c r="A356" s="33"/>
      <c r="B356" s="34"/>
    </row>
    <row r="357" spans="1:2">
      <c r="A357" s="33"/>
      <c r="B357" s="34"/>
    </row>
    <row r="358" spans="1:2">
      <c r="A358" s="33"/>
      <c r="B358" s="34"/>
    </row>
    <row r="359" spans="1:2">
      <c r="A359" s="33"/>
      <c r="B359" s="34"/>
    </row>
    <row r="360" spans="1:2">
      <c r="A360" s="33"/>
      <c r="B360" s="34"/>
    </row>
    <row r="361" spans="1:2">
      <c r="A361" s="33"/>
      <c r="B361" s="34"/>
    </row>
  </sheetData>
  <autoFilter ref="A16:AM291"/>
  <mergeCells count="39">
    <mergeCell ref="AJ23:AJ24"/>
    <mergeCell ref="AK23:AK24"/>
    <mergeCell ref="L157:L159"/>
    <mergeCell ref="M157:M159"/>
    <mergeCell ref="AJ157:AJ159"/>
    <mergeCell ref="AK157:AK159"/>
    <mergeCell ref="I23:I24"/>
    <mergeCell ref="L23:L24"/>
    <mergeCell ref="M23:M24"/>
    <mergeCell ref="AF23:AF24"/>
    <mergeCell ref="AG23:AG24"/>
    <mergeCell ref="A1:A3"/>
    <mergeCell ref="A4:G4"/>
    <mergeCell ref="O4:AD14"/>
    <mergeCell ref="A5:G5"/>
    <mergeCell ref="A6:G6"/>
    <mergeCell ref="A7:G7"/>
    <mergeCell ref="A8:G8"/>
    <mergeCell ref="A9:G9"/>
    <mergeCell ref="B10:D10"/>
    <mergeCell ref="B11:G11"/>
    <mergeCell ref="B12:G12"/>
    <mergeCell ref="B1:AD1"/>
    <mergeCell ref="B2:AD2"/>
    <mergeCell ref="B3:AD3"/>
    <mergeCell ref="C299:E299"/>
    <mergeCell ref="C300:D300"/>
    <mergeCell ref="E300:G300"/>
    <mergeCell ref="C301:D301"/>
    <mergeCell ref="E301:G301"/>
    <mergeCell ref="AM164:AM195"/>
    <mergeCell ref="L160:L162"/>
    <mergeCell ref="M160:M162"/>
    <mergeCell ref="AJ160:AJ162"/>
    <mergeCell ref="AK160:AK162"/>
    <mergeCell ref="L164:L195"/>
    <mergeCell ref="M164:M195"/>
    <mergeCell ref="AJ164:AJ195"/>
    <mergeCell ref="AK164:AK195"/>
  </mergeCells>
  <conditionalFormatting sqref="AD288:AE1048576 AK160 AK163:AK164 AM196:AM204 AK1:AK157 AM1:AM164 AK196:AK1048576 AM206:AM1048576 AD4:AE128 AD130:AE286">
    <cfRule type="cellIs" dxfId="184" priority="19" operator="lessThan">
      <formula>0</formula>
    </cfRule>
  </conditionalFormatting>
  <conditionalFormatting sqref="AD139:AE139">
    <cfRule type="cellIs" dxfId="183" priority="17" operator="lessThan">
      <formula>0</formula>
    </cfRule>
  </conditionalFormatting>
  <conditionalFormatting sqref="AD140:AE143">
    <cfRule type="cellIs" dxfId="182" priority="16" operator="lessThan">
      <formula>0</formula>
    </cfRule>
  </conditionalFormatting>
  <conditionalFormatting sqref="O299">
    <cfRule type="duplicateValues" dxfId="181" priority="15"/>
  </conditionalFormatting>
  <conditionalFormatting sqref="AD139:AE139">
    <cfRule type="cellIs" dxfId="180" priority="14" operator="lessThan">
      <formula>0</formula>
    </cfRule>
  </conditionalFormatting>
  <conditionalFormatting sqref="AD136:AE137">
    <cfRule type="cellIs" dxfId="179" priority="12" operator="lessThan">
      <formula>0</formula>
    </cfRule>
  </conditionalFormatting>
  <conditionalFormatting sqref="AK288:AK1048576 AK160 AK163:AK164 AK1:AK128 AK130:AK157 AK196:AK286">
    <cfRule type="cellIs" dxfId="178" priority="9" operator="lessThan">
      <formula>0</formula>
    </cfRule>
    <cfRule type="cellIs" dxfId="177" priority="10" operator="lessThan">
      <formula>0</formula>
    </cfRule>
  </conditionalFormatting>
  <conditionalFormatting sqref="AM205">
    <cfRule type="cellIs" dxfId="176" priority="4" operator="lessThan">
      <formula>0</formula>
    </cfRule>
  </conditionalFormatting>
  <conditionalFormatting sqref="AM205">
    <cfRule type="cellIs" dxfId="175" priority="2" operator="lessThan">
      <formula>0</formula>
    </cfRule>
    <cfRule type="cellIs" dxfId="174" priority="3" operator="lessThan">
      <formula>0</formula>
    </cfRule>
  </conditionalFormatting>
  <printOptions horizontalCentered="1" verticalCentered="1"/>
  <pageMargins left="0.27559055118110237" right="0.35433070866141736" top="0" bottom="0" header="0" footer="0"/>
  <pageSetup scale="45" fitToHeight="2" orientation="landscape" r:id="rId1"/>
  <headerFooter alignWithMargins="0">
    <oddFooter>&amp;LVersión 3. 23/07/2019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N271"/>
  <sheetViews>
    <sheetView zoomScale="82" zoomScaleNormal="82" workbookViewId="0">
      <selection activeCell="C36" sqref="C36"/>
    </sheetView>
  </sheetViews>
  <sheetFormatPr baseColWidth="10" defaultRowHeight="12.75"/>
  <cols>
    <col min="1" max="1" width="29.140625" customWidth="1"/>
    <col min="2" max="2" width="17.85546875" style="114" customWidth="1"/>
    <col min="3" max="3" width="29.28515625" customWidth="1"/>
    <col min="4" max="4" width="27.5703125" customWidth="1"/>
    <col min="5" max="5" width="40.7109375" customWidth="1"/>
    <col min="6" max="6" width="40.42578125" customWidth="1"/>
    <col min="7" max="8" width="30.140625" customWidth="1"/>
    <col min="9" max="9" width="9.28515625" style="936" customWidth="1"/>
    <col min="10" max="10" width="7.28515625" style="175" customWidth="1"/>
    <col min="11" max="11" width="13.42578125" style="165" customWidth="1"/>
    <col min="12" max="12" width="7.7109375" style="534" customWidth="1"/>
    <col min="13" max="13" width="16.28515625" style="164" customWidth="1"/>
    <col min="14" max="14" width="14" style="505" customWidth="1"/>
    <col min="15" max="15" width="15.28515625" style="116" customWidth="1"/>
    <col min="16" max="16" width="10.85546875" style="175" customWidth="1"/>
    <col min="17" max="17" width="11.42578125" style="116" customWidth="1"/>
    <col min="18" max="18" width="15" style="116" customWidth="1"/>
    <col min="19" max="22" width="14.28515625" style="116" customWidth="1"/>
    <col min="23" max="23" width="13.85546875" style="116" customWidth="1"/>
    <col min="24" max="24" width="14.28515625" style="116" customWidth="1"/>
    <col min="25" max="25" width="18.5703125" style="116" customWidth="1"/>
    <col min="26" max="26" width="16" style="116" customWidth="1"/>
    <col min="27" max="27" width="16.85546875" style="116" customWidth="1"/>
    <col min="28" max="28" width="16.28515625" style="116" customWidth="1"/>
    <col min="29" max="29" width="18" style="116" customWidth="1"/>
    <col min="30" max="30" width="16.28515625" style="116" customWidth="1"/>
    <col min="31" max="31" width="2" customWidth="1"/>
    <col min="32" max="32" width="8.140625" style="70" hidden="1" customWidth="1"/>
    <col min="33" max="33" width="0" hidden="1" customWidth="1"/>
    <col min="34" max="34" width="13.5703125" hidden="1" customWidth="1"/>
    <col min="35" max="35" width="0" style="104" hidden="1" customWidth="1"/>
    <col min="36" max="36" width="17.28515625" style="114" hidden="1" customWidth="1"/>
    <col min="37" max="37" width="15.85546875" style="114" hidden="1" customWidth="1"/>
    <col min="38" max="38" width="13.85546875" style="821" hidden="1" customWidth="1"/>
    <col min="39" max="40" width="0" hidden="1" customWidth="1"/>
  </cols>
  <sheetData>
    <row r="1" spans="1:37" ht="42" customHeight="1" thickBot="1">
      <c r="A1" s="2205"/>
      <c r="B1" s="2233" t="s">
        <v>619</v>
      </c>
      <c r="C1" s="2234"/>
      <c r="D1" s="2234"/>
      <c r="E1" s="2234"/>
      <c r="F1" s="2234"/>
      <c r="G1" s="2234"/>
      <c r="H1" s="2234"/>
      <c r="I1" s="2234"/>
      <c r="J1" s="2234"/>
      <c r="K1" s="2234"/>
      <c r="L1" s="2234"/>
      <c r="M1" s="2234"/>
      <c r="N1" s="2234"/>
      <c r="O1" s="2234"/>
      <c r="P1" s="2234"/>
      <c r="Q1" s="2234"/>
      <c r="R1" s="2234"/>
      <c r="S1" s="2234"/>
      <c r="T1" s="2234"/>
      <c r="U1" s="2234"/>
      <c r="V1" s="2234"/>
      <c r="W1" s="2234"/>
      <c r="X1" s="2234"/>
      <c r="Y1" s="2234"/>
      <c r="Z1" s="2234"/>
      <c r="AA1" s="2234"/>
      <c r="AB1" s="2234"/>
      <c r="AC1" s="2234"/>
      <c r="AD1" s="2235"/>
    </row>
    <row r="2" spans="1:37" ht="42" customHeight="1" thickBot="1">
      <c r="A2" s="2206"/>
      <c r="B2" s="2233" t="s">
        <v>1161</v>
      </c>
      <c r="C2" s="2234"/>
      <c r="D2" s="2234"/>
      <c r="E2" s="2234"/>
      <c r="F2" s="2234"/>
      <c r="G2" s="2234"/>
      <c r="H2" s="2234"/>
      <c r="I2" s="2234"/>
      <c r="J2" s="2234"/>
      <c r="K2" s="2234"/>
      <c r="L2" s="2234"/>
      <c r="M2" s="2234"/>
      <c r="N2" s="2234"/>
      <c r="O2" s="2234"/>
      <c r="P2" s="2234"/>
      <c r="Q2" s="2234"/>
      <c r="R2" s="2234"/>
      <c r="S2" s="2234"/>
      <c r="T2" s="2234"/>
      <c r="U2" s="2234"/>
      <c r="V2" s="2234"/>
      <c r="W2" s="2234"/>
      <c r="X2" s="2234"/>
      <c r="Y2" s="2234"/>
      <c r="Z2" s="2234"/>
      <c r="AA2" s="2234"/>
      <c r="AB2" s="2234"/>
      <c r="AC2" s="2234"/>
      <c r="AD2" s="2235"/>
    </row>
    <row r="3" spans="1:37" ht="42" customHeight="1" thickBot="1">
      <c r="A3" s="2207"/>
      <c r="B3" s="2233" t="s">
        <v>1146</v>
      </c>
      <c r="C3" s="2234"/>
      <c r="D3" s="2234"/>
      <c r="E3" s="2234"/>
      <c r="F3" s="2234"/>
      <c r="G3" s="2234"/>
      <c r="H3" s="2234"/>
      <c r="I3" s="2234"/>
      <c r="J3" s="2234"/>
      <c r="K3" s="2234"/>
      <c r="L3" s="2234"/>
      <c r="M3" s="2234"/>
      <c r="N3" s="2234"/>
      <c r="O3" s="2234"/>
      <c r="P3" s="2234"/>
      <c r="Q3" s="2234"/>
      <c r="R3" s="2234"/>
      <c r="S3" s="2234"/>
      <c r="T3" s="2234"/>
      <c r="U3" s="2234"/>
      <c r="V3" s="2234"/>
      <c r="W3" s="2234"/>
      <c r="X3" s="2234"/>
      <c r="Y3" s="2234"/>
      <c r="Z3" s="2234"/>
      <c r="AA3" s="2234"/>
      <c r="AB3" s="2234"/>
      <c r="AC3" s="2234"/>
      <c r="AD3" s="2235"/>
    </row>
    <row r="4" spans="1:37">
      <c r="A4" s="2237" t="s">
        <v>0</v>
      </c>
      <c r="B4" s="2220"/>
      <c r="C4" s="2220"/>
      <c r="D4" s="2220"/>
      <c r="E4" s="2220"/>
      <c r="F4" s="2220"/>
      <c r="G4" s="2220"/>
      <c r="H4" s="2041"/>
      <c r="I4" s="199"/>
      <c r="J4" s="199"/>
      <c r="K4" s="1201"/>
      <c r="L4" s="989"/>
      <c r="M4" s="1316"/>
      <c r="N4" s="986"/>
      <c r="O4" s="194"/>
      <c r="P4" s="211"/>
      <c r="Q4" s="194"/>
      <c r="R4" s="194"/>
      <c r="S4" s="194"/>
      <c r="T4" s="194"/>
      <c r="U4" s="194"/>
      <c r="V4" s="194"/>
      <c r="W4" s="194"/>
      <c r="X4" s="194"/>
      <c r="Y4" s="194"/>
      <c r="Z4" s="194"/>
      <c r="AA4" s="194"/>
      <c r="AB4" s="194"/>
      <c r="AC4" s="194"/>
      <c r="AD4" s="591"/>
    </row>
    <row r="5" spans="1:37">
      <c r="A5" s="2219" t="s">
        <v>410</v>
      </c>
      <c r="B5" s="2220"/>
      <c r="C5" s="2220"/>
      <c r="D5" s="2220"/>
      <c r="E5" s="2220"/>
      <c r="F5" s="2220"/>
      <c r="G5" s="2220"/>
      <c r="H5" s="2041"/>
      <c r="I5" s="199"/>
      <c r="J5" s="199"/>
      <c r="K5" s="1201"/>
      <c r="L5" s="989"/>
      <c r="M5" s="1316"/>
      <c r="N5" s="986"/>
      <c r="O5" s="194"/>
      <c r="P5" s="211"/>
      <c r="Q5" s="194"/>
      <c r="R5" s="194"/>
      <c r="S5" s="194"/>
      <c r="T5" s="194"/>
      <c r="U5" s="194"/>
      <c r="V5" s="194"/>
      <c r="W5" s="194"/>
      <c r="X5" s="194"/>
      <c r="Y5" s="194"/>
      <c r="Z5" s="194"/>
      <c r="AA5" s="194"/>
      <c r="AB5" s="194"/>
      <c r="AC5" s="194"/>
      <c r="AD5" s="591"/>
    </row>
    <row r="6" spans="1:37">
      <c r="A6" s="2237" t="s">
        <v>44</v>
      </c>
      <c r="B6" s="2220"/>
      <c r="C6" s="2220"/>
      <c r="D6" s="2220"/>
      <c r="E6" s="2220"/>
      <c r="F6" s="2220"/>
      <c r="G6" s="2220"/>
      <c r="H6" s="2041"/>
      <c r="I6" s="199"/>
      <c r="J6" s="199"/>
      <c r="K6" s="1201"/>
      <c r="L6" s="989"/>
      <c r="M6" s="1316"/>
      <c r="N6" s="986"/>
      <c r="O6" s="194"/>
      <c r="P6" s="211"/>
      <c r="Q6" s="194"/>
      <c r="R6" s="194"/>
      <c r="S6" s="194"/>
      <c r="T6" s="194"/>
      <c r="U6" s="194"/>
      <c r="V6" s="194"/>
      <c r="W6" s="194"/>
      <c r="X6" s="194"/>
      <c r="Y6" s="194"/>
      <c r="Z6" s="194"/>
      <c r="AA6" s="194"/>
      <c r="AB6" s="194"/>
      <c r="AC6" s="194"/>
      <c r="AD6" s="591"/>
    </row>
    <row r="7" spans="1:37">
      <c r="A7" s="2237" t="s">
        <v>45</v>
      </c>
      <c r="B7" s="2220"/>
      <c r="C7" s="2220"/>
      <c r="D7" s="2220"/>
      <c r="E7" s="2220"/>
      <c r="F7" s="2220"/>
      <c r="G7" s="2220"/>
      <c r="H7" s="2041"/>
      <c r="I7" s="199"/>
      <c r="J7" s="199"/>
      <c r="K7" s="1201"/>
      <c r="L7" s="989"/>
      <c r="M7" s="1316"/>
      <c r="N7" s="986"/>
      <c r="O7" s="194"/>
      <c r="P7" s="211"/>
      <c r="Q7" s="194"/>
      <c r="R7" s="194"/>
      <c r="S7" s="194"/>
      <c r="T7" s="194"/>
      <c r="U7" s="194"/>
      <c r="V7" s="194"/>
      <c r="W7" s="194"/>
      <c r="X7" s="194"/>
      <c r="Y7" s="194"/>
      <c r="Z7" s="194"/>
      <c r="AA7" s="194"/>
      <c r="AB7" s="194"/>
      <c r="AC7" s="194"/>
      <c r="AD7" s="591"/>
    </row>
    <row r="8" spans="1:37">
      <c r="A8" s="2237" t="s">
        <v>46</v>
      </c>
      <c r="B8" s="2220"/>
      <c r="C8" s="2220"/>
      <c r="D8" s="2220"/>
      <c r="E8" s="2220"/>
      <c r="F8" s="2220"/>
      <c r="G8" s="2220"/>
      <c r="H8" s="2041"/>
      <c r="I8" s="199"/>
      <c r="J8" s="199"/>
      <c r="K8" s="1201"/>
      <c r="L8" s="989"/>
      <c r="M8" s="1316"/>
      <c r="N8" s="986"/>
      <c r="O8" s="194"/>
      <c r="P8" s="211"/>
      <c r="Q8" s="194"/>
      <c r="R8" s="194"/>
      <c r="S8" s="194"/>
      <c r="T8" s="194"/>
      <c r="U8" s="194"/>
      <c r="V8" s="194"/>
      <c r="W8" s="194"/>
      <c r="X8" s="194"/>
      <c r="Y8" s="194"/>
      <c r="Z8" s="194"/>
      <c r="AA8" s="194"/>
      <c r="AB8" s="194"/>
      <c r="AC8" s="194"/>
      <c r="AD8" s="591"/>
    </row>
    <row r="9" spans="1:37">
      <c r="A9" s="2221" t="s">
        <v>47</v>
      </c>
      <c r="B9" s="2222"/>
      <c r="C9" s="2222"/>
      <c r="D9" s="2222"/>
      <c r="E9" s="2222"/>
      <c r="F9" s="2222"/>
      <c r="G9" s="2222"/>
      <c r="H9" s="2042"/>
      <c r="I9" s="199"/>
      <c r="J9" s="199"/>
      <c r="K9" s="1201"/>
      <c r="L9" s="989"/>
      <c r="M9" s="1316"/>
      <c r="N9" s="986"/>
      <c r="O9" s="194"/>
      <c r="P9" s="211"/>
      <c r="Q9" s="194"/>
      <c r="R9" s="194"/>
      <c r="S9" s="194"/>
      <c r="T9" s="194"/>
      <c r="U9" s="194"/>
      <c r="V9" s="194"/>
      <c r="W9" s="194"/>
      <c r="X9" s="194"/>
      <c r="Y9" s="194"/>
      <c r="Z9" s="194"/>
      <c r="AA9" s="194"/>
      <c r="AB9" s="194"/>
      <c r="AC9" s="194"/>
      <c r="AD9" s="591"/>
    </row>
    <row r="10" spans="1:37">
      <c r="A10" s="287" t="s">
        <v>2</v>
      </c>
      <c r="B10" s="2220" t="s">
        <v>48</v>
      </c>
      <c r="C10" s="2220"/>
      <c r="D10" s="2220"/>
      <c r="E10" s="288"/>
      <c r="F10" s="288"/>
      <c r="G10" s="290"/>
      <c r="H10" s="288"/>
      <c r="I10" s="199"/>
      <c r="J10" s="199"/>
      <c r="K10" s="1201"/>
      <c r="L10" s="989"/>
      <c r="M10" s="1316"/>
      <c r="N10" s="986"/>
      <c r="O10" s="194"/>
      <c r="P10" s="211"/>
      <c r="Q10" s="194"/>
      <c r="R10" s="194"/>
      <c r="S10" s="194"/>
      <c r="T10" s="194"/>
      <c r="U10" s="194"/>
      <c r="V10" s="194"/>
      <c r="W10" s="194"/>
      <c r="X10" s="194"/>
      <c r="Y10" s="194"/>
      <c r="Z10" s="194"/>
      <c r="AA10" s="194"/>
      <c r="AB10" s="194"/>
      <c r="AC10" s="194"/>
      <c r="AD10" s="591"/>
    </row>
    <row r="11" spans="1:37">
      <c r="A11" s="287" t="s">
        <v>4</v>
      </c>
      <c r="B11" s="2220" t="s">
        <v>49</v>
      </c>
      <c r="C11" s="2220"/>
      <c r="D11" s="2220"/>
      <c r="E11" s="2220"/>
      <c r="F11" s="2220"/>
      <c r="G11" s="2220"/>
      <c r="H11" s="2041"/>
      <c r="I11" s="199"/>
      <c r="J11" s="199"/>
      <c r="K11" s="1201"/>
      <c r="L11" s="989"/>
      <c r="M11" s="1316"/>
      <c r="N11" s="986"/>
      <c r="O11" s="194"/>
      <c r="P11" s="211"/>
      <c r="Q11" s="194"/>
      <c r="R11" s="194"/>
      <c r="S11" s="194"/>
      <c r="T11" s="194"/>
      <c r="U11" s="194"/>
      <c r="V11" s="194"/>
      <c r="W11" s="194"/>
      <c r="X11" s="194"/>
      <c r="Y11" s="194"/>
      <c r="Z11" s="194"/>
      <c r="AA11" s="194"/>
      <c r="AB11" s="194"/>
      <c r="AC11" s="194"/>
      <c r="AD11" s="591"/>
    </row>
    <row r="12" spans="1:37">
      <c r="A12" s="289" t="s">
        <v>6</v>
      </c>
      <c r="B12" s="2220" t="s">
        <v>50</v>
      </c>
      <c r="C12" s="2220"/>
      <c r="D12" s="2220"/>
      <c r="E12" s="2220"/>
      <c r="F12" s="2220"/>
      <c r="G12" s="2220"/>
      <c r="H12" s="2041"/>
      <c r="I12" s="199"/>
      <c r="J12" s="199"/>
      <c r="K12" s="1201"/>
      <c r="L12" s="989"/>
      <c r="M12" s="1316"/>
      <c r="N12" s="986"/>
      <c r="O12" s="194"/>
      <c r="P12" s="211"/>
      <c r="Q12" s="194"/>
      <c r="R12" s="194"/>
      <c r="S12" s="194"/>
      <c r="T12" s="194"/>
      <c r="U12" s="194"/>
      <c r="V12" s="194"/>
      <c r="W12" s="194"/>
      <c r="X12" s="194"/>
      <c r="Y12" s="194"/>
      <c r="Z12" s="194"/>
      <c r="AA12" s="194"/>
      <c r="AB12" s="194"/>
      <c r="AC12" s="194"/>
      <c r="AD12" s="591"/>
    </row>
    <row r="13" spans="1:37">
      <c r="A13" s="42" t="s">
        <v>8</v>
      </c>
      <c r="B13" s="543">
        <v>43819</v>
      </c>
      <c r="C13" s="43"/>
      <c r="D13" s="43"/>
      <c r="E13" s="43"/>
      <c r="F13" s="43"/>
      <c r="G13" s="71"/>
      <c r="H13" s="43"/>
      <c r="I13" s="199"/>
      <c r="J13" s="199"/>
      <c r="K13" s="1201"/>
      <c r="L13" s="989"/>
      <c r="M13" s="1316"/>
      <c r="N13" s="986"/>
      <c r="O13" s="194"/>
      <c r="P13" s="211"/>
      <c r="Q13" s="194"/>
      <c r="R13" s="194"/>
      <c r="S13" s="194"/>
      <c r="T13" s="194"/>
      <c r="U13" s="194"/>
      <c r="V13" s="194"/>
      <c r="W13" s="194"/>
      <c r="X13" s="194"/>
      <c r="Y13" s="194"/>
      <c r="Z13" s="194"/>
      <c r="AA13" s="194"/>
      <c r="AB13" s="194"/>
      <c r="AC13" s="194"/>
      <c r="AD13" s="591"/>
    </row>
    <row r="14" spans="1:37">
      <c r="A14" s="44" t="s">
        <v>9</v>
      </c>
      <c r="B14" s="306">
        <f>D15-E15</f>
        <v>0</v>
      </c>
      <c r="C14" s="1345" t="s">
        <v>135</v>
      </c>
      <c r="D14" s="1345" t="s">
        <v>990</v>
      </c>
      <c r="E14" s="1345" t="s">
        <v>991</v>
      </c>
      <c r="F14" s="307"/>
      <c r="G14" s="307"/>
      <c r="H14" s="2053"/>
      <c r="I14" s="200"/>
      <c r="J14" s="200"/>
      <c r="K14" s="1202"/>
      <c r="L14" s="990"/>
      <c r="M14" s="1317"/>
      <c r="N14" s="987"/>
      <c r="O14" s="195"/>
      <c r="P14" s="212"/>
      <c r="Q14" s="195"/>
      <c r="R14" s="195"/>
      <c r="S14" s="195"/>
      <c r="T14" s="195"/>
      <c r="U14" s="195"/>
      <c r="V14" s="195"/>
      <c r="W14" s="195"/>
      <c r="X14" s="195"/>
      <c r="Y14" s="195"/>
      <c r="Z14" s="195"/>
      <c r="AA14" s="195"/>
      <c r="AB14" s="195"/>
      <c r="AC14" s="195"/>
      <c r="AD14" s="592"/>
    </row>
    <row r="15" spans="1:37" ht="13.5" thickBot="1">
      <c r="A15" s="47" t="s">
        <v>51</v>
      </c>
      <c r="B15" s="263">
        <f>C15+B14</f>
        <v>5578162000</v>
      </c>
      <c r="C15" s="308">
        <v>5578162000</v>
      </c>
      <c r="D15" s="309"/>
      <c r="E15" s="309"/>
      <c r="F15" s="309"/>
      <c r="G15" s="309"/>
      <c r="H15" s="2097"/>
      <c r="I15" s="201"/>
      <c r="J15" s="201"/>
      <c r="K15" s="1441"/>
      <c r="L15" s="981"/>
      <c r="M15" s="464"/>
      <c r="N15" s="1038"/>
      <c r="O15" s="196"/>
      <c r="P15" s="213"/>
      <c r="Q15" s="196"/>
      <c r="R15" s="196"/>
      <c r="S15" s="196"/>
      <c r="T15" s="196"/>
      <c r="U15" s="196"/>
      <c r="V15" s="196"/>
      <c r="W15" s="196"/>
      <c r="X15" s="196"/>
      <c r="Y15" s="196"/>
      <c r="Z15" s="196"/>
      <c r="AA15" s="196"/>
      <c r="AB15" s="196"/>
      <c r="AC15" s="197"/>
      <c r="AD15" s="593"/>
    </row>
    <row r="16" spans="1:37" ht="38.25">
      <c r="A16" s="49" t="s">
        <v>11</v>
      </c>
      <c r="B16" s="264" t="s">
        <v>12</v>
      </c>
      <c r="C16" s="50" t="s">
        <v>13</v>
      </c>
      <c r="D16" s="50" t="s">
        <v>14</v>
      </c>
      <c r="E16" s="50" t="s">
        <v>15</v>
      </c>
      <c r="F16" s="50" t="s">
        <v>409</v>
      </c>
      <c r="G16" s="50" t="s">
        <v>16</v>
      </c>
      <c r="H16" s="2106"/>
      <c r="I16" s="2083" t="s">
        <v>500</v>
      </c>
      <c r="J16" s="202" t="s">
        <v>94</v>
      </c>
      <c r="K16" s="1442" t="s">
        <v>129</v>
      </c>
      <c r="L16" s="106" t="s">
        <v>95</v>
      </c>
      <c r="M16" s="5" t="s">
        <v>17</v>
      </c>
      <c r="N16" s="98" t="s">
        <v>96</v>
      </c>
      <c r="O16" s="5" t="s">
        <v>115</v>
      </c>
      <c r="P16" s="230" t="s">
        <v>97</v>
      </c>
      <c r="Q16" s="224" t="s">
        <v>98</v>
      </c>
      <c r="R16" s="5" t="s">
        <v>99</v>
      </c>
      <c r="S16" s="5" t="s">
        <v>100</v>
      </c>
      <c r="T16" s="5" t="s">
        <v>101</v>
      </c>
      <c r="U16" s="5" t="s">
        <v>102</v>
      </c>
      <c r="V16" s="5" t="s">
        <v>103</v>
      </c>
      <c r="W16" s="5" t="s">
        <v>104</v>
      </c>
      <c r="X16" s="5" t="s">
        <v>105</v>
      </c>
      <c r="Y16" s="5" t="s">
        <v>106</v>
      </c>
      <c r="Z16" s="5" t="s">
        <v>107</v>
      </c>
      <c r="AA16" s="5" t="s">
        <v>108</v>
      </c>
      <c r="AB16" s="5" t="s">
        <v>109</v>
      </c>
      <c r="AC16" s="5" t="s">
        <v>110</v>
      </c>
      <c r="AD16" s="246" t="s">
        <v>111</v>
      </c>
      <c r="AF16" s="859" t="s">
        <v>137</v>
      </c>
      <c r="AG16" s="861" t="s">
        <v>113</v>
      </c>
      <c r="AH16" s="861" t="s">
        <v>114</v>
      </c>
      <c r="AI16" s="1031" t="s">
        <v>118</v>
      </c>
      <c r="AJ16" s="862" t="s">
        <v>121</v>
      </c>
      <c r="AK16" s="863" t="s">
        <v>128</v>
      </c>
    </row>
    <row r="17" spans="1:40" ht="38.25">
      <c r="A17" s="594" t="s">
        <v>52</v>
      </c>
      <c r="B17" s="589">
        <f>B18+B35+B40</f>
        <v>1502033172</v>
      </c>
      <c r="C17" s="738"/>
      <c r="D17" s="738"/>
      <c r="E17" s="590"/>
      <c r="F17" s="590"/>
      <c r="G17" s="590"/>
      <c r="H17" s="2107"/>
      <c r="I17" s="965"/>
      <c r="J17" s="358"/>
      <c r="K17" s="1443"/>
      <c r="L17" s="982"/>
      <c r="M17" s="983">
        <f>M28-85282322</f>
        <v>0</v>
      </c>
      <c r="N17" s="452"/>
      <c r="O17" s="359"/>
      <c r="P17" s="360"/>
      <c r="Q17" s="361"/>
      <c r="R17" s="362"/>
      <c r="S17" s="362"/>
      <c r="T17" s="362"/>
      <c r="U17" s="362"/>
      <c r="V17" s="362"/>
      <c r="W17" s="362"/>
      <c r="X17" s="362"/>
      <c r="Y17" s="362"/>
      <c r="Z17" s="362"/>
      <c r="AA17" s="362"/>
      <c r="AB17" s="362"/>
      <c r="AC17" s="398"/>
      <c r="AD17" s="389"/>
      <c r="AF17" s="889"/>
      <c r="AG17" s="363"/>
      <c r="AH17" s="363"/>
      <c r="AI17" s="453"/>
      <c r="AJ17" s="421"/>
      <c r="AK17" s="1528"/>
    </row>
    <row r="18" spans="1:40" s="8" customFormat="1" ht="28.5" customHeight="1">
      <c r="A18" s="749" t="s">
        <v>52</v>
      </c>
      <c r="B18" s="487">
        <f>1389775000-21560000+29452861+51338947-13953334-3245302</f>
        <v>1431808172</v>
      </c>
      <c r="C18" s="1294" t="s">
        <v>36</v>
      </c>
      <c r="D18" s="1295" t="s">
        <v>823</v>
      </c>
      <c r="E18" s="1295" t="s">
        <v>822</v>
      </c>
      <c r="F18" s="1295" t="s">
        <v>54</v>
      </c>
      <c r="G18" s="1295" t="s">
        <v>55</v>
      </c>
      <c r="H18" s="2108" t="s">
        <v>1641</v>
      </c>
      <c r="I18" s="966"/>
      <c r="J18" s="425">
        <v>0</v>
      </c>
      <c r="K18" s="420"/>
      <c r="L18" s="991"/>
      <c r="M18" s="423"/>
      <c r="N18" s="1034"/>
      <c r="O18" s="423"/>
      <c r="P18" s="364"/>
      <c r="Q18" s="365"/>
      <c r="R18" s="366"/>
      <c r="S18" s="366"/>
      <c r="T18" s="366"/>
      <c r="U18" s="366"/>
      <c r="V18" s="366"/>
      <c r="W18" s="366"/>
      <c r="X18" s="366"/>
      <c r="Y18" s="366"/>
      <c r="Z18" s="366"/>
      <c r="AA18" s="366"/>
      <c r="AB18" s="366"/>
      <c r="AC18" s="367">
        <v>0</v>
      </c>
      <c r="AD18" s="390"/>
      <c r="AF18" s="889"/>
      <c r="AG18" s="363"/>
      <c r="AH18" s="363"/>
      <c r="AI18" s="453"/>
      <c r="AJ18" s="421"/>
      <c r="AK18" s="1528"/>
      <c r="AL18" s="820"/>
    </row>
    <row r="19" spans="1:40" s="8" customFormat="1">
      <c r="A19" s="801" t="s">
        <v>52</v>
      </c>
      <c r="B19" s="765">
        <f>M19</f>
        <v>98400861</v>
      </c>
      <c r="C19" s="501" t="s">
        <v>36</v>
      </c>
      <c r="D19" s="501" t="s">
        <v>823</v>
      </c>
      <c r="E19" s="501" t="s">
        <v>822</v>
      </c>
      <c r="F19" s="501" t="s">
        <v>54</v>
      </c>
      <c r="G19" s="2100" t="s">
        <v>55</v>
      </c>
      <c r="H19" s="2109" t="s">
        <v>1641</v>
      </c>
      <c r="I19" s="798">
        <v>125</v>
      </c>
      <c r="J19" s="798">
        <v>0</v>
      </c>
      <c r="K19" s="225"/>
      <c r="L19" s="992">
        <v>292</v>
      </c>
      <c r="M19" s="448">
        <f>120348654-21947793</f>
        <v>98400861</v>
      </c>
      <c r="N19" s="498">
        <v>353</v>
      </c>
      <c r="O19" s="163">
        <v>98400861</v>
      </c>
      <c r="P19" s="231">
        <v>286</v>
      </c>
      <c r="Q19" s="233"/>
      <c r="R19" s="153"/>
      <c r="S19" s="153"/>
      <c r="T19" s="153"/>
      <c r="U19" s="153">
        <v>11115808</v>
      </c>
      <c r="V19" s="153">
        <v>11521682</v>
      </c>
      <c r="W19" s="153">
        <v>10969396</v>
      </c>
      <c r="X19" s="153">
        <v>10702896</v>
      </c>
      <c r="Y19" s="153">
        <v>12822582</v>
      </c>
      <c r="Z19" s="153">
        <v>10565850</v>
      </c>
      <c r="AA19" s="153">
        <v>10632293</v>
      </c>
      <c r="AB19" s="153">
        <f>10700956+6351006</f>
        <v>17051962</v>
      </c>
      <c r="AC19" s="182">
        <f>SUM(Q19:AB19)</f>
        <v>95382469</v>
      </c>
      <c r="AD19" s="391">
        <f t="shared" ref="AD19:AD33" si="0">O19-AC19</f>
        <v>3018392</v>
      </c>
      <c r="AF19" s="869">
        <v>125</v>
      </c>
      <c r="AG19" s="252" t="s">
        <v>319</v>
      </c>
      <c r="AH19" s="268" t="s">
        <v>789</v>
      </c>
      <c r="AI19" s="799">
        <f>P19</f>
        <v>286</v>
      </c>
      <c r="AJ19" s="304">
        <f>170000000-9685189-19503064-42410886</f>
        <v>98400861</v>
      </c>
      <c r="AK19" s="871">
        <f t="shared" ref="AK19:AK33" si="1">AJ19-O19</f>
        <v>0</v>
      </c>
      <c r="AL19" s="820"/>
      <c r="AM19" s="302">
        <f t="shared" ref="AM19:AM33" si="2">AJ19-M19</f>
        <v>0</v>
      </c>
    </row>
    <row r="20" spans="1:40" s="8" customFormat="1">
      <c r="A20" s="801" t="s">
        <v>52</v>
      </c>
      <c r="B20" s="765">
        <f>M20</f>
        <v>0</v>
      </c>
      <c r="C20" s="501" t="s">
        <v>36</v>
      </c>
      <c r="D20" s="501" t="s">
        <v>823</v>
      </c>
      <c r="E20" s="501" t="s">
        <v>822</v>
      </c>
      <c r="F20" s="501" t="s">
        <v>54</v>
      </c>
      <c r="G20" s="2100" t="s">
        <v>55</v>
      </c>
      <c r="H20" s="2109" t="s">
        <v>1641</v>
      </c>
      <c r="I20" s="798" t="s">
        <v>173</v>
      </c>
      <c r="J20" s="798"/>
      <c r="K20" s="225"/>
      <c r="L20" s="992"/>
      <c r="M20" s="448"/>
      <c r="N20" s="498"/>
      <c r="O20" s="163"/>
      <c r="P20" s="231">
        <v>286</v>
      </c>
      <c r="Q20" s="233"/>
      <c r="R20" s="153"/>
      <c r="S20" s="153"/>
      <c r="T20" s="153"/>
      <c r="U20" s="153"/>
      <c r="V20" s="153"/>
      <c r="W20" s="153"/>
      <c r="X20" s="153"/>
      <c r="Y20" s="153"/>
      <c r="Z20" s="153"/>
      <c r="AA20" s="153"/>
      <c r="AB20" s="153"/>
      <c r="AC20" s="182">
        <f>SUM(Q20:AB20)</f>
        <v>0</v>
      </c>
      <c r="AD20" s="391">
        <f t="shared" si="0"/>
        <v>0</v>
      </c>
      <c r="AF20" s="869" t="s">
        <v>325</v>
      </c>
      <c r="AG20" s="252" t="s">
        <v>1267</v>
      </c>
      <c r="AH20" s="268" t="s">
        <v>789</v>
      </c>
      <c r="AI20" s="799">
        <f>P20</f>
        <v>286</v>
      </c>
      <c r="AJ20" s="304">
        <f>9000000-9000000</f>
        <v>0</v>
      </c>
      <c r="AK20" s="871">
        <f t="shared" si="1"/>
        <v>0</v>
      </c>
      <c r="AL20" s="820"/>
      <c r="AM20" s="302">
        <f t="shared" si="2"/>
        <v>0</v>
      </c>
    </row>
    <row r="21" spans="1:40" s="8" customFormat="1">
      <c r="A21" s="801" t="s">
        <v>52</v>
      </c>
      <c r="B21" s="765">
        <f>M21</f>
        <v>0</v>
      </c>
      <c r="C21" s="501" t="s">
        <v>36</v>
      </c>
      <c r="D21" s="501" t="s">
        <v>823</v>
      </c>
      <c r="E21" s="501" t="s">
        <v>822</v>
      </c>
      <c r="F21" s="501" t="s">
        <v>54</v>
      </c>
      <c r="G21" s="2100" t="s">
        <v>55</v>
      </c>
      <c r="H21" s="2109" t="s">
        <v>1641</v>
      </c>
      <c r="I21" s="798">
        <v>195</v>
      </c>
      <c r="J21" s="798">
        <v>0</v>
      </c>
      <c r="K21" s="225"/>
      <c r="L21" s="992">
        <v>543</v>
      </c>
      <c r="M21" s="448">
        <f>409775000-409775000</f>
        <v>0</v>
      </c>
      <c r="N21" s="498"/>
      <c r="O21" s="163"/>
      <c r="P21" s="231" t="s">
        <v>173</v>
      </c>
      <c r="Q21" s="233"/>
      <c r="R21" s="153"/>
      <c r="S21" s="153"/>
      <c r="T21" s="153"/>
      <c r="U21" s="153"/>
      <c r="V21" s="153"/>
      <c r="W21" s="153"/>
      <c r="X21" s="153"/>
      <c r="Y21" s="153"/>
      <c r="Z21" s="153"/>
      <c r="AA21" s="153"/>
      <c r="AB21" s="153"/>
      <c r="AC21" s="182">
        <f>SUM(Q21:AB21)</f>
        <v>0</v>
      </c>
      <c r="AD21" s="391">
        <f t="shared" si="0"/>
        <v>0</v>
      </c>
      <c r="AF21" s="869">
        <v>195</v>
      </c>
      <c r="AG21" s="252" t="s">
        <v>327</v>
      </c>
      <c r="AH21" s="268" t="s">
        <v>173</v>
      </c>
      <c r="AI21" s="799" t="str">
        <f t="shared" ref="AI21:AI33" si="3">P21</f>
        <v>-</v>
      </c>
      <c r="AJ21" s="304">
        <f>199775000+210000000-409775000</f>
        <v>0</v>
      </c>
      <c r="AK21" s="871">
        <f t="shared" si="1"/>
        <v>0</v>
      </c>
      <c r="AL21" s="820"/>
      <c r="AM21" s="302">
        <f t="shared" si="2"/>
        <v>0</v>
      </c>
    </row>
    <row r="22" spans="1:40" s="8" customFormat="1">
      <c r="A22" s="801" t="s">
        <v>52</v>
      </c>
      <c r="B22" s="765">
        <f t="shared" ref="B22:B33" si="4">M22</f>
        <v>409775000</v>
      </c>
      <c r="C22" s="501" t="s">
        <v>36</v>
      </c>
      <c r="D22" s="501" t="s">
        <v>823</v>
      </c>
      <c r="E22" s="501" t="s">
        <v>822</v>
      </c>
      <c r="F22" s="501" t="s">
        <v>54</v>
      </c>
      <c r="G22" s="2100" t="s">
        <v>55</v>
      </c>
      <c r="H22" s="2109" t="s">
        <v>1641</v>
      </c>
      <c r="I22" s="798" t="s">
        <v>1104</v>
      </c>
      <c r="J22" s="798"/>
      <c r="K22" s="225"/>
      <c r="L22" s="992">
        <v>594</v>
      </c>
      <c r="M22" s="448">
        <v>409775000</v>
      </c>
      <c r="N22" s="498">
        <v>762</v>
      </c>
      <c r="O22" s="448">
        <v>409775000</v>
      </c>
      <c r="P22" s="231">
        <v>441</v>
      </c>
      <c r="Q22" s="233"/>
      <c r="R22" s="153"/>
      <c r="S22" s="153"/>
      <c r="T22" s="153"/>
      <c r="U22" s="153"/>
      <c r="V22" s="153"/>
      <c r="W22" s="153"/>
      <c r="X22" s="153"/>
      <c r="Y22" s="153"/>
      <c r="Z22" s="153">
        <f>339561525+70213475</f>
        <v>409775000</v>
      </c>
      <c r="AA22" s="153"/>
      <c r="AB22" s="153"/>
      <c r="AC22" s="182">
        <f t="shared" ref="AC22:AC33" si="5">SUM(Q22:AB22)</f>
        <v>409775000</v>
      </c>
      <c r="AD22" s="391">
        <f t="shared" si="0"/>
        <v>0</v>
      </c>
      <c r="AF22" s="868" t="s">
        <v>1104</v>
      </c>
      <c r="AG22" s="252" t="s">
        <v>327</v>
      </c>
      <c r="AH22" s="268" t="s">
        <v>1211</v>
      </c>
      <c r="AI22" s="799">
        <f t="shared" si="3"/>
        <v>441</v>
      </c>
      <c r="AJ22" s="304">
        <v>409775000</v>
      </c>
      <c r="AK22" s="871">
        <f t="shared" si="1"/>
        <v>0</v>
      </c>
      <c r="AL22" s="820"/>
      <c r="AM22" s="302">
        <f t="shared" si="2"/>
        <v>0</v>
      </c>
    </row>
    <row r="23" spans="1:40" s="8" customFormat="1">
      <c r="A23" s="801" t="s">
        <v>52</v>
      </c>
      <c r="B23" s="765">
        <f t="shared" si="4"/>
        <v>403292658</v>
      </c>
      <c r="C23" s="501" t="s">
        <v>36</v>
      </c>
      <c r="D23" s="501" t="s">
        <v>823</v>
      </c>
      <c r="E23" s="501" t="s">
        <v>822</v>
      </c>
      <c r="F23" s="501" t="s">
        <v>54</v>
      </c>
      <c r="G23" s="2100" t="s">
        <v>55</v>
      </c>
      <c r="H23" s="2109" t="s">
        <v>1641</v>
      </c>
      <c r="I23" s="798">
        <v>197</v>
      </c>
      <c r="J23" s="798">
        <v>0</v>
      </c>
      <c r="K23" s="225"/>
      <c r="L23" s="992">
        <v>330</v>
      </c>
      <c r="M23" s="448">
        <f>436109132-32816474</f>
        <v>403292658</v>
      </c>
      <c r="N23" s="498">
        <v>459</v>
      </c>
      <c r="O23" s="163">
        <v>403292658</v>
      </c>
      <c r="P23" s="231">
        <v>323</v>
      </c>
      <c r="Q23" s="233"/>
      <c r="R23" s="153"/>
      <c r="S23" s="153"/>
      <c r="T23" s="153"/>
      <c r="U23" s="153"/>
      <c r="V23" s="153">
        <v>29722021</v>
      </c>
      <c r="W23" s="153">
        <v>61118549</v>
      </c>
      <c r="X23" s="153">
        <v>61118549</v>
      </c>
      <c r="Y23" s="153">
        <v>60460184</v>
      </c>
      <c r="Z23" s="153">
        <v>59304162</v>
      </c>
      <c r="AA23" s="153">
        <v>59304162</v>
      </c>
      <c r="AB23" s="153">
        <v>61380677</v>
      </c>
      <c r="AC23" s="182">
        <f t="shared" si="5"/>
        <v>392408304</v>
      </c>
      <c r="AD23" s="391">
        <f t="shared" si="0"/>
        <v>10884354</v>
      </c>
      <c r="AF23" s="869">
        <v>197</v>
      </c>
      <c r="AG23" s="252" t="s">
        <v>323</v>
      </c>
      <c r="AH23" s="268" t="s">
        <v>934</v>
      </c>
      <c r="AI23" s="799">
        <f t="shared" si="3"/>
        <v>323</v>
      </c>
      <c r="AJ23" s="304">
        <f>493789594-90496936</f>
        <v>403292658</v>
      </c>
      <c r="AK23" s="871">
        <f t="shared" si="1"/>
        <v>0</v>
      </c>
      <c r="AL23" s="820"/>
      <c r="AM23" s="302">
        <f t="shared" si="2"/>
        <v>0</v>
      </c>
    </row>
    <row r="24" spans="1:40" s="8" customFormat="1">
      <c r="A24" s="801" t="s">
        <v>52</v>
      </c>
      <c r="B24" s="765">
        <f t="shared" si="4"/>
        <v>7940606</v>
      </c>
      <c r="C24" s="501" t="s">
        <v>36</v>
      </c>
      <c r="D24" s="501" t="s">
        <v>823</v>
      </c>
      <c r="E24" s="501" t="s">
        <v>822</v>
      </c>
      <c r="F24" s="501" t="s">
        <v>54</v>
      </c>
      <c r="G24" s="2100" t="s">
        <v>55</v>
      </c>
      <c r="H24" s="2109" t="s">
        <v>1641</v>
      </c>
      <c r="I24" s="1361" t="s">
        <v>325</v>
      </c>
      <c r="J24" s="798">
        <v>637</v>
      </c>
      <c r="K24" s="225">
        <v>8000000</v>
      </c>
      <c r="L24" s="992">
        <v>724</v>
      </c>
      <c r="M24" s="448">
        <f>8000000-59394</f>
        <v>7940606</v>
      </c>
      <c r="N24" s="498">
        <v>927</v>
      </c>
      <c r="O24" s="163">
        <v>7940606</v>
      </c>
      <c r="P24" s="231">
        <v>323</v>
      </c>
      <c r="Q24" s="233"/>
      <c r="R24" s="153"/>
      <c r="S24" s="153"/>
      <c r="T24" s="153"/>
      <c r="U24" s="153"/>
      <c r="V24" s="153"/>
      <c r="W24" s="153"/>
      <c r="X24" s="153"/>
      <c r="Y24" s="153"/>
      <c r="Z24" s="153"/>
      <c r="AA24" s="153"/>
      <c r="AB24" s="153"/>
      <c r="AC24" s="182">
        <f>SUM(Q24:AB24)</f>
        <v>0</v>
      </c>
      <c r="AD24" s="391">
        <f t="shared" si="0"/>
        <v>7940606</v>
      </c>
      <c r="AF24" s="868" t="s">
        <v>325</v>
      </c>
      <c r="AG24" s="252" t="s">
        <v>1266</v>
      </c>
      <c r="AH24" s="268" t="s">
        <v>934</v>
      </c>
      <c r="AI24" s="799">
        <f t="shared" si="3"/>
        <v>323</v>
      </c>
      <c r="AJ24" s="304">
        <f>8000000-59394</f>
        <v>7940606</v>
      </c>
      <c r="AK24" s="871">
        <f t="shared" si="1"/>
        <v>0</v>
      </c>
      <c r="AL24" s="820"/>
      <c r="AM24" s="302">
        <f t="shared" si="2"/>
        <v>0</v>
      </c>
    </row>
    <row r="25" spans="1:40" s="8" customFormat="1">
      <c r="A25" s="801" t="s">
        <v>52</v>
      </c>
      <c r="B25" s="765">
        <f t="shared" si="4"/>
        <v>92575141</v>
      </c>
      <c r="C25" s="501" t="s">
        <v>36</v>
      </c>
      <c r="D25" s="501" t="s">
        <v>823</v>
      </c>
      <c r="E25" s="501" t="s">
        <v>822</v>
      </c>
      <c r="F25" s="501" t="s">
        <v>54</v>
      </c>
      <c r="G25" s="2100" t="s">
        <v>55</v>
      </c>
      <c r="H25" s="2109" t="s">
        <v>1641</v>
      </c>
      <c r="I25" s="1361" t="s">
        <v>325</v>
      </c>
      <c r="J25" s="798">
        <v>766</v>
      </c>
      <c r="K25" s="225">
        <v>92575141</v>
      </c>
      <c r="L25" s="992">
        <v>879</v>
      </c>
      <c r="M25" s="448">
        <v>92575141</v>
      </c>
      <c r="N25" s="498">
        <v>1083</v>
      </c>
      <c r="O25" s="163">
        <v>92575141</v>
      </c>
      <c r="P25" s="231">
        <v>323</v>
      </c>
      <c r="Q25" s="233"/>
      <c r="R25" s="153"/>
      <c r="S25" s="153"/>
      <c r="T25" s="153"/>
      <c r="U25" s="153"/>
      <c r="V25" s="153"/>
      <c r="W25" s="153"/>
      <c r="X25" s="153"/>
      <c r="Y25" s="153"/>
      <c r="Z25" s="153"/>
      <c r="AA25" s="153"/>
      <c r="AB25" s="153"/>
      <c r="AC25" s="182">
        <f>SUM(Q25:AB25)</f>
        <v>0</v>
      </c>
      <c r="AD25" s="391">
        <f t="shared" si="0"/>
        <v>92575141</v>
      </c>
      <c r="AF25" s="868" t="s">
        <v>325</v>
      </c>
      <c r="AG25" s="252" t="s">
        <v>1484</v>
      </c>
      <c r="AH25" s="268" t="s">
        <v>934</v>
      </c>
      <c r="AI25" s="799">
        <f t="shared" si="3"/>
        <v>323</v>
      </c>
      <c r="AJ25" s="304">
        <f>88021808+4553333</f>
        <v>92575141</v>
      </c>
      <c r="AK25" s="871">
        <f t="shared" si="1"/>
        <v>0</v>
      </c>
      <c r="AL25" s="820"/>
      <c r="AM25" s="302">
        <f t="shared" si="2"/>
        <v>0</v>
      </c>
    </row>
    <row r="26" spans="1:40" s="8" customFormat="1">
      <c r="A26" s="801" t="s">
        <v>52</v>
      </c>
      <c r="B26" s="765">
        <f t="shared" si="4"/>
        <v>191173673</v>
      </c>
      <c r="C26" s="501" t="s">
        <v>36</v>
      </c>
      <c r="D26" s="501" t="s">
        <v>823</v>
      </c>
      <c r="E26" s="501" t="s">
        <v>822</v>
      </c>
      <c r="F26" s="501" t="s">
        <v>54</v>
      </c>
      <c r="G26" s="2100" t="s">
        <v>55</v>
      </c>
      <c r="H26" s="2109" t="s">
        <v>1641</v>
      </c>
      <c r="I26" s="798">
        <v>198</v>
      </c>
      <c r="J26" s="798">
        <v>0</v>
      </c>
      <c r="K26" s="225"/>
      <c r="L26" s="992">
        <v>155</v>
      </c>
      <c r="M26" s="448">
        <f>206210406-15036733</f>
        <v>191173673</v>
      </c>
      <c r="N26" s="498">
        <v>183</v>
      </c>
      <c r="O26" s="163">
        <f>206210406-15036733</f>
        <v>191173673</v>
      </c>
      <c r="P26" s="996" t="s">
        <v>1563</v>
      </c>
      <c r="Q26" s="233"/>
      <c r="R26" s="153"/>
      <c r="S26" s="153">
        <v>47717674</v>
      </c>
      <c r="T26" s="153">
        <f>VLOOKUP(N26,[7]Hoja2!N$132:T$199,7,0)</f>
        <v>56611306</v>
      </c>
      <c r="U26" s="153">
        <v>57562983</v>
      </c>
      <c r="V26" s="153">
        <v>29281710</v>
      </c>
      <c r="W26" s="153"/>
      <c r="X26" s="153"/>
      <c r="Y26" s="153"/>
      <c r="Z26" s="153"/>
      <c r="AA26" s="153"/>
      <c r="AB26" s="153"/>
      <c r="AC26" s="182">
        <f t="shared" si="5"/>
        <v>191173673</v>
      </c>
      <c r="AD26" s="391">
        <f t="shared" si="0"/>
        <v>0</v>
      </c>
      <c r="AF26" s="869" t="s">
        <v>325</v>
      </c>
      <c r="AG26" s="252" t="s">
        <v>328</v>
      </c>
      <c r="AH26" s="268" t="s">
        <v>1564</v>
      </c>
      <c r="AI26" s="799" t="str">
        <f t="shared" si="3"/>
        <v>305-2018</v>
      </c>
      <c r="AJ26" s="304">
        <f>206210406-15036733</f>
        <v>191173673</v>
      </c>
      <c r="AK26" s="871">
        <f t="shared" si="1"/>
        <v>0</v>
      </c>
      <c r="AL26" s="820"/>
      <c r="AM26" s="302">
        <f t="shared" si="2"/>
        <v>0</v>
      </c>
      <c r="AN26" s="302">
        <v>15036733</v>
      </c>
    </row>
    <row r="27" spans="1:40" s="8" customFormat="1">
      <c r="A27" s="801" t="s">
        <v>52</v>
      </c>
      <c r="B27" s="765">
        <f t="shared" si="4"/>
        <v>88234106</v>
      </c>
      <c r="C27" s="501" t="s">
        <v>36</v>
      </c>
      <c r="D27" s="501" t="s">
        <v>823</v>
      </c>
      <c r="E27" s="501" t="s">
        <v>822</v>
      </c>
      <c r="F27" s="501" t="s">
        <v>54</v>
      </c>
      <c r="G27" s="2100" t="s">
        <v>55</v>
      </c>
      <c r="H27" s="2109" t="s">
        <v>1641</v>
      </c>
      <c r="I27" s="798">
        <v>200</v>
      </c>
      <c r="J27" s="798">
        <v>640</v>
      </c>
      <c r="K27" s="225">
        <v>90000000</v>
      </c>
      <c r="L27" s="992">
        <v>726</v>
      </c>
      <c r="M27" s="448">
        <f>90000000-1765894</f>
        <v>88234106</v>
      </c>
      <c r="N27" s="498">
        <v>1034</v>
      </c>
      <c r="O27" s="163">
        <v>88234106</v>
      </c>
      <c r="P27" s="231">
        <v>505</v>
      </c>
      <c r="Q27" s="233"/>
      <c r="R27" s="153"/>
      <c r="S27" s="153"/>
      <c r="T27" s="153"/>
      <c r="U27" s="153"/>
      <c r="V27" s="153"/>
      <c r="W27" s="153"/>
      <c r="X27" s="153"/>
      <c r="Y27" s="153"/>
      <c r="Z27" s="153"/>
      <c r="AA27" s="153"/>
      <c r="AB27" s="153"/>
      <c r="AC27" s="182">
        <f t="shared" si="5"/>
        <v>0</v>
      </c>
      <c r="AD27" s="391">
        <f t="shared" si="0"/>
        <v>88234106</v>
      </c>
      <c r="AF27" s="869">
        <v>200</v>
      </c>
      <c r="AG27" s="252" t="s">
        <v>329</v>
      </c>
      <c r="AH27" s="268" t="s">
        <v>1561</v>
      </c>
      <c r="AI27" s="799">
        <f t="shared" si="3"/>
        <v>505</v>
      </c>
      <c r="AJ27" s="304">
        <f>200000000-21560000-100000000-42000000+53560000</f>
        <v>90000000</v>
      </c>
      <c r="AK27" s="871">
        <f t="shared" si="1"/>
        <v>1765894</v>
      </c>
      <c r="AL27" s="820"/>
      <c r="AM27" s="302">
        <f t="shared" si="2"/>
        <v>1765894</v>
      </c>
      <c r="AN27" s="302">
        <f>AN26+AM26</f>
        <v>15036733</v>
      </c>
    </row>
    <row r="28" spans="1:40" s="8" customFormat="1">
      <c r="A28" s="801" t="s">
        <v>52</v>
      </c>
      <c r="B28" s="765">
        <f t="shared" si="4"/>
        <v>85282322</v>
      </c>
      <c r="C28" s="501" t="s">
        <v>36</v>
      </c>
      <c r="D28" s="501" t="s">
        <v>823</v>
      </c>
      <c r="E28" s="501" t="s">
        <v>822</v>
      </c>
      <c r="F28" s="501" t="s">
        <v>54</v>
      </c>
      <c r="G28" s="2100" t="s">
        <v>55</v>
      </c>
      <c r="H28" s="2109" t="s">
        <v>1641</v>
      </c>
      <c r="I28" s="798" t="s">
        <v>148</v>
      </c>
      <c r="J28" s="798">
        <v>0</v>
      </c>
      <c r="K28" s="225"/>
      <c r="L28" s="992">
        <v>4</v>
      </c>
      <c r="M28" s="448">
        <f>120000000-30256093-4461585</f>
        <v>85282322</v>
      </c>
      <c r="N28" s="1040" t="s">
        <v>1594</v>
      </c>
      <c r="O28" s="163">
        <f>5808174+5537654+5205314+6676774+7299424+4523654+9673979+3909311+6773226+13268220+7257286+9349306</f>
        <v>85282322</v>
      </c>
      <c r="P28" s="1154" t="s">
        <v>503</v>
      </c>
      <c r="Q28" s="233">
        <v>5808174</v>
      </c>
      <c r="R28" s="153">
        <v>5537654</v>
      </c>
      <c r="S28" s="153">
        <v>5205314</v>
      </c>
      <c r="T28" s="153">
        <f>6462564+214210</f>
        <v>6676774</v>
      </c>
      <c r="U28" s="153">
        <f>4954084</f>
        <v>4954084</v>
      </c>
      <c r="V28" s="153">
        <v>6868994</v>
      </c>
      <c r="W28" s="153">
        <v>6414669</v>
      </c>
      <c r="X28" s="154">
        <f>7046561+122060</f>
        <v>7168621</v>
      </c>
      <c r="Y28" s="153">
        <v>6773226</v>
      </c>
      <c r="Z28" s="153">
        <v>13268220</v>
      </c>
      <c r="AA28" s="153">
        <v>6928986</v>
      </c>
      <c r="AB28" s="153">
        <v>9349306</v>
      </c>
      <c r="AC28" s="182">
        <f t="shared" si="5"/>
        <v>84954022</v>
      </c>
      <c r="AD28" s="391">
        <f t="shared" si="0"/>
        <v>328300</v>
      </c>
      <c r="AF28" s="1950" t="s">
        <v>325</v>
      </c>
      <c r="AG28" s="252" t="s">
        <v>330</v>
      </c>
      <c r="AH28" s="268" t="s">
        <v>173</v>
      </c>
      <c r="AI28" s="799" t="str">
        <f t="shared" si="3"/>
        <v>Servicios públicos</v>
      </c>
      <c r="AJ28" s="1983">
        <f>120000000-30256093-2161903</f>
        <v>87582004</v>
      </c>
      <c r="AK28" s="871">
        <f t="shared" si="1"/>
        <v>2299682</v>
      </c>
      <c r="AL28" s="820"/>
      <c r="AM28" s="302">
        <f t="shared" si="2"/>
        <v>2299682</v>
      </c>
    </row>
    <row r="29" spans="1:40" s="8" customFormat="1">
      <c r="A29" s="801" t="s">
        <v>52</v>
      </c>
      <c r="B29" s="765">
        <f t="shared" si="4"/>
        <v>9685189</v>
      </c>
      <c r="C29" s="501" t="s">
        <v>36</v>
      </c>
      <c r="D29" s="501" t="s">
        <v>823</v>
      </c>
      <c r="E29" s="501" t="s">
        <v>822</v>
      </c>
      <c r="F29" s="501" t="s">
        <v>54</v>
      </c>
      <c r="G29" s="2100" t="s">
        <v>55</v>
      </c>
      <c r="H29" s="2109" t="s">
        <v>1641</v>
      </c>
      <c r="I29" s="979" t="s">
        <v>325</v>
      </c>
      <c r="J29" s="798">
        <v>0</v>
      </c>
      <c r="K29" s="225"/>
      <c r="L29" s="992">
        <v>338</v>
      </c>
      <c r="M29" s="448">
        <v>9685189</v>
      </c>
      <c r="N29" s="498">
        <v>328</v>
      </c>
      <c r="O29" s="163">
        <v>9685189</v>
      </c>
      <c r="P29" s="996" t="s">
        <v>746</v>
      </c>
      <c r="Q29" s="233"/>
      <c r="R29" s="153"/>
      <c r="S29" s="153"/>
      <c r="T29" s="153">
        <v>9685189</v>
      </c>
      <c r="U29" s="153"/>
      <c r="V29" s="153"/>
      <c r="W29" s="153"/>
      <c r="X29" s="153"/>
      <c r="Y29" s="153"/>
      <c r="Z29" s="153"/>
      <c r="AA29" s="153"/>
      <c r="AB29" s="153"/>
      <c r="AC29" s="182">
        <f t="shared" si="5"/>
        <v>9685189</v>
      </c>
      <c r="AD29" s="391">
        <f t="shared" si="0"/>
        <v>0</v>
      </c>
      <c r="AF29" s="868" t="s">
        <v>325</v>
      </c>
      <c r="AG29" s="252" t="s">
        <v>745</v>
      </c>
      <c r="AH29" s="268" t="s">
        <v>783</v>
      </c>
      <c r="AI29" s="799" t="str">
        <f t="shared" si="3"/>
        <v>304-2018</v>
      </c>
      <c r="AJ29" s="304">
        <v>9685189</v>
      </c>
      <c r="AK29" s="871">
        <f t="shared" si="1"/>
        <v>0</v>
      </c>
      <c r="AL29" s="820"/>
      <c r="AM29" s="302">
        <f t="shared" si="2"/>
        <v>0</v>
      </c>
    </row>
    <row r="30" spans="1:40" s="8" customFormat="1">
      <c r="A30" s="801" t="s">
        <v>52</v>
      </c>
      <c r="B30" s="765">
        <f t="shared" si="4"/>
        <v>14869165</v>
      </c>
      <c r="C30" s="501" t="s">
        <v>36</v>
      </c>
      <c r="D30" s="501" t="s">
        <v>823</v>
      </c>
      <c r="E30" s="501" t="s">
        <v>822</v>
      </c>
      <c r="F30" s="501" t="s">
        <v>54</v>
      </c>
      <c r="G30" s="2100" t="s">
        <v>55</v>
      </c>
      <c r="H30" s="2109" t="s">
        <v>1641</v>
      </c>
      <c r="I30" s="979">
        <v>554</v>
      </c>
      <c r="J30" s="798"/>
      <c r="K30" s="225"/>
      <c r="L30" s="992">
        <v>604</v>
      </c>
      <c r="M30" s="448">
        <f>19310000-4440835</f>
        <v>14869165</v>
      </c>
      <c r="N30" s="498">
        <v>765</v>
      </c>
      <c r="O30" s="163">
        <v>14869165</v>
      </c>
      <c r="P30" s="996">
        <v>440</v>
      </c>
      <c r="Q30" s="233"/>
      <c r="R30" s="153"/>
      <c r="S30" s="153"/>
      <c r="T30" s="153"/>
      <c r="U30" s="153"/>
      <c r="V30" s="153"/>
      <c r="W30" s="153"/>
      <c r="X30" s="153"/>
      <c r="Y30" s="153"/>
      <c r="Z30" s="153"/>
      <c r="AA30" s="153"/>
      <c r="AB30" s="153">
        <v>14869165</v>
      </c>
      <c r="AC30" s="182">
        <f t="shared" si="5"/>
        <v>14869165</v>
      </c>
      <c r="AD30" s="391">
        <f t="shared" si="0"/>
        <v>0</v>
      </c>
      <c r="AF30" s="868">
        <v>554</v>
      </c>
      <c r="AG30" s="252" t="s">
        <v>1094</v>
      </c>
      <c r="AH30" s="268" t="s">
        <v>1212</v>
      </c>
      <c r="AI30" s="799">
        <f t="shared" si="3"/>
        <v>440</v>
      </c>
      <c r="AJ30" s="304">
        <f>21000000-6130835</f>
        <v>14869165</v>
      </c>
      <c r="AK30" s="871">
        <f t="shared" si="1"/>
        <v>0</v>
      </c>
      <c r="AL30" s="820"/>
      <c r="AM30" s="302">
        <f t="shared" si="2"/>
        <v>0</v>
      </c>
    </row>
    <row r="31" spans="1:40" s="8" customFormat="1">
      <c r="A31" s="801" t="s">
        <v>52</v>
      </c>
      <c r="B31" s="765">
        <f t="shared" si="4"/>
        <v>6030843</v>
      </c>
      <c r="C31" s="501" t="s">
        <v>36</v>
      </c>
      <c r="D31" s="501" t="s">
        <v>823</v>
      </c>
      <c r="E31" s="501" t="s">
        <v>822</v>
      </c>
      <c r="F31" s="501" t="s">
        <v>54</v>
      </c>
      <c r="G31" s="2100" t="s">
        <v>55</v>
      </c>
      <c r="H31" s="2109" t="s">
        <v>1641</v>
      </c>
      <c r="I31" s="979" t="s">
        <v>325</v>
      </c>
      <c r="J31" s="798">
        <v>639</v>
      </c>
      <c r="K31" s="225">
        <v>6513287</v>
      </c>
      <c r="L31" s="992">
        <v>725</v>
      </c>
      <c r="M31" s="448">
        <f>6513287-482444</f>
        <v>6030843</v>
      </c>
      <c r="N31" s="498">
        <v>891</v>
      </c>
      <c r="O31" s="448">
        <v>6030843</v>
      </c>
      <c r="P31" s="996">
        <v>440</v>
      </c>
      <c r="Q31" s="233"/>
      <c r="R31" s="153"/>
      <c r="S31" s="153"/>
      <c r="T31" s="153"/>
      <c r="U31" s="153"/>
      <c r="V31" s="153"/>
      <c r="W31" s="153"/>
      <c r="X31" s="153"/>
      <c r="Y31" s="153"/>
      <c r="Z31" s="153"/>
      <c r="AA31" s="153"/>
      <c r="AB31" s="153">
        <v>6020220</v>
      </c>
      <c r="AC31" s="182">
        <f>SUM(Q31:AB31)</f>
        <v>6020220</v>
      </c>
      <c r="AD31" s="391">
        <f t="shared" si="0"/>
        <v>10623</v>
      </c>
      <c r="AF31" s="868" t="s">
        <v>325</v>
      </c>
      <c r="AG31" s="252" t="s">
        <v>1265</v>
      </c>
      <c r="AH31" s="268" t="s">
        <v>1212</v>
      </c>
      <c r="AI31" s="799">
        <f>P31</f>
        <v>440</v>
      </c>
      <c r="AJ31" s="304">
        <f>7434582-1403739</f>
        <v>6030843</v>
      </c>
      <c r="AK31" s="871">
        <f t="shared" si="1"/>
        <v>0</v>
      </c>
      <c r="AL31" s="820"/>
      <c r="AM31" s="302">
        <f t="shared" si="2"/>
        <v>0</v>
      </c>
    </row>
    <row r="32" spans="1:40" s="8" customFormat="1">
      <c r="A32" s="801" t="s">
        <v>52</v>
      </c>
      <c r="B32" s="765">
        <f t="shared" si="4"/>
        <v>20483032</v>
      </c>
      <c r="C32" s="501" t="s">
        <v>36</v>
      </c>
      <c r="D32" s="501" t="s">
        <v>823</v>
      </c>
      <c r="E32" s="501" t="s">
        <v>822</v>
      </c>
      <c r="F32" s="501" t="s">
        <v>54</v>
      </c>
      <c r="G32" s="2100" t="s">
        <v>55</v>
      </c>
      <c r="H32" s="2109" t="s">
        <v>1641</v>
      </c>
      <c r="I32" s="979">
        <v>555</v>
      </c>
      <c r="J32" s="798"/>
      <c r="K32" s="225"/>
      <c r="L32" s="992">
        <v>576</v>
      </c>
      <c r="M32" s="448">
        <v>20483032</v>
      </c>
      <c r="N32" s="498">
        <v>643</v>
      </c>
      <c r="O32" s="448">
        <v>20483032</v>
      </c>
      <c r="P32" s="996">
        <v>402</v>
      </c>
      <c r="Q32" s="233"/>
      <c r="R32" s="153"/>
      <c r="S32" s="153"/>
      <c r="T32" s="153"/>
      <c r="U32" s="153"/>
      <c r="V32" s="153"/>
      <c r="W32" s="153"/>
      <c r="X32" s="153"/>
      <c r="Y32" s="153"/>
      <c r="Z32" s="153"/>
      <c r="AA32" s="153"/>
      <c r="AB32" s="153"/>
      <c r="AC32" s="182">
        <f t="shared" si="5"/>
        <v>0</v>
      </c>
      <c r="AD32" s="391">
        <f t="shared" si="0"/>
        <v>20483032</v>
      </c>
      <c r="AF32" s="868">
        <v>555</v>
      </c>
      <c r="AG32" s="252" t="s">
        <v>1095</v>
      </c>
      <c r="AH32" s="268" t="s">
        <v>1098</v>
      </c>
      <c r="AI32" s="799">
        <f t="shared" si="3"/>
        <v>402</v>
      </c>
      <c r="AJ32" s="304">
        <f>21000000-516968</f>
        <v>20483032</v>
      </c>
      <c r="AK32" s="871">
        <f t="shared" si="1"/>
        <v>0</v>
      </c>
      <c r="AL32" s="820"/>
      <c r="AM32" s="302">
        <f t="shared" si="2"/>
        <v>0</v>
      </c>
    </row>
    <row r="33" spans="1:40" s="8" customFormat="1">
      <c r="A33" s="801" t="s">
        <v>52</v>
      </c>
      <c r="B33" s="765">
        <f t="shared" si="4"/>
        <v>0</v>
      </c>
      <c r="C33" s="501" t="s">
        <v>36</v>
      </c>
      <c r="D33" s="501" t="s">
        <v>823</v>
      </c>
      <c r="E33" s="501" t="s">
        <v>822</v>
      </c>
      <c r="F33" s="501" t="s">
        <v>54</v>
      </c>
      <c r="G33" s="2100" t="s">
        <v>55</v>
      </c>
      <c r="H33" s="2109" t="s">
        <v>1641</v>
      </c>
      <c r="I33" s="979" t="s">
        <v>173</v>
      </c>
      <c r="J33" s="203">
        <v>0</v>
      </c>
      <c r="K33" s="503"/>
      <c r="L33" s="270"/>
      <c r="M33" s="193"/>
      <c r="N33" s="270"/>
      <c r="O33" s="153"/>
      <c r="P33" s="231"/>
      <c r="Q33" s="233"/>
      <c r="R33" s="153"/>
      <c r="S33" s="153"/>
      <c r="T33" s="153"/>
      <c r="U33" s="153"/>
      <c r="V33" s="153"/>
      <c r="W33" s="153"/>
      <c r="X33" s="153"/>
      <c r="Y33" s="153"/>
      <c r="Z33" s="153"/>
      <c r="AA33" s="153"/>
      <c r="AB33" s="153"/>
      <c r="AC33" s="182">
        <f t="shared" si="5"/>
        <v>0</v>
      </c>
      <c r="AD33" s="391">
        <f t="shared" si="0"/>
        <v>0</v>
      </c>
      <c r="AF33" s="1950" t="s">
        <v>325</v>
      </c>
      <c r="AG33" s="252" t="s">
        <v>493</v>
      </c>
      <c r="AH33" s="252"/>
      <c r="AI33" s="799">
        <f t="shared" si="3"/>
        <v>0</v>
      </c>
      <c r="AJ33" s="1983">
        <f>15036733-13953334-1083399</f>
        <v>0</v>
      </c>
      <c r="AK33" s="871">
        <f t="shared" si="1"/>
        <v>0</v>
      </c>
      <c r="AL33" s="820"/>
      <c r="AM33" s="302">
        <f t="shared" si="2"/>
        <v>0</v>
      </c>
    </row>
    <row r="34" spans="1:40" s="8" customFormat="1">
      <c r="A34" s="167" t="s">
        <v>24</v>
      </c>
      <c r="B34" s="488">
        <f>B18-SUM(B19:B33)</f>
        <v>4065576</v>
      </c>
      <c r="C34" s="83"/>
      <c r="D34" s="83"/>
      <c r="E34" s="83"/>
      <c r="F34" s="83"/>
      <c r="G34" s="83"/>
      <c r="H34" s="2070"/>
      <c r="I34" s="942"/>
      <c r="J34" s="204"/>
      <c r="K34" s="1444"/>
      <c r="L34" s="344"/>
      <c r="M34" s="162">
        <f>SUM(M19:M33)</f>
        <v>1427742596</v>
      </c>
      <c r="N34" s="344"/>
      <c r="O34" s="162">
        <f>SUM(O19:O33)</f>
        <v>1427742596</v>
      </c>
      <c r="P34" s="236"/>
      <c r="Q34" s="162">
        <f>SUM(Q19:Q33)</f>
        <v>5808174</v>
      </c>
      <c r="R34" s="162">
        <f>SUM(R19:R33)</f>
        <v>5537654</v>
      </c>
      <c r="S34" s="162">
        <f>SUM(S19:S33)</f>
        <v>52922988</v>
      </c>
      <c r="T34" s="162">
        <f t="shared" ref="T34:AB34" si="6">SUM(T19:T33)</f>
        <v>72973269</v>
      </c>
      <c r="U34" s="162">
        <f t="shared" si="6"/>
        <v>73632875</v>
      </c>
      <c r="V34" s="162">
        <f t="shared" si="6"/>
        <v>77394407</v>
      </c>
      <c r="W34" s="162">
        <f t="shared" si="6"/>
        <v>78502614</v>
      </c>
      <c r="X34" s="162">
        <f t="shared" si="6"/>
        <v>78990066</v>
      </c>
      <c r="Y34" s="162">
        <f t="shared" si="6"/>
        <v>80055992</v>
      </c>
      <c r="Z34" s="162">
        <f t="shared" si="6"/>
        <v>492913232</v>
      </c>
      <c r="AA34" s="162">
        <f t="shared" si="6"/>
        <v>76865441</v>
      </c>
      <c r="AB34" s="162">
        <f t="shared" si="6"/>
        <v>108671330</v>
      </c>
      <c r="AC34" s="162">
        <f>SUM(AC19:AC33)</f>
        <v>1204268042</v>
      </c>
      <c r="AD34" s="162">
        <f>SUM(AD19:AD33)</f>
        <v>223474554</v>
      </c>
      <c r="AF34" s="867"/>
      <c r="AG34" s="54"/>
      <c r="AH34" s="54"/>
      <c r="AI34" s="344"/>
      <c r="AJ34" s="54">
        <f>SUM(AJ19:AJ33)</f>
        <v>1431808172</v>
      </c>
      <c r="AK34" s="180">
        <f>SUM(AK19:AK33)</f>
        <v>4065576</v>
      </c>
      <c r="AL34" s="820">
        <f>B18-AJ34</f>
        <v>0</v>
      </c>
      <c r="AM34" s="302">
        <f>AL34-AL241</f>
        <v>0</v>
      </c>
    </row>
    <row r="35" spans="1:40" s="8" customFormat="1" ht="31.5" customHeight="1">
      <c r="A35" s="594" t="s">
        <v>52</v>
      </c>
      <c r="B35" s="487">
        <v>69775000</v>
      </c>
      <c r="C35" s="1294" t="s">
        <v>56</v>
      </c>
      <c r="D35" s="1295" t="s">
        <v>823</v>
      </c>
      <c r="E35" s="1295" t="s">
        <v>822</v>
      </c>
      <c r="F35" s="1295" t="s">
        <v>54</v>
      </c>
      <c r="G35" s="1295" t="s">
        <v>55</v>
      </c>
      <c r="H35" s="2108" t="s">
        <v>1641</v>
      </c>
      <c r="I35" s="966"/>
      <c r="J35" s="400">
        <v>0</v>
      </c>
      <c r="K35" s="466"/>
      <c r="L35" s="454"/>
      <c r="M35" s="401"/>
      <c r="N35" s="454"/>
      <c r="O35" s="366"/>
      <c r="P35" s="364"/>
      <c r="Q35" s="365"/>
      <c r="R35" s="366"/>
      <c r="S35" s="366"/>
      <c r="T35" s="366"/>
      <c r="U35" s="366"/>
      <c r="V35" s="366"/>
      <c r="W35" s="366"/>
      <c r="X35" s="366"/>
      <c r="Y35" s="366"/>
      <c r="Z35" s="366"/>
      <c r="AA35" s="366"/>
      <c r="AB35" s="366"/>
      <c r="AC35" s="367">
        <v>0</v>
      </c>
      <c r="AD35" s="390"/>
      <c r="AF35" s="889"/>
      <c r="AG35" s="363"/>
      <c r="AH35" s="363"/>
      <c r="AI35" s="453"/>
      <c r="AJ35" s="421"/>
      <c r="AK35" s="1528"/>
      <c r="AL35" s="820"/>
    </row>
    <row r="36" spans="1:40" s="130" customFormat="1">
      <c r="A36" s="82" t="s">
        <v>52</v>
      </c>
      <c r="B36" s="489">
        <f>M36</f>
        <v>0</v>
      </c>
      <c r="C36" s="79" t="s">
        <v>56</v>
      </c>
      <c r="D36" s="79" t="s">
        <v>823</v>
      </c>
      <c r="E36" s="79" t="s">
        <v>822</v>
      </c>
      <c r="F36" s="79" t="s">
        <v>54</v>
      </c>
      <c r="G36" s="79" t="s">
        <v>55</v>
      </c>
      <c r="H36" s="2109" t="s">
        <v>1641</v>
      </c>
      <c r="I36" s="2101">
        <v>195</v>
      </c>
      <c r="J36" s="203">
        <v>0</v>
      </c>
      <c r="K36" s="193"/>
      <c r="L36" s="270">
        <v>545</v>
      </c>
      <c r="M36" s="193">
        <f>69775000-69775000</f>
        <v>0</v>
      </c>
      <c r="N36" s="270"/>
      <c r="O36" s="463"/>
      <c r="P36" s="232"/>
      <c r="Q36" s="343"/>
      <c r="R36" s="343"/>
      <c r="S36" s="343"/>
      <c r="T36" s="343"/>
      <c r="U36" s="343"/>
      <c r="V36" s="343"/>
      <c r="W36" s="463"/>
      <c r="X36" s="153"/>
      <c r="Y36" s="153"/>
      <c r="Z36" s="463"/>
      <c r="AA36" s="463"/>
      <c r="AB36" s="463"/>
      <c r="AC36" s="182">
        <f>SUM(Q36:AB36)</f>
        <v>0</v>
      </c>
      <c r="AD36" s="391">
        <f>O36-AC36</f>
        <v>0</v>
      </c>
      <c r="AF36" s="873">
        <v>195</v>
      </c>
      <c r="AG36" s="310" t="s">
        <v>327</v>
      </c>
      <c r="AH36" s="316" t="s">
        <v>173</v>
      </c>
      <c r="AI36" s="1377">
        <f>P36</f>
        <v>0</v>
      </c>
      <c r="AJ36" s="874">
        <f>69775000-69775000</f>
        <v>0</v>
      </c>
      <c r="AK36" s="875">
        <f>AJ36-O36</f>
        <v>0</v>
      </c>
      <c r="AL36" s="822"/>
      <c r="AM36" s="302">
        <f>AJ36-M36</f>
        <v>0</v>
      </c>
    </row>
    <row r="37" spans="1:40" s="130" customFormat="1">
      <c r="A37" s="82" t="s">
        <v>52</v>
      </c>
      <c r="B37" s="489">
        <f>M37</f>
        <v>69775000</v>
      </c>
      <c r="C37" s="79" t="s">
        <v>56</v>
      </c>
      <c r="D37" s="79" t="s">
        <v>823</v>
      </c>
      <c r="E37" s="79" t="s">
        <v>822</v>
      </c>
      <c r="F37" s="79" t="s">
        <v>54</v>
      </c>
      <c r="G37" s="79" t="s">
        <v>55</v>
      </c>
      <c r="H37" s="2109" t="s">
        <v>1641</v>
      </c>
      <c r="I37" s="1376" t="s">
        <v>1104</v>
      </c>
      <c r="J37" s="203"/>
      <c r="K37" s="1375"/>
      <c r="L37" s="270">
        <v>594</v>
      </c>
      <c r="M37" s="193">
        <v>69775000</v>
      </c>
      <c r="N37" s="270">
        <v>762</v>
      </c>
      <c r="O37" s="193">
        <v>69775000</v>
      </c>
      <c r="P37" s="232">
        <v>441</v>
      </c>
      <c r="Q37" s="343"/>
      <c r="R37" s="343"/>
      <c r="S37" s="343"/>
      <c r="T37" s="343"/>
      <c r="U37" s="343"/>
      <c r="V37" s="343"/>
      <c r="W37" s="463"/>
      <c r="X37" s="463"/>
      <c r="Y37" s="153"/>
      <c r="Z37" s="153">
        <v>69775000</v>
      </c>
      <c r="AA37" s="153"/>
      <c r="AB37" s="153"/>
      <c r="AC37" s="182">
        <f>SUM(Q37:AB37)</f>
        <v>69775000</v>
      </c>
      <c r="AD37" s="391">
        <f>O37-AC37</f>
        <v>0</v>
      </c>
      <c r="AF37" s="873" t="s">
        <v>1104</v>
      </c>
      <c r="AG37" s="310" t="s">
        <v>327</v>
      </c>
      <c r="AH37" s="316" t="s">
        <v>1211</v>
      </c>
      <c r="AI37" s="1377">
        <f>P37</f>
        <v>441</v>
      </c>
      <c r="AJ37" s="874">
        <v>69775000</v>
      </c>
      <c r="AK37" s="875">
        <f>AJ37-O37</f>
        <v>0</v>
      </c>
      <c r="AL37" s="822"/>
      <c r="AM37" s="302">
        <f>AJ37-M37</f>
        <v>0</v>
      </c>
    </row>
    <row r="38" spans="1:40" s="130" customFormat="1">
      <c r="A38" s="82" t="s">
        <v>52</v>
      </c>
      <c r="B38" s="489">
        <f>M38</f>
        <v>0</v>
      </c>
      <c r="C38" s="79" t="s">
        <v>56</v>
      </c>
      <c r="D38" s="79" t="s">
        <v>823</v>
      </c>
      <c r="E38" s="79" t="s">
        <v>822</v>
      </c>
      <c r="F38" s="79" t="s">
        <v>54</v>
      </c>
      <c r="G38" s="79" t="s">
        <v>55</v>
      </c>
      <c r="H38" s="2109" t="s">
        <v>1641</v>
      </c>
      <c r="I38" s="1376" t="s">
        <v>173</v>
      </c>
      <c r="J38" s="203"/>
      <c r="K38" s="1375"/>
      <c r="L38" s="270"/>
      <c r="M38" s="193"/>
      <c r="N38" s="270"/>
      <c r="O38" s="463"/>
      <c r="P38" s="232"/>
      <c r="Q38" s="343"/>
      <c r="R38" s="343"/>
      <c r="S38" s="343"/>
      <c r="T38" s="343"/>
      <c r="U38" s="343"/>
      <c r="V38" s="343"/>
      <c r="W38" s="463"/>
      <c r="X38" s="463"/>
      <c r="Y38" s="463"/>
      <c r="Z38" s="463"/>
      <c r="AA38" s="463"/>
      <c r="AB38" s="463"/>
      <c r="AC38" s="182">
        <f>SUM(Q38:AB38)</f>
        <v>0</v>
      </c>
      <c r="AD38" s="391">
        <f>O38-AC38</f>
        <v>0</v>
      </c>
      <c r="AF38" s="873"/>
      <c r="AG38" s="310"/>
      <c r="AH38" s="316"/>
      <c r="AI38" s="1377">
        <f>P38</f>
        <v>0</v>
      </c>
      <c r="AJ38" s="874"/>
      <c r="AK38" s="875">
        <f>AJ38-O38</f>
        <v>0</v>
      </c>
      <c r="AL38" s="822"/>
      <c r="AM38" s="302">
        <f>AJ38-M38</f>
        <v>0</v>
      </c>
    </row>
    <row r="39" spans="1:40" s="8" customFormat="1">
      <c r="A39" s="167" t="s">
        <v>24</v>
      </c>
      <c r="B39" s="488">
        <f>B35-SUM(B36:B38)</f>
        <v>0</v>
      </c>
      <c r="C39" s="83"/>
      <c r="D39" s="83"/>
      <c r="E39" s="83"/>
      <c r="F39" s="83"/>
      <c r="G39" s="83"/>
      <c r="H39" s="2070"/>
      <c r="I39" s="942"/>
      <c r="J39" s="204"/>
      <c r="K39" s="1444"/>
      <c r="L39" s="344"/>
      <c r="M39" s="162">
        <f>SUM(M36:M38)</f>
        <v>69775000</v>
      </c>
      <c r="N39" s="344"/>
      <c r="O39" s="162">
        <f>SUM(O36:O38)</f>
        <v>69775000</v>
      </c>
      <c r="P39" s="236"/>
      <c r="Q39" s="162">
        <f>SUM(Q36:Q38)</f>
        <v>0</v>
      </c>
      <c r="R39" s="162">
        <f t="shared" ref="R39:AD39" si="7">SUM(R36:R38)</f>
        <v>0</v>
      </c>
      <c r="S39" s="162">
        <f t="shared" si="7"/>
        <v>0</v>
      </c>
      <c r="T39" s="162">
        <f t="shared" si="7"/>
        <v>0</v>
      </c>
      <c r="U39" s="162">
        <f t="shared" si="7"/>
        <v>0</v>
      </c>
      <c r="V39" s="162">
        <f t="shared" si="7"/>
        <v>0</v>
      </c>
      <c r="W39" s="162">
        <f t="shared" si="7"/>
        <v>0</v>
      </c>
      <c r="X39" s="162">
        <f t="shared" si="7"/>
        <v>0</v>
      </c>
      <c r="Y39" s="162">
        <f t="shared" si="7"/>
        <v>0</v>
      </c>
      <c r="Z39" s="162">
        <f t="shared" si="7"/>
        <v>69775000</v>
      </c>
      <c r="AA39" s="162">
        <f t="shared" si="7"/>
        <v>0</v>
      </c>
      <c r="AB39" s="162">
        <f t="shared" si="7"/>
        <v>0</v>
      </c>
      <c r="AC39" s="162">
        <f t="shared" si="7"/>
        <v>69775000</v>
      </c>
      <c r="AD39" s="162">
        <f t="shared" si="7"/>
        <v>0</v>
      </c>
      <c r="AF39" s="867"/>
      <c r="AG39" s="54"/>
      <c r="AH39" s="54"/>
      <c r="AI39" s="344"/>
      <c r="AJ39" s="162">
        <f>SUM(AJ36:AJ38)</f>
        <v>69775000</v>
      </c>
      <c r="AK39" s="162">
        <f>SUM(AK36:AK38)</f>
        <v>0</v>
      </c>
      <c r="AL39" s="820">
        <f>B35-AJ39</f>
        <v>0</v>
      </c>
    </row>
    <row r="40" spans="1:40" s="8" customFormat="1" ht="27.75" customHeight="1">
      <c r="A40" s="594" t="s">
        <v>52</v>
      </c>
      <c r="B40" s="487">
        <v>450000</v>
      </c>
      <c r="C40" s="1294" t="s">
        <v>921</v>
      </c>
      <c r="D40" s="1295" t="s">
        <v>823</v>
      </c>
      <c r="E40" s="1295" t="s">
        <v>53</v>
      </c>
      <c r="F40" s="1295" t="s">
        <v>54</v>
      </c>
      <c r="G40" s="1295" t="s">
        <v>55</v>
      </c>
      <c r="H40" s="2108" t="s">
        <v>1641</v>
      </c>
      <c r="I40" s="966"/>
      <c r="J40" s="737"/>
      <c r="K40" s="468"/>
      <c r="L40" s="1261"/>
      <c r="M40" s="1262"/>
      <c r="N40" s="1261"/>
      <c r="O40" s="1262"/>
      <c r="P40" s="1305"/>
      <c r="Q40" s="1264"/>
      <c r="R40" s="1262"/>
      <c r="S40" s="1262"/>
      <c r="T40" s="1262"/>
      <c r="U40" s="1262"/>
      <c r="V40" s="1262"/>
      <c r="W40" s="1262"/>
      <c r="X40" s="1262"/>
      <c r="Y40" s="1262"/>
      <c r="Z40" s="1262"/>
      <c r="AA40" s="1262"/>
      <c r="AB40" s="1262"/>
      <c r="AC40" s="1306">
        <f>SUM(Q40:AB40)</f>
        <v>0</v>
      </c>
      <c r="AD40" s="1307">
        <f>O40-AC40</f>
        <v>0</v>
      </c>
      <c r="AF40" s="889"/>
      <c r="AG40" s="363"/>
      <c r="AH40" s="363"/>
      <c r="AI40" s="453"/>
      <c r="AJ40" s="421"/>
      <c r="AK40" s="1528"/>
      <c r="AL40" s="820"/>
    </row>
    <row r="41" spans="1:40" s="130" customFormat="1">
      <c r="A41" s="82" t="s">
        <v>52</v>
      </c>
      <c r="B41" s="489">
        <f>M41</f>
        <v>0</v>
      </c>
      <c r="C41" s="1326" t="s">
        <v>921</v>
      </c>
      <c r="D41" s="501" t="s">
        <v>823</v>
      </c>
      <c r="E41" s="501" t="s">
        <v>822</v>
      </c>
      <c r="F41" s="501" t="s">
        <v>54</v>
      </c>
      <c r="G41" s="501" t="s">
        <v>55</v>
      </c>
      <c r="H41" s="2109" t="s">
        <v>1641</v>
      </c>
      <c r="I41" s="2101">
        <v>195</v>
      </c>
      <c r="J41" s="205">
        <v>0</v>
      </c>
      <c r="K41" s="468"/>
      <c r="L41" s="99">
        <v>544</v>
      </c>
      <c r="M41" s="139">
        <f>450000-450000</f>
        <v>0</v>
      </c>
      <c r="N41" s="99"/>
      <c r="O41" s="139"/>
      <c r="P41" s="1359"/>
      <c r="Q41" s="229"/>
      <c r="R41" s="138"/>
      <c r="S41" s="138"/>
      <c r="T41" s="138"/>
      <c r="U41" s="138"/>
      <c r="V41" s="138"/>
      <c r="W41" s="138"/>
      <c r="X41" s="138"/>
      <c r="Y41" s="138"/>
      <c r="Z41" s="138"/>
      <c r="AA41" s="138"/>
      <c r="AB41" s="138"/>
      <c r="AC41" s="182">
        <f>SUM(Q41:AB41)</f>
        <v>0</v>
      </c>
      <c r="AD41" s="391">
        <f>O41-AC41</f>
        <v>0</v>
      </c>
      <c r="AF41" s="873">
        <v>195</v>
      </c>
      <c r="AG41" s="310" t="s">
        <v>327</v>
      </c>
      <c r="AH41" s="316" t="s">
        <v>173</v>
      </c>
      <c r="AI41" s="799">
        <f>P41</f>
        <v>0</v>
      </c>
      <c r="AJ41" s="874">
        <f>450000-450000</f>
        <v>0</v>
      </c>
      <c r="AK41" s="875">
        <f>AJ41-O41</f>
        <v>0</v>
      </c>
      <c r="AL41" s="822"/>
      <c r="AM41" s="302">
        <f>AJ41-M41</f>
        <v>0</v>
      </c>
    </row>
    <row r="42" spans="1:40" s="130" customFormat="1">
      <c r="A42" s="82" t="s">
        <v>52</v>
      </c>
      <c r="B42" s="489">
        <f>M42</f>
        <v>438475</v>
      </c>
      <c r="C42" s="1326" t="s">
        <v>921</v>
      </c>
      <c r="D42" s="501" t="s">
        <v>823</v>
      </c>
      <c r="E42" s="501" t="s">
        <v>822</v>
      </c>
      <c r="F42" s="501" t="s">
        <v>54</v>
      </c>
      <c r="G42" s="501" t="s">
        <v>55</v>
      </c>
      <c r="H42" s="2109" t="s">
        <v>1641</v>
      </c>
      <c r="I42" s="1374" t="s">
        <v>1104</v>
      </c>
      <c r="J42" s="205"/>
      <c r="K42" s="468"/>
      <c r="L42" s="99">
        <v>594</v>
      </c>
      <c r="M42" s="139">
        <f>450000-11525</f>
        <v>438475</v>
      </c>
      <c r="N42" s="99">
        <v>762</v>
      </c>
      <c r="O42" s="139">
        <v>438475</v>
      </c>
      <c r="P42" s="1359">
        <v>441</v>
      </c>
      <c r="Q42" s="229"/>
      <c r="R42" s="138"/>
      <c r="S42" s="138"/>
      <c r="T42" s="138"/>
      <c r="U42" s="138"/>
      <c r="V42" s="138"/>
      <c r="W42" s="138"/>
      <c r="X42" s="138"/>
      <c r="Y42" s="153"/>
      <c r="Z42" s="153">
        <v>438475</v>
      </c>
      <c r="AA42" s="153"/>
      <c r="AB42" s="138"/>
      <c r="AC42" s="182">
        <f>SUM(Q42:AB42)</f>
        <v>438475</v>
      </c>
      <c r="AD42" s="391">
        <f>O42-AC42</f>
        <v>0</v>
      </c>
      <c r="AF42" s="873" t="s">
        <v>1104</v>
      </c>
      <c r="AG42" s="310" t="s">
        <v>327</v>
      </c>
      <c r="AH42" s="316" t="s">
        <v>1211</v>
      </c>
      <c r="AI42" s="1377">
        <f>P42</f>
        <v>441</v>
      </c>
      <c r="AJ42" s="874">
        <f>450000</f>
        <v>450000</v>
      </c>
      <c r="AK42" s="875">
        <f>AJ42-O42</f>
        <v>11525</v>
      </c>
      <c r="AL42" s="822"/>
      <c r="AM42" s="302">
        <f>AJ42-M42</f>
        <v>11525</v>
      </c>
    </row>
    <row r="43" spans="1:40" s="130" customFormat="1">
      <c r="A43" s="82" t="s">
        <v>52</v>
      </c>
      <c r="B43" s="489">
        <f>M43</f>
        <v>0</v>
      </c>
      <c r="C43" s="1326" t="s">
        <v>921</v>
      </c>
      <c r="D43" s="501" t="s">
        <v>823</v>
      </c>
      <c r="E43" s="501" t="s">
        <v>822</v>
      </c>
      <c r="F43" s="501" t="s">
        <v>54</v>
      </c>
      <c r="G43" s="501" t="s">
        <v>55</v>
      </c>
      <c r="H43" s="2109" t="s">
        <v>1641</v>
      </c>
      <c r="I43" s="1374" t="s">
        <v>173</v>
      </c>
      <c r="J43" s="205"/>
      <c r="K43" s="468"/>
      <c r="L43" s="99"/>
      <c r="M43" s="139"/>
      <c r="N43" s="99"/>
      <c r="O43" s="139"/>
      <c r="P43" s="1359"/>
      <c r="Q43" s="229"/>
      <c r="R43" s="138"/>
      <c r="S43" s="138"/>
      <c r="T43" s="138"/>
      <c r="U43" s="138"/>
      <c r="V43" s="138"/>
      <c r="W43" s="138"/>
      <c r="X43" s="138"/>
      <c r="Y43" s="138"/>
      <c r="Z43" s="138"/>
      <c r="AA43" s="138"/>
      <c r="AB43" s="138"/>
      <c r="AC43" s="182">
        <f>SUM(Q43:AB43)</f>
        <v>0</v>
      </c>
      <c r="AD43" s="391">
        <f>O43-AC43</f>
        <v>0</v>
      </c>
      <c r="AF43" s="873"/>
      <c r="AG43" s="310"/>
      <c r="AH43" s="316"/>
      <c r="AI43" s="799"/>
      <c r="AJ43" s="874"/>
      <c r="AK43" s="875">
        <f>AJ43-O43</f>
        <v>0</v>
      </c>
      <c r="AL43" s="822"/>
      <c r="AM43" s="302">
        <f>AJ43-M43</f>
        <v>0</v>
      </c>
    </row>
    <row r="44" spans="1:40" s="8" customFormat="1">
      <c r="A44" s="167" t="s">
        <v>24</v>
      </c>
      <c r="B44" s="488">
        <f>B40--SUM(B41:B41)</f>
        <v>450000</v>
      </c>
      <c r="C44" s="83"/>
      <c r="D44" s="83"/>
      <c r="E44" s="83"/>
      <c r="F44" s="83"/>
      <c r="G44" s="83"/>
      <c r="H44" s="2070"/>
      <c r="I44" s="942"/>
      <c r="J44" s="204"/>
      <c r="K44" s="1444"/>
      <c r="L44" s="344"/>
      <c r="M44" s="162">
        <f>SUM(M41:M43)</f>
        <v>438475</v>
      </c>
      <c r="N44" s="344"/>
      <c r="O44" s="162">
        <f>SUM(O41:O43)</f>
        <v>438475</v>
      </c>
      <c r="P44" s="236"/>
      <c r="Q44" s="162">
        <f>SUM(Q41:Q43)</f>
        <v>0</v>
      </c>
      <c r="R44" s="162">
        <f t="shared" ref="R44:AD44" si="8">SUM(R41:R43)</f>
        <v>0</v>
      </c>
      <c r="S44" s="162">
        <f t="shared" si="8"/>
        <v>0</v>
      </c>
      <c r="T44" s="162">
        <f t="shared" si="8"/>
        <v>0</v>
      </c>
      <c r="U44" s="162">
        <f t="shared" si="8"/>
        <v>0</v>
      </c>
      <c r="V44" s="162">
        <f t="shared" si="8"/>
        <v>0</v>
      </c>
      <c r="W44" s="162">
        <f t="shared" si="8"/>
        <v>0</v>
      </c>
      <c r="X44" s="162">
        <f t="shared" si="8"/>
        <v>0</v>
      </c>
      <c r="Y44" s="162">
        <f t="shared" si="8"/>
        <v>0</v>
      </c>
      <c r="Z44" s="162">
        <f t="shared" si="8"/>
        <v>438475</v>
      </c>
      <c r="AA44" s="162">
        <f t="shared" si="8"/>
        <v>0</v>
      </c>
      <c r="AB44" s="162">
        <f t="shared" si="8"/>
        <v>0</v>
      </c>
      <c r="AC44" s="162">
        <f t="shared" si="8"/>
        <v>438475</v>
      </c>
      <c r="AD44" s="162">
        <f t="shared" si="8"/>
        <v>0</v>
      </c>
      <c r="AF44" s="867"/>
      <c r="AG44" s="54"/>
      <c r="AH44" s="54"/>
      <c r="AI44" s="344"/>
      <c r="AJ44" s="162">
        <f>SUM(AJ41:AJ43)</f>
        <v>450000</v>
      </c>
      <c r="AK44" s="162">
        <f>SUM(AK41:AK43)</f>
        <v>11525</v>
      </c>
      <c r="AL44" s="820">
        <f>B40-AJ44</f>
        <v>0</v>
      </c>
    </row>
    <row r="45" spans="1:40" s="6" customFormat="1" ht="31.5" customHeight="1">
      <c r="A45" s="747" t="s">
        <v>116</v>
      </c>
      <c r="B45" s="486">
        <f>B46+B67</f>
        <v>384745221</v>
      </c>
      <c r="C45" s="1296" t="s">
        <v>36</v>
      </c>
      <c r="D45" s="1296" t="s">
        <v>824</v>
      </c>
      <c r="E45" s="1296" t="s">
        <v>53</v>
      </c>
      <c r="F45" s="1296" t="s">
        <v>57</v>
      </c>
      <c r="G45" s="1296" t="s">
        <v>55</v>
      </c>
      <c r="H45" s="2110" t="s">
        <v>1641</v>
      </c>
      <c r="I45" s="967"/>
      <c r="J45" s="368"/>
      <c r="K45" s="1445"/>
      <c r="L45" s="455"/>
      <c r="M45" s="369"/>
      <c r="N45" s="455"/>
      <c r="O45" s="335"/>
      <c r="P45" s="370"/>
      <c r="Q45" s="371"/>
      <c r="R45" s="335"/>
      <c r="S45" s="335"/>
      <c r="T45" s="335"/>
      <c r="U45" s="335"/>
      <c r="V45" s="335"/>
      <c r="W45" s="335"/>
      <c r="X45" s="335"/>
      <c r="Y45" s="335"/>
      <c r="Z45" s="335"/>
      <c r="AA45" s="335"/>
      <c r="AB45" s="335"/>
      <c r="AC45" s="372"/>
      <c r="AD45" s="392"/>
      <c r="AF45" s="893"/>
      <c r="AG45" s="428"/>
      <c r="AH45" s="428"/>
      <c r="AI45" s="1383"/>
      <c r="AJ45" s="338"/>
      <c r="AK45" s="1384"/>
      <c r="AL45" s="820"/>
    </row>
    <row r="46" spans="1:40" s="610" customFormat="1">
      <c r="A46" s="86" t="s">
        <v>58</v>
      </c>
      <c r="B46" s="487">
        <f>370060000-1570000-79536812-8813365</f>
        <v>280139823</v>
      </c>
      <c r="C46" s="85" t="s">
        <v>36</v>
      </c>
      <c r="D46" s="85" t="s">
        <v>824</v>
      </c>
      <c r="E46" s="85" t="s">
        <v>822</v>
      </c>
      <c r="F46" s="85" t="s">
        <v>822</v>
      </c>
      <c r="G46" s="85" t="s">
        <v>55</v>
      </c>
      <c r="H46" s="2072" t="s">
        <v>1641</v>
      </c>
      <c r="I46" s="944" t="s">
        <v>173</v>
      </c>
      <c r="J46" s="803">
        <v>0</v>
      </c>
      <c r="K46" s="1446"/>
      <c r="L46" s="805"/>
      <c r="M46" s="804"/>
      <c r="N46" s="805"/>
      <c r="O46" s="336"/>
      <c r="P46" s="375"/>
      <c r="Q46" s="340"/>
      <c r="R46" s="336"/>
      <c r="S46" s="336"/>
      <c r="T46" s="336"/>
      <c r="U46" s="336"/>
      <c r="V46" s="336"/>
      <c r="W46" s="336"/>
      <c r="X46" s="336"/>
      <c r="Y46" s="336"/>
      <c r="Z46" s="336"/>
      <c r="AA46" s="336"/>
      <c r="AB46" s="336"/>
      <c r="AC46" s="342">
        <f>SUM(Q46:AB46)</f>
        <v>0</v>
      </c>
      <c r="AD46" s="393">
        <f t="shared" ref="AD46:AD65" si="9">O46-AC46</f>
        <v>0</v>
      </c>
      <c r="AF46" s="1529"/>
      <c r="AG46" s="1530"/>
      <c r="AH46" s="1530"/>
      <c r="AI46" s="1531"/>
      <c r="AJ46" s="1532"/>
      <c r="AK46" s="1533"/>
      <c r="AL46" s="820"/>
    </row>
    <row r="47" spans="1:40" s="610" customFormat="1">
      <c r="A47" s="86" t="s">
        <v>58</v>
      </c>
      <c r="B47" s="797">
        <f>M47</f>
        <v>6000000</v>
      </c>
      <c r="C47" s="85" t="s">
        <v>36</v>
      </c>
      <c r="D47" s="85" t="s">
        <v>824</v>
      </c>
      <c r="E47" s="85" t="s">
        <v>822</v>
      </c>
      <c r="F47" s="85" t="s">
        <v>822</v>
      </c>
      <c r="G47" s="85" t="s">
        <v>55</v>
      </c>
      <c r="H47" s="2072" t="s">
        <v>1641</v>
      </c>
      <c r="I47" s="798">
        <v>132</v>
      </c>
      <c r="J47" s="806">
        <v>0</v>
      </c>
      <c r="K47" s="228"/>
      <c r="L47" s="992">
        <v>379</v>
      </c>
      <c r="M47" s="608">
        <v>6000000</v>
      </c>
      <c r="N47" s="607">
        <v>466</v>
      </c>
      <c r="O47" s="153">
        <v>6000000</v>
      </c>
      <c r="P47" s="231">
        <v>322</v>
      </c>
      <c r="Q47" s="233"/>
      <c r="R47" s="153"/>
      <c r="S47" s="153"/>
      <c r="T47" s="153"/>
      <c r="U47" s="153"/>
      <c r="V47" s="153"/>
      <c r="W47" s="153"/>
      <c r="X47" s="153"/>
      <c r="Y47" s="153"/>
      <c r="Z47" s="153"/>
      <c r="AA47" s="153"/>
      <c r="AB47" s="153">
        <v>6000000</v>
      </c>
      <c r="AC47" s="182">
        <f>SUM(Q47:AB47)</f>
        <v>6000000</v>
      </c>
      <c r="AD47" s="391">
        <f t="shared" si="9"/>
        <v>0</v>
      </c>
      <c r="AF47" s="869">
        <v>132</v>
      </c>
      <c r="AG47" s="743" t="s">
        <v>287</v>
      </c>
      <c r="AH47" s="351" t="s">
        <v>956</v>
      </c>
      <c r="AI47" s="799">
        <f t="shared" ref="AI47:AI65" si="10">P47</f>
        <v>322</v>
      </c>
      <c r="AJ47" s="609">
        <v>6000000</v>
      </c>
      <c r="AK47" s="875">
        <f t="shared" ref="AK47:AK65" si="11">AJ47-O47</f>
        <v>0</v>
      </c>
      <c r="AL47" s="820"/>
      <c r="AM47" s="302">
        <f t="shared" ref="AM47:AM65" si="12">AJ47-M47</f>
        <v>0</v>
      </c>
    </row>
    <row r="48" spans="1:40" s="610" customFormat="1">
      <c r="A48" s="86" t="s">
        <v>58</v>
      </c>
      <c r="B48" s="797">
        <f t="shared" ref="B48:B65" si="13">M48</f>
        <v>27075230</v>
      </c>
      <c r="C48" s="85" t="s">
        <v>36</v>
      </c>
      <c r="D48" s="85" t="s">
        <v>824</v>
      </c>
      <c r="E48" s="85" t="s">
        <v>822</v>
      </c>
      <c r="F48" s="85" t="s">
        <v>822</v>
      </c>
      <c r="G48" s="85" t="s">
        <v>55</v>
      </c>
      <c r="H48" s="2072" t="s">
        <v>1641</v>
      </c>
      <c r="I48" s="798">
        <v>136</v>
      </c>
      <c r="J48" s="806">
        <v>654</v>
      </c>
      <c r="K48" s="228">
        <v>35888615</v>
      </c>
      <c r="L48" s="992">
        <v>741</v>
      </c>
      <c r="M48" s="228">
        <f>35888615-8813385</f>
        <v>27075230</v>
      </c>
      <c r="N48" s="607">
        <v>1095</v>
      </c>
      <c r="O48" s="153">
        <v>27075230</v>
      </c>
      <c r="P48" s="231">
        <v>506</v>
      </c>
      <c r="Q48" s="233"/>
      <c r="R48" s="153"/>
      <c r="S48" s="153"/>
      <c r="T48" s="153"/>
      <c r="U48" s="153"/>
      <c r="V48" s="153"/>
      <c r="W48" s="153"/>
      <c r="X48" s="153"/>
      <c r="Y48" s="153"/>
      <c r="Z48" s="153"/>
      <c r="AA48" s="153"/>
      <c r="AB48" s="153"/>
      <c r="AC48" s="182">
        <f t="shared" ref="AC48:AC65" si="14">SUM(Q48:AB48)</f>
        <v>0</v>
      </c>
      <c r="AD48" s="391">
        <f t="shared" si="9"/>
        <v>27075230</v>
      </c>
      <c r="AF48" s="1984">
        <v>136</v>
      </c>
      <c r="AG48" s="743" t="s">
        <v>331</v>
      </c>
      <c r="AH48" s="351" t="s">
        <v>1596</v>
      </c>
      <c r="AI48" s="799">
        <f t="shared" si="10"/>
        <v>506</v>
      </c>
      <c r="AJ48" s="1985">
        <f>50000000-14111385-8813365</f>
        <v>27075250</v>
      </c>
      <c r="AK48" s="875">
        <f t="shared" si="11"/>
        <v>20</v>
      </c>
      <c r="AL48" s="820"/>
      <c r="AM48" s="302">
        <f t="shared" si="12"/>
        <v>20</v>
      </c>
      <c r="AN48" s="1959">
        <f>8813385+825624</f>
        <v>9639009</v>
      </c>
    </row>
    <row r="49" spans="1:39" s="610" customFormat="1">
      <c r="A49" s="86" t="s">
        <v>58</v>
      </c>
      <c r="B49" s="797">
        <f t="shared" si="13"/>
        <v>0</v>
      </c>
      <c r="C49" s="85" t="s">
        <v>36</v>
      </c>
      <c r="D49" s="85" t="s">
        <v>824</v>
      </c>
      <c r="E49" s="85" t="s">
        <v>822</v>
      </c>
      <c r="F49" s="85" t="s">
        <v>822</v>
      </c>
      <c r="G49" s="85" t="s">
        <v>55</v>
      </c>
      <c r="H49" s="2072" t="s">
        <v>1641</v>
      </c>
      <c r="I49" s="798">
        <v>151</v>
      </c>
      <c r="J49" s="806">
        <v>0</v>
      </c>
      <c r="K49" s="228"/>
      <c r="L49" s="992"/>
      <c r="M49" s="740"/>
      <c r="N49" s="741"/>
      <c r="O49" s="153"/>
      <c r="P49" s="231"/>
      <c r="Q49" s="233"/>
      <c r="R49" s="153"/>
      <c r="S49" s="153"/>
      <c r="T49" s="153"/>
      <c r="U49" s="153"/>
      <c r="V49" s="153"/>
      <c r="W49" s="153"/>
      <c r="X49" s="153"/>
      <c r="Y49" s="153"/>
      <c r="Z49" s="153"/>
      <c r="AA49" s="153"/>
      <c r="AB49" s="153"/>
      <c r="AC49" s="182">
        <f t="shared" si="14"/>
        <v>0</v>
      </c>
      <c r="AD49" s="391">
        <f t="shared" si="9"/>
        <v>0</v>
      </c>
      <c r="AF49" s="869">
        <v>151</v>
      </c>
      <c r="AG49" s="743" t="s">
        <v>332</v>
      </c>
      <c r="AH49" s="351" t="s">
        <v>173</v>
      </c>
      <c r="AI49" s="799">
        <f t="shared" si="10"/>
        <v>0</v>
      </c>
      <c r="AJ49" s="609">
        <f>15000000-15000000</f>
        <v>0</v>
      </c>
      <c r="AK49" s="875">
        <f t="shared" si="11"/>
        <v>0</v>
      </c>
      <c r="AL49" s="820"/>
      <c r="AM49" s="302">
        <f t="shared" si="12"/>
        <v>0</v>
      </c>
    </row>
    <row r="50" spans="1:39" s="610" customFormat="1">
      <c r="A50" s="86" t="s">
        <v>58</v>
      </c>
      <c r="B50" s="797">
        <f t="shared" si="13"/>
        <v>4398478</v>
      </c>
      <c r="C50" s="85" t="s">
        <v>36</v>
      </c>
      <c r="D50" s="85" t="s">
        <v>824</v>
      </c>
      <c r="E50" s="85" t="s">
        <v>822</v>
      </c>
      <c r="F50" s="85" t="s">
        <v>822</v>
      </c>
      <c r="G50" s="85" t="s">
        <v>55</v>
      </c>
      <c r="H50" s="2072" t="s">
        <v>1641</v>
      </c>
      <c r="I50" s="798">
        <v>176</v>
      </c>
      <c r="J50" s="806">
        <v>0</v>
      </c>
      <c r="K50" s="228"/>
      <c r="L50" s="992">
        <v>546</v>
      </c>
      <c r="M50" s="608">
        <f>5385243-986765</f>
        <v>4398478</v>
      </c>
      <c r="N50" s="607">
        <v>761</v>
      </c>
      <c r="O50" s="154">
        <v>4398478</v>
      </c>
      <c r="P50" s="996">
        <v>438</v>
      </c>
      <c r="Q50" s="233"/>
      <c r="R50" s="153"/>
      <c r="S50" s="153"/>
      <c r="T50" s="153"/>
      <c r="U50" s="153"/>
      <c r="V50" s="153"/>
      <c r="W50" s="153"/>
      <c r="X50" s="153"/>
      <c r="Y50" s="153">
        <v>4398478</v>
      </c>
      <c r="Z50" s="153"/>
      <c r="AA50" s="153"/>
      <c r="AB50" s="153"/>
      <c r="AC50" s="182">
        <f t="shared" si="14"/>
        <v>4398478</v>
      </c>
      <c r="AD50" s="391">
        <f t="shared" si="9"/>
        <v>0</v>
      </c>
      <c r="AF50" s="869">
        <v>176</v>
      </c>
      <c r="AG50" s="743" t="s">
        <v>1071</v>
      </c>
      <c r="AH50" s="351" t="s">
        <v>1210</v>
      </c>
      <c r="AI50" s="799">
        <f t="shared" si="10"/>
        <v>438</v>
      </c>
      <c r="AJ50" s="609">
        <f>5718016+630000-1949538</f>
        <v>4398478</v>
      </c>
      <c r="AK50" s="875">
        <f t="shared" si="11"/>
        <v>0</v>
      </c>
      <c r="AL50" s="820"/>
      <c r="AM50" s="302">
        <f t="shared" si="12"/>
        <v>0</v>
      </c>
    </row>
    <row r="51" spans="1:39" s="610" customFormat="1">
      <c r="A51" s="86" t="s">
        <v>58</v>
      </c>
      <c r="B51" s="797">
        <f t="shared" si="13"/>
        <v>0</v>
      </c>
      <c r="C51" s="85" t="s">
        <v>36</v>
      </c>
      <c r="D51" s="85" t="s">
        <v>824</v>
      </c>
      <c r="E51" s="85" t="s">
        <v>822</v>
      </c>
      <c r="F51" s="85" t="s">
        <v>822</v>
      </c>
      <c r="G51" s="85" t="s">
        <v>55</v>
      </c>
      <c r="H51" s="2072" t="s">
        <v>1641</v>
      </c>
      <c r="I51" s="798">
        <v>178</v>
      </c>
      <c r="J51" s="806">
        <v>0</v>
      </c>
      <c r="K51" s="228"/>
      <c r="L51" s="992"/>
      <c r="M51" s="608"/>
      <c r="N51" s="607"/>
      <c r="O51" s="154"/>
      <c r="P51" s="996"/>
      <c r="Q51" s="233"/>
      <c r="R51" s="153"/>
      <c r="S51" s="153"/>
      <c r="T51" s="153"/>
      <c r="U51" s="153"/>
      <c r="V51" s="153"/>
      <c r="W51" s="153"/>
      <c r="X51" s="153"/>
      <c r="Y51" s="153"/>
      <c r="Z51" s="153"/>
      <c r="AA51" s="153"/>
      <c r="AB51" s="153"/>
      <c r="AC51" s="182">
        <f t="shared" si="14"/>
        <v>0</v>
      </c>
      <c r="AD51" s="391">
        <f t="shared" si="9"/>
        <v>0</v>
      </c>
      <c r="AF51" s="869">
        <v>178</v>
      </c>
      <c r="AG51" s="743" t="s">
        <v>333</v>
      </c>
      <c r="AH51" s="351" t="s">
        <v>173</v>
      </c>
      <c r="AI51" s="799">
        <f t="shared" si="10"/>
        <v>0</v>
      </c>
      <c r="AJ51" s="609">
        <f>113341984-113341984</f>
        <v>0</v>
      </c>
      <c r="AK51" s="875">
        <f t="shared" si="11"/>
        <v>0</v>
      </c>
      <c r="AL51" s="820"/>
      <c r="AM51" s="302">
        <f t="shared" si="12"/>
        <v>0</v>
      </c>
    </row>
    <row r="52" spans="1:39" s="610" customFormat="1">
      <c r="A52" s="86" t="s">
        <v>58</v>
      </c>
      <c r="B52" s="797">
        <f t="shared" si="13"/>
        <v>81481954</v>
      </c>
      <c r="C52" s="85" t="s">
        <v>36</v>
      </c>
      <c r="D52" s="85" t="s">
        <v>824</v>
      </c>
      <c r="E52" s="85" t="s">
        <v>822</v>
      </c>
      <c r="F52" s="85" t="s">
        <v>822</v>
      </c>
      <c r="G52" s="85" t="s">
        <v>55</v>
      </c>
      <c r="H52" s="2072" t="s">
        <v>1641</v>
      </c>
      <c r="I52" s="798">
        <v>201</v>
      </c>
      <c r="J52" s="806">
        <v>0</v>
      </c>
      <c r="K52" s="228"/>
      <c r="L52" s="992">
        <v>410</v>
      </c>
      <c r="M52" s="608">
        <f>119916580-38434626</f>
        <v>81481954</v>
      </c>
      <c r="N52" s="607">
        <v>575</v>
      </c>
      <c r="O52" s="153">
        <v>81481954</v>
      </c>
      <c r="P52" s="231">
        <v>371</v>
      </c>
      <c r="Q52" s="233"/>
      <c r="R52" s="153"/>
      <c r="S52" s="153"/>
      <c r="T52" s="153"/>
      <c r="U52" s="153"/>
      <c r="V52" s="153"/>
      <c r="W52" s="153"/>
      <c r="X52" s="153">
        <v>81481954</v>
      </c>
      <c r="Y52" s="153"/>
      <c r="Z52" s="153"/>
      <c r="AA52" s="153"/>
      <c r="AB52" s="153"/>
      <c r="AC52" s="182">
        <f t="shared" si="14"/>
        <v>81481954</v>
      </c>
      <c r="AD52" s="391">
        <f t="shared" si="9"/>
        <v>0</v>
      </c>
      <c r="AF52" s="869">
        <v>201</v>
      </c>
      <c r="AG52" s="743" t="s">
        <v>291</v>
      </c>
      <c r="AH52" s="351" t="s">
        <v>817</v>
      </c>
      <c r="AI52" s="799">
        <f t="shared" si="10"/>
        <v>371</v>
      </c>
      <c r="AJ52" s="609">
        <f>120000000-38518046</f>
        <v>81481954</v>
      </c>
      <c r="AK52" s="875">
        <f t="shared" si="11"/>
        <v>0</v>
      </c>
      <c r="AL52" s="820"/>
      <c r="AM52" s="302">
        <f t="shared" si="12"/>
        <v>0</v>
      </c>
    </row>
    <row r="53" spans="1:39" s="610" customFormat="1">
      <c r="A53" s="86" t="s">
        <v>58</v>
      </c>
      <c r="B53" s="797">
        <f t="shared" si="13"/>
        <v>17518046</v>
      </c>
      <c r="C53" s="85" t="s">
        <v>36</v>
      </c>
      <c r="D53" s="85" t="s">
        <v>824</v>
      </c>
      <c r="E53" s="85" t="s">
        <v>822</v>
      </c>
      <c r="F53" s="85" t="s">
        <v>822</v>
      </c>
      <c r="G53" s="85" t="s">
        <v>55</v>
      </c>
      <c r="H53" s="2072" t="s">
        <v>1641</v>
      </c>
      <c r="I53" s="1361" t="s">
        <v>173</v>
      </c>
      <c r="J53" s="806"/>
      <c r="K53" s="228"/>
      <c r="L53" s="992">
        <v>609</v>
      </c>
      <c r="M53" s="608">
        <v>17518046</v>
      </c>
      <c r="N53" s="607">
        <v>713</v>
      </c>
      <c r="O53" s="153">
        <v>17518046</v>
      </c>
      <c r="P53" s="231">
        <v>371</v>
      </c>
      <c r="Q53" s="233"/>
      <c r="R53" s="153"/>
      <c r="S53" s="153"/>
      <c r="T53" s="153"/>
      <c r="U53" s="153"/>
      <c r="V53" s="153"/>
      <c r="W53" s="153"/>
      <c r="X53" s="153"/>
      <c r="Y53" s="153">
        <v>17518046</v>
      </c>
      <c r="Z53" s="153"/>
      <c r="AA53" s="153"/>
      <c r="AB53" s="153"/>
      <c r="AC53" s="182">
        <f t="shared" si="14"/>
        <v>17518046</v>
      </c>
      <c r="AD53" s="391">
        <f t="shared" si="9"/>
        <v>0</v>
      </c>
      <c r="AF53" s="868" t="s">
        <v>325</v>
      </c>
      <c r="AG53" s="743" t="s">
        <v>1102</v>
      </c>
      <c r="AH53" s="351" t="s">
        <v>817</v>
      </c>
      <c r="AI53" s="799">
        <f t="shared" si="10"/>
        <v>371</v>
      </c>
      <c r="AJ53" s="609">
        <v>17518046</v>
      </c>
      <c r="AK53" s="875">
        <f t="shared" si="11"/>
        <v>0</v>
      </c>
      <c r="AL53" s="820"/>
      <c r="AM53" s="302">
        <f t="shared" si="12"/>
        <v>0</v>
      </c>
    </row>
    <row r="54" spans="1:39" s="610" customFormat="1">
      <c r="A54" s="86" t="s">
        <v>58</v>
      </c>
      <c r="B54" s="797">
        <f t="shared" si="13"/>
        <v>17985693</v>
      </c>
      <c r="C54" s="85" t="s">
        <v>36</v>
      </c>
      <c r="D54" s="85" t="s">
        <v>824</v>
      </c>
      <c r="E54" s="85" t="s">
        <v>822</v>
      </c>
      <c r="F54" s="85" t="s">
        <v>822</v>
      </c>
      <c r="G54" s="85" t="s">
        <v>55</v>
      </c>
      <c r="H54" s="2072" t="s">
        <v>1641</v>
      </c>
      <c r="I54" s="798">
        <v>202</v>
      </c>
      <c r="J54" s="806">
        <v>0</v>
      </c>
      <c r="K54" s="228"/>
      <c r="L54" s="992">
        <v>400</v>
      </c>
      <c r="M54" s="608">
        <f>37741308-19755615</f>
        <v>17985693</v>
      </c>
      <c r="N54" s="607">
        <v>502</v>
      </c>
      <c r="O54" s="153">
        <v>17985693</v>
      </c>
      <c r="P54" s="231">
        <v>360</v>
      </c>
      <c r="Q54" s="233"/>
      <c r="R54" s="153"/>
      <c r="S54" s="153"/>
      <c r="T54" s="153"/>
      <c r="U54" s="153"/>
      <c r="V54" s="153"/>
      <c r="W54" s="153"/>
      <c r="X54" s="153"/>
      <c r="Y54" s="153"/>
      <c r="Z54" s="153">
        <v>2163576</v>
      </c>
      <c r="AA54" s="153">
        <v>5273961</v>
      </c>
      <c r="AB54" s="153">
        <v>5273961</v>
      </c>
      <c r="AC54" s="182">
        <f t="shared" si="14"/>
        <v>12711498</v>
      </c>
      <c r="AD54" s="391">
        <f t="shared" si="9"/>
        <v>5274195</v>
      </c>
      <c r="AF54" s="869">
        <v>202</v>
      </c>
      <c r="AG54" s="743" t="s">
        <v>334</v>
      </c>
      <c r="AH54" s="351" t="s">
        <v>817</v>
      </c>
      <c r="AI54" s="799">
        <f t="shared" si="10"/>
        <v>360</v>
      </c>
      <c r="AJ54" s="609">
        <f>38000000-20014307</f>
        <v>17985693</v>
      </c>
      <c r="AK54" s="875">
        <f t="shared" si="11"/>
        <v>0</v>
      </c>
      <c r="AL54" s="820"/>
      <c r="AM54" s="302">
        <f t="shared" si="12"/>
        <v>0</v>
      </c>
    </row>
    <row r="55" spans="1:39" s="610" customFormat="1">
      <c r="A55" s="86" t="s">
        <v>58</v>
      </c>
      <c r="B55" s="797">
        <f t="shared" si="13"/>
        <v>13200000</v>
      </c>
      <c r="C55" s="85" t="s">
        <v>36</v>
      </c>
      <c r="D55" s="85" t="s">
        <v>824</v>
      </c>
      <c r="E55" s="85" t="s">
        <v>822</v>
      </c>
      <c r="F55" s="85" t="s">
        <v>822</v>
      </c>
      <c r="G55" s="85" t="s">
        <v>55</v>
      </c>
      <c r="H55" s="2072" t="s">
        <v>1641</v>
      </c>
      <c r="I55" s="1361" t="s">
        <v>769</v>
      </c>
      <c r="J55" s="806">
        <v>0</v>
      </c>
      <c r="K55" s="228"/>
      <c r="L55" s="606">
        <v>25</v>
      </c>
      <c r="M55" s="608">
        <f>21945000-8745000</f>
        <v>13200000</v>
      </c>
      <c r="N55" s="1235">
        <v>159</v>
      </c>
      <c r="O55" s="163">
        <f>13200000</f>
        <v>13200000</v>
      </c>
      <c r="P55" s="231">
        <v>138</v>
      </c>
      <c r="Q55" s="153"/>
      <c r="R55" s="153"/>
      <c r="S55" s="153">
        <v>4986695</v>
      </c>
      <c r="T55" s="153">
        <f>2933275+2346755</f>
        <v>5280030</v>
      </c>
      <c r="U55" s="153">
        <v>2933275</v>
      </c>
      <c r="V55" s="153"/>
      <c r="W55" s="153"/>
      <c r="X55" s="153"/>
      <c r="Y55" s="153"/>
      <c r="Z55" s="153"/>
      <c r="AA55" s="153"/>
      <c r="AB55" s="153"/>
      <c r="AC55" s="182">
        <f t="shared" si="14"/>
        <v>13200000</v>
      </c>
      <c r="AD55" s="391">
        <f t="shared" si="9"/>
        <v>0</v>
      </c>
      <c r="AF55" s="869">
        <v>203</v>
      </c>
      <c r="AG55" s="743" t="s">
        <v>334</v>
      </c>
      <c r="AH55" s="268" t="s">
        <v>817</v>
      </c>
      <c r="AI55" s="799">
        <f t="shared" si="10"/>
        <v>138</v>
      </c>
      <c r="AJ55" s="609">
        <f>22000000-8800000</f>
        <v>13200000</v>
      </c>
      <c r="AK55" s="875">
        <f t="shared" si="11"/>
        <v>0</v>
      </c>
      <c r="AL55" s="820"/>
      <c r="AM55" s="302">
        <f t="shared" si="12"/>
        <v>0</v>
      </c>
    </row>
    <row r="56" spans="1:39" s="610" customFormat="1">
      <c r="A56" s="86" t="s">
        <v>58</v>
      </c>
      <c r="B56" s="797">
        <f t="shared" si="13"/>
        <v>6160000</v>
      </c>
      <c r="C56" s="85" t="s">
        <v>36</v>
      </c>
      <c r="D56" s="85" t="s">
        <v>824</v>
      </c>
      <c r="E56" s="85" t="s">
        <v>822</v>
      </c>
      <c r="F56" s="85" t="s">
        <v>822</v>
      </c>
      <c r="G56" s="85" t="s">
        <v>55</v>
      </c>
      <c r="H56" s="2072" t="s">
        <v>1641</v>
      </c>
      <c r="I56" s="1361" t="s">
        <v>325</v>
      </c>
      <c r="J56" s="806">
        <v>0</v>
      </c>
      <c r="K56" s="228"/>
      <c r="L56" s="607">
        <v>341</v>
      </c>
      <c r="M56" s="608">
        <v>6160000</v>
      </c>
      <c r="N56" s="607">
        <v>391</v>
      </c>
      <c r="O56" s="154">
        <v>6160000</v>
      </c>
      <c r="P56" s="231">
        <v>138</v>
      </c>
      <c r="Q56" s="233"/>
      <c r="R56" s="153"/>
      <c r="S56" s="153"/>
      <c r="T56" s="153"/>
      <c r="U56" s="153">
        <v>2346755</v>
      </c>
      <c r="V56" s="153"/>
      <c r="W56" s="153">
        <v>3813245</v>
      </c>
      <c r="X56" s="153"/>
      <c r="Y56" s="153"/>
      <c r="Z56" s="153"/>
      <c r="AA56" s="153"/>
      <c r="AB56" s="153"/>
      <c r="AC56" s="182">
        <f t="shared" si="14"/>
        <v>6160000</v>
      </c>
      <c r="AD56" s="391">
        <f t="shared" si="9"/>
        <v>0</v>
      </c>
      <c r="AF56" s="868" t="s">
        <v>325</v>
      </c>
      <c r="AG56" s="743" t="s">
        <v>1075</v>
      </c>
      <c r="AH56" s="268" t="s">
        <v>817</v>
      </c>
      <c r="AI56" s="799">
        <f t="shared" si="10"/>
        <v>138</v>
      </c>
      <c r="AJ56" s="609">
        <f>6600000-440000</f>
        <v>6160000</v>
      </c>
      <c r="AK56" s="875">
        <f t="shared" si="11"/>
        <v>0</v>
      </c>
      <c r="AL56" s="820"/>
      <c r="AM56" s="302">
        <f t="shared" si="12"/>
        <v>0</v>
      </c>
    </row>
    <row r="57" spans="1:39" s="610" customFormat="1">
      <c r="A57" s="86" t="s">
        <v>58</v>
      </c>
      <c r="B57" s="797">
        <f t="shared" si="13"/>
        <v>0</v>
      </c>
      <c r="C57" s="85" t="s">
        <v>36</v>
      </c>
      <c r="D57" s="85" t="s">
        <v>824</v>
      </c>
      <c r="E57" s="85" t="s">
        <v>822</v>
      </c>
      <c r="F57" s="85" t="s">
        <v>822</v>
      </c>
      <c r="G57" s="85" t="s">
        <v>55</v>
      </c>
      <c r="H57" s="2072" t="s">
        <v>1641</v>
      </c>
      <c r="I57" s="1329">
        <v>553</v>
      </c>
      <c r="J57" s="806">
        <v>541</v>
      </c>
      <c r="K57" s="228">
        <f>21000000-21000000</f>
        <v>0</v>
      </c>
      <c r="L57" s="607">
        <v>592</v>
      </c>
      <c r="M57" s="608">
        <f>21000000-21000000</f>
        <v>0</v>
      </c>
      <c r="N57" s="607"/>
      <c r="O57" s="154"/>
      <c r="P57" s="231"/>
      <c r="Q57" s="233"/>
      <c r="R57" s="153"/>
      <c r="S57" s="153"/>
      <c r="T57" s="153"/>
      <c r="U57" s="153"/>
      <c r="V57" s="153"/>
      <c r="W57" s="153"/>
      <c r="X57" s="153"/>
      <c r="Y57" s="153"/>
      <c r="Z57" s="153"/>
      <c r="AA57" s="153"/>
      <c r="AB57" s="153"/>
      <c r="AC57" s="182">
        <f t="shared" si="14"/>
        <v>0</v>
      </c>
      <c r="AD57" s="391">
        <f t="shared" si="9"/>
        <v>0</v>
      </c>
      <c r="AF57" s="868">
        <v>553</v>
      </c>
      <c r="AG57" s="743" t="s">
        <v>1096</v>
      </c>
      <c r="AH57" s="268"/>
      <c r="AI57" s="799">
        <f t="shared" si="10"/>
        <v>0</v>
      </c>
      <c r="AJ57" s="609">
        <f>21000000-21000000</f>
        <v>0</v>
      </c>
      <c r="AK57" s="875">
        <f t="shared" si="11"/>
        <v>0</v>
      </c>
      <c r="AL57" s="820"/>
      <c r="AM57" s="302">
        <f t="shared" si="12"/>
        <v>0</v>
      </c>
    </row>
    <row r="58" spans="1:39" s="610" customFormat="1">
      <c r="A58" s="86" t="s">
        <v>58</v>
      </c>
      <c r="B58" s="797">
        <f t="shared" si="13"/>
        <v>21000000</v>
      </c>
      <c r="C58" s="85" t="s">
        <v>36</v>
      </c>
      <c r="D58" s="85" t="s">
        <v>824</v>
      </c>
      <c r="E58" s="85" t="s">
        <v>822</v>
      </c>
      <c r="F58" s="85" t="s">
        <v>822</v>
      </c>
      <c r="G58" s="85" t="s">
        <v>55</v>
      </c>
      <c r="H58" s="2072" t="s">
        <v>1641</v>
      </c>
      <c r="I58" s="1329" t="s">
        <v>1208</v>
      </c>
      <c r="J58" s="806">
        <v>548</v>
      </c>
      <c r="K58" s="228">
        <v>21000000</v>
      </c>
      <c r="L58" s="607">
        <v>641</v>
      </c>
      <c r="M58" s="608">
        <v>21000000</v>
      </c>
      <c r="N58" s="607">
        <v>820</v>
      </c>
      <c r="O58" s="154">
        <v>21000000</v>
      </c>
      <c r="P58" s="231">
        <v>455</v>
      </c>
      <c r="Q58" s="233"/>
      <c r="R58" s="153"/>
      <c r="S58" s="153"/>
      <c r="T58" s="153"/>
      <c r="U58" s="153"/>
      <c r="V58" s="153"/>
      <c r="W58" s="153"/>
      <c r="X58" s="153"/>
      <c r="Y58" s="153"/>
      <c r="Z58" s="153"/>
      <c r="AA58" s="153"/>
      <c r="AB58" s="153">
        <v>5976444</v>
      </c>
      <c r="AC58" s="182">
        <f t="shared" si="14"/>
        <v>5976444</v>
      </c>
      <c r="AD58" s="391">
        <f t="shared" si="9"/>
        <v>15023556</v>
      </c>
      <c r="AF58" s="868" t="s">
        <v>1208</v>
      </c>
      <c r="AG58" s="743" t="s">
        <v>1177</v>
      </c>
      <c r="AH58" s="268" t="s">
        <v>1271</v>
      </c>
      <c r="AI58" s="799">
        <f t="shared" si="10"/>
        <v>455</v>
      </c>
      <c r="AJ58" s="609">
        <v>21000000</v>
      </c>
      <c r="AK58" s="875">
        <f t="shared" si="11"/>
        <v>0</v>
      </c>
      <c r="AL58" s="820"/>
      <c r="AM58" s="302">
        <f t="shared" si="12"/>
        <v>0</v>
      </c>
    </row>
    <row r="59" spans="1:39" s="610" customFormat="1">
      <c r="A59" s="86" t="s">
        <v>58</v>
      </c>
      <c r="B59" s="797">
        <f t="shared" si="13"/>
        <v>23000000</v>
      </c>
      <c r="C59" s="85" t="s">
        <v>36</v>
      </c>
      <c r="D59" s="85" t="s">
        <v>824</v>
      </c>
      <c r="E59" s="85" t="s">
        <v>822</v>
      </c>
      <c r="F59" s="85" t="s">
        <v>822</v>
      </c>
      <c r="G59" s="85" t="s">
        <v>55</v>
      </c>
      <c r="H59" s="2072" t="s">
        <v>1641</v>
      </c>
      <c r="I59" s="1329">
        <v>573</v>
      </c>
      <c r="J59" s="806">
        <v>574</v>
      </c>
      <c r="K59" s="228">
        <v>23000000</v>
      </c>
      <c r="L59" s="607">
        <v>663</v>
      </c>
      <c r="M59" s="608">
        <v>23000000</v>
      </c>
      <c r="N59" s="607">
        <v>837</v>
      </c>
      <c r="O59" s="154">
        <v>23000000</v>
      </c>
      <c r="P59" s="231">
        <v>462</v>
      </c>
      <c r="Q59" s="233"/>
      <c r="R59" s="153"/>
      <c r="S59" s="153"/>
      <c r="T59" s="153"/>
      <c r="U59" s="153"/>
      <c r="V59" s="153"/>
      <c r="W59" s="153"/>
      <c r="X59" s="153"/>
      <c r="Y59" s="153"/>
      <c r="Z59" s="153">
        <v>23000000</v>
      </c>
      <c r="AA59" s="153"/>
      <c r="AB59" s="153"/>
      <c r="AC59" s="182">
        <f t="shared" ref="AC59:AC64" si="15">SUM(Q59:AB59)</f>
        <v>23000000</v>
      </c>
      <c r="AD59" s="391">
        <f t="shared" si="9"/>
        <v>0</v>
      </c>
      <c r="AF59" s="868">
        <v>573</v>
      </c>
      <c r="AG59" s="743" t="s">
        <v>1220</v>
      </c>
      <c r="AH59" s="268" t="s">
        <v>1282</v>
      </c>
      <c r="AI59" s="799">
        <f t="shared" si="10"/>
        <v>462</v>
      </c>
      <c r="AJ59" s="609">
        <v>23000000</v>
      </c>
      <c r="AK59" s="875">
        <f t="shared" si="11"/>
        <v>0</v>
      </c>
      <c r="AL59" s="820"/>
      <c r="AM59" s="302">
        <f t="shared" si="12"/>
        <v>0</v>
      </c>
    </row>
    <row r="60" spans="1:39" s="610" customFormat="1">
      <c r="A60" s="86" t="s">
        <v>58</v>
      </c>
      <c r="B60" s="797">
        <f t="shared" si="13"/>
        <v>0</v>
      </c>
      <c r="C60" s="85" t="s">
        <v>36</v>
      </c>
      <c r="D60" s="85" t="s">
        <v>824</v>
      </c>
      <c r="E60" s="85" t="s">
        <v>822</v>
      </c>
      <c r="F60" s="85" t="s">
        <v>822</v>
      </c>
      <c r="G60" s="85" t="s">
        <v>55</v>
      </c>
      <c r="H60" s="2072" t="s">
        <v>1641</v>
      </c>
      <c r="I60" s="1329">
        <v>574</v>
      </c>
      <c r="J60" s="806">
        <v>675</v>
      </c>
      <c r="K60" s="228">
        <v>7000000</v>
      </c>
      <c r="L60" s="607">
        <v>770</v>
      </c>
      <c r="M60" s="608">
        <f>7000000-7000000</f>
        <v>0</v>
      </c>
      <c r="N60" s="607"/>
      <c r="O60" s="154"/>
      <c r="P60" s="231"/>
      <c r="Q60" s="233"/>
      <c r="R60" s="153"/>
      <c r="S60" s="153"/>
      <c r="T60" s="153"/>
      <c r="U60" s="153"/>
      <c r="V60" s="153"/>
      <c r="W60" s="153"/>
      <c r="X60" s="153"/>
      <c r="Y60" s="153"/>
      <c r="Z60" s="153"/>
      <c r="AA60" s="153"/>
      <c r="AB60" s="153"/>
      <c r="AC60" s="182">
        <f t="shared" si="15"/>
        <v>0</v>
      </c>
      <c r="AD60" s="391">
        <f t="shared" si="9"/>
        <v>0</v>
      </c>
      <c r="AF60" s="868">
        <v>574</v>
      </c>
      <c r="AG60" s="743" t="s">
        <v>1221</v>
      </c>
      <c r="AH60" s="268"/>
      <c r="AI60" s="799">
        <f t="shared" si="10"/>
        <v>0</v>
      </c>
      <c r="AJ60" s="609">
        <f>11000000-11000000</f>
        <v>0</v>
      </c>
      <c r="AK60" s="875">
        <f t="shared" si="11"/>
        <v>0</v>
      </c>
      <c r="AL60" s="820"/>
      <c r="AM60" s="302">
        <f t="shared" si="12"/>
        <v>0</v>
      </c>
    </row>
    <row r="61" spans="1:39" s="610" customFormat="1">
      <c r="A61" s="86" t="s">
        <v>58</v>
      </c>
      <c r="B61" s="797">
        <f t="shared" si="13"/>
        <v>9000140</v>
      </c>
      <c r="C61" s="85" t="s">
        <v>36</v>
      </c>
      <c r="D61" s="85" t="s">
        <v>824</v>
      </c>
      <c r="E61" s="85" t="s">
        <v>822</v>
      </c>
      <c r="F61" s="85" t="s">
        <v>822</v>
      </c>
      <c r="G61" s="85" t="s">
        <v>55</v>
      </c>
      <c r="H61" s="2072" t="s">
        <v>1641</v>
      </c>
      <c r="I61" s="1329">
        <v>575</v>
      </c>
      <c r="J61" s="806">
        <v>579</v>
      </c>
      <c r="K61" s="228">
        <v>15976464</v>
      </c>
      <c r="L61" s="607">
        <v>668</v>
      </c>
      <c r="M61" s="608">
        <f>15976464-6976324</f>
        <v>9000140</v>
      </c>
      <c r="N61" s="607">
        <v>839</v>
      </c>
      <c r="O61" s="154">
        <v>9000140</v>
      </c>
      <c r="P61" s="231">
        <v>463</v>
      </c>
      <c r="Q61" s="233"/>
      <c r="R61" s="153"/>
      <c r="S61" s="153"/>
      <c r="T61" s="153"/>
      <c r="U61" s="153"/>
      <c r="V61" s="153"/>
      <c r="W61" s="153"/>
      <c r="X61" s="153"/>
      <c r="Y61" s="153"/>
      <c r="Z61" s="153"/>
      <c r="AA61" s="153">
        <v>9000140</v>
      </c>
      <c r="AB61" s="153"/>
      <c r="AC61" s="182">
        <f t="shared" si="15"/>
        <v>9000140</v>
      </c>
      <c r="AD61" s="391">
        <f t="shared" si="9"/>
        <v>0</v>
      </c>
      <c r="AF61" s="868">
        <v>575</v>
      </c>
      <c r="AG61" s="743" t="s">
        <v>1222</v>
      </c>
      <c r="AH61" s="268" t="s">
        <v>1281</v>
      </c>
      <c r="AI61" s="799">
        <f t="shared" si="10"/>
        <v>463</v>
      </c>
      <c r="AJ61" s="609">
        <f>16000000-6999860</f>
        <v>9000140</v>
      </c>
      <c r="AK61" s="875">
        <f t="shared" si="11"/>
        <v>0</v>
      </c>
      <c r="AL61" s="820"/>
      <c r="AM61" s="302">
        <f t="shared" si="12"/>
        <v>0</v>
      </c>
    </row>
    <row r="62" spans="1:39" s="610" customFormat="1">
      <c r="A62" s="86" t="s">
        <v>58</v>
      </c>
      <c r="B62" s="797">
        <f t="shared" si="13"/>
        <v>3969624</v>
      </c>
      <c r="C62" s="85" t="s">
        <v>36</v>
      </c>
      <c r="D62" s="85" t="s">
        <v>824</v>
      </c>
      <c r="E62" s="85" t="s">
        <v>822</v>
      </c>
      <c r="F62" s="85" t="s">
        <v>822</v>
      </c>
      <c r="G62" s="85" t="s">
        <v>55</v>
      </c>
      <c r="H62" s="2072" t="s">
        <v>1641</v>
      </c>
      <c r="I62" s="1329">
        <v>576</v>
      </c>
      <c r="J62" s="806">
        <v>581</v>
      </c>
      <c r="K62" s="228">
        <v>4271550</v>
      </c>
      <c r="L62" s="607">
        <v>669</v>
      </c>
      <c r="M62" s="228">
        <f>4271550-301926</f>
        <v>3969624</v>
      </c>
      <c r="N62" s="607">
        <v>869</v>
      </c>
      <c r="O62" s="154">
        <v>3969624</v>
      </c>
      <c r="P62" s="231">
        <v>470</v>
      </c>
      <c r="Q62" s="233"/>
      <c r="R62" s="153"/>
      <c r="S62" s="153"/>
      <c r="T62" s="153"/>
      <c r="U62" s="153"/>
      <c r="V62" s="153"/>
      <c r="W62" s="153"/>
      <c r="X62" s="153"/>
      <c r="Y62" s="153"/>
      <c r="Z62" s="153"/>
      <c r="AA62" s="153"/>
      <c r="AB62" s="153">
        <v>3969624</v>
      </c>
      <c r="AC62" s="182">
        <f t="shared" si="15"/>
        <v>3969624</v>
      </c>
      <c r="AD62" s="391">
        <f t="shared" si="9"/>
        <v>0</v>
      </c>
      <c r="AF62" s="868">
        <v>576</v>
      </c>
      <c r="AG62" s="743" t="s">
        <v>1223</v>
      </c>
      <c r="AH62" s="268" t="s">
        <v>1358</v>
      </c>
      <c r="AI62" s="799">
        <f t="shared" si="10"/>
        <v>470</v>
      </c>
      <c r="AJ62" s="609">
        <f>15000000-11030376</f>
        <v>3969624</v>
      </c>
      <c r="AK62" s="875">
        <f t="shared" si="11"/>
        <v>0</v>
      </c>
      <c r="AL62" s="820"/>
      <c r="AM62" s="302">
        <f t="shared" si="12"/>
        <v>0</v>
      </c>
    </row>
    <row r="63" spans="1:39" s="610" customFormat="1">
      <c r="A63" s="86" t="s">
        <v>58</v>
      </c>
      <c r="B63" s="797">
        <f t="shared" si="13"/>
        <v>26037200</v>
      </c>
      <c r="C63" s="85" t="s">
        <v>36</v>
      </c>
      <c r="D63" s="85" t="s">
        <v>824</v>
      </c>
      <c r="E63" s="85" t="s">
        <v>822</v>
      </c>
      <c r="F63" s="85" t="s">
        <v>822</v>
      </c>
      <c r="G63" s="85" t="s">
        <v>55</v>
      </c>
      <c r="H63" s="2072" t="s">
        <v>1641</v>
      </c>
      <c r="I63" s="1329">
        <v>577</v>
      </c>
      <c r="J63" s="806">
        <v>588</v>
      </c>
      <c r="K63" s="228">
        <v>27000000</v>
      </c>
      <c r="L63" s="607">
        <v>672</v>
      </c>
      <c r="M63" s="608">
        <f>27000000-962800</f>
        <v>26037200</v>
      </c>
      <c r="N63" s="607">
        <v>872</v>
      </c>
      <c r="O63" s="154">
        <v>26037200</v>
      </c>
      <c r="P63" s="231">
        <v>472</v>
      </c>
      <c r="Q63" s="233"/>
      <c r="R63" s="153"/>
      <c r="S63" s="153"/>
      <c r="T63" s="153"/>
      <c r="U63" s="153"/>
      <c r="V63" s="153"/>
      <c r="W63" s="153"/>
      <c r="X63" s="153"/>
      <c r="Y63" s="153"/>
      <c r="Z63" s="153"/>
      <c r="AA63" s="153"/>
      <c r="AB63" s="153">
        <v>26037200</v>
      </c>
      <c r="AC63" s="182">
        <f t="shared" si="15"/>
        <v>26037200</v>
      </c>
      <c r="AD63" s="391">
        <f t="shared" si="9"/>
        <v>0</v>
      </c>
      <c r="AF63" s="868">
        <v>577</v>
      </c>
      <c r="AG63" s="743" t="s">
        <v>1224</v>
      </c>
      <c r="AH63" s="268" t="s">
        <v>1359</v>
      </c>
      <c r="AI63" s="799">
        <f t="shared" si="10"/>
        <v>472</v>
      </c>
      <c r="AJ63" s="609">
        <f>27000000-962800</f>
        <v>26037200</v>
      </c>
      <c r="AK63" s="875">
        <f t="shared" si="11"/>
        <v>0</v>
      </c>
      <c r="AL63" s="820"/>
      <c r="AM63" s="302">
        <f t="shared" si="12"/>
        <v>0</v>
      </c>
    </row>
    <row r="64" spans="1:39" s="610" customFormat="1">
      <c r="A64" s="86" t="s">
        <v>58</v>
      </c>
      <c r="B64" s="797">
        <f t="shared" si="13"/>
        <v>23290000</v>
      </c>
      <c r="C64" s="85" t="s">
        <v>36</v>
      </c>
      <c r="D64" s="85" t="s">
        <v>824</v>
      </c>
      <c r="E64" s="85" t="s">
        <v>822</v>
      </c>
      <c r="F64" s="85" t="s">
        <v>822</v>
      </c>
      <c r="G64" s="85" t="s">
        <v>55</v>
      </c>
      <c r="H64" s="2072" t="s">
        <v>1641</v>
      </c>
      <c r="I64" s="1329">
        <v>604</v>
      </c>
      <c r="J64" s="806">
        <v>685</v>
      </c>
      <c r="K64" s="228">
        <v>23313438</v>
      </c>
      <c r="L64" s="607">
        <v>781</v>
      </c>
      <c r="M64" s="608">
        <f>23313438-23438</f>
        <v>23290000</v>
      </c>
      <c r="N64" s="607">
        <v>1134</v>
      </c>
      <c r="O64" s="154">
        <v>23290000</v>
      </c>
      <c r="P64" s="231">
        <v>509</v>
      </c>
      <c r="Q64" s="233"/>
      <c r="R64" s="153"/>
      <c r="S64" s="153"/>
      <c r="T64" s="153"/>
      <c r="U64" s="153"/>
      <c r="V64" s="153"/>
      <c r="W64" s="153"/>
      <c r="X64" s="153"/>
      <c r="Y64" s="153"/>
      <c r="Z64" s="153"/>
      <c r="AA64" s="153"/>
      <c r="AB64" s="153"/>
      <c r="AC64" s="182">
        <f t="shared" si="15"/>
        <v>0</v>
      </c>
      <c r="AD64" s="391">
        <f t="shared" si="9"/>
        <v>23290000</v>
      </c>
      <c r="AF64" s="868">
        <v>604</v>
      </c>
      <c r="AG64" s="743" t="s">
        <v>1295</v>
      </c>
      <c r="AH64" s="268" t="s">
        <v>1595</v>
      </c>
      <c r="AI64" s="799">
        <f t="shared" si="10"/>
        <v>509</v>
      </c>
      <c r="AJ64" s="609">
        <f>26000000-2686562</f>
        <v>23313438</v>
      </c>
      <c r="AK64" s="875">
        <f t="shared" si="11"/>
        <v>23438</v>
      </c>
      <c r="AL64" s="820"/>
      <c r="AM64" s="302">
        <f t="shared" si="12"/>
        <v>23438</v>
      </c>
    </row>
    <row r="65" spans="1:39" s="610" customFormat="1">
      <c r="A65" s="86" t="s">
        <v>58</v>
      </c>
      <c r="B65" s="797">
        <f t="shared" si="13"/>
        <v>0</v>
      </c>
      <c r="C65" s="85" t="s">
        <v>36</v>
      </c>
      <c r="D65" s="85" t="s">
        <v>824</v>
      </c>
      <c r="E65" s="85" t="s">
        <v>822</v>
      </c>
      <c r="F65" s="85" t="s">
        <v>822</v>
      </c>
      <c r="G65" s="85" t="s">
        <v>55</v>
      </c>
      <c r="H65" s="2072" t="s">
        <v>1641</v>
      </c>
      <c r="I65" s="980" t="s">
        <v>173</v>
      </c>
      <c r="J65" s="806">
        <v>0</v>
      </c>
      <c r="K65" s="764"/>
      <c r="L65" s="607"/>
      <c r="M65" s="807"/>
      <c r="N65" s="808"/>
      <c r="O65" s="153"/>
      <c r="P65" s="231"/>
      <c r="Q65" s="233"/>
      <c r="R65" s="153"/>
      <c r="S65" s="153"/>
      <c r="T65" s="153"/>
      <c r="U65" s="153"/>
      <c r="V65" s="153"/>
      <c r="W65" s="153"/>
      <c r="X65" s="153"/>
      <c r="Y65" s="153"/>
      <c r="Z65" s="153"/>
      <c r="AA65" s="153"/>
      <c r="AB65" s="153"/>
      <c r="AC65" s="182">
        <f t="shared" si="14"/>
        <v>0</v>
      </c>
      <c r="AD65" s="391">
        <f t="shared" si="9"/>
        <v>0</v>
      </c>
      <c r="AF65" s="869" t="s">
        <v>325</v>
      </c>
      <c r="AG65" s="743" t="s">
        <v>493</v>
      </c>
      <c r="AH65" s="743"/>
      <c r="AI65" s="799">
        <f t="shared" si="10"/>
        <v>0</v>
      </c>
      <c r="AJ65" s="609">
        <f>17518046-17518046+21341984+20014307-26000000-15356291</f>
        <v>0</v>
      </c>
      <c r="AK65" s="875">
        <f t="shared" si="11"/>
        <v>0</v>
      </c>
      <c r="AL65" s="820"/>
      <c r="AM65" s="302">
        <f t="shared" si="12"/>
        <v>0</v>
      </c>
    </row>
    <row r="66" spans="1:39" s="8" customFormat="1">
      <c r="A66" s="168" t="s">
        <v>24</v>
      </c>
      <c r="B66" s="265">
        <f>B46-SUM(B47:B65)</f>
        <v>23458</v>
      </c>
      <c r="C66" s="84"/>
      <c r="D66" s="84"/>
      <c r="E66" s="84"/>
      <c r="F66" s="84"/>
      <c r="G66" s="84"/>
      <c r="H66" s="2074"/>
      <c r="I66" s="945"/>
      <c r="J66" s="206"/>
      <c r="K66" s="1447"/>
      <c r="L66" s="101"/>
      <c r="M66" s="142">
        <f>SUM(M47:M65)</f>
        <v>280116365</v>
      </c>
      <c r="N66" s="101"/>
      <c r="O66" s="142">
        <f>SUM(O47:O65)</f>
        <v>280116365</v>
      </c>
      <c r="P66" s="237"/>
      <c r="Q66" s="142">
        <f t="shared" ref="Q66:AD66" si="16">SUM(Q47:Q65)</f>
        <v>0</v>
      </c>
      <c r="R66" s="142">
        <f t="shared" si="16"/>
        <v>0</v>
      </c>
      <c r="S66" s="142">
        <f t="shared" si="16"/>
        <v>4986695</v>
      </c>
      <c r="T66" s="142">
        <f t="shared" si="16"/>
        <v>5280030</v>
      </c>
      <c r="U66" s="142">
        <f t="shared" si="16"/>
        <v>5280030</v>
      </c>
      <c r="V66" s="142">
        <f t="shared" si="16"/>
        <v>0</v>
      </c>
      <c r="W66" s="142">
        <f t="shared" si="16"/>
        <v>3813245</v>
      </c>
      <c r="X66" s="142">
        <f t="shared" si="16"/>
        <v>81481954</v>
      </c>
      <c r="Y66" s="142">
        <f t="shared" si="16"/>
        <v>21916524</v>
      </c>
      <c r="Z66" s="142">
        <f t="shared" si="16"/>
        <v>25163576</v>
      </c>
      <c r="AA66" s="142">
        <f t="shared" si="16"/>
        <v>14274101</v>
      </c>
      <c r="AB66" s="142">
        <f t="shared" si="16"/>
        <v>47257229</v>
      </c>
      <c r="AC66" s="142">
        <f t="shared" si="16"/>
        <v>209453384</v>
      </c>
      <c r="AD66" s="142">
        <f t="shared" si="16"/>
        <v>70662981</v>
      </c>
      <c r="AF66" s="852"/>
      <c r="AG66" s="14"/>
      <c r="AH66" s="14"/>
      <c r="AI66" s="101"/>
      <c r="AJ66" s="14">
        <f>SUM(AJ47:AJ65)</f>
        <v>280139823</v>
      </c>
      <c r="AK66" s="181">
        <f>SUM(AK47:AK65)</f>
        <v>23458</v>
      </c>
      <c r="AL66" s="820">
        <f>B46-AJ66</f>
        <v>0</v>
      </c>
    </row>
    <row r="67" spans="1:39" s="8" customFormat="1" ht="25.5" customHeight="1">
      <c r="A67" s="747" t="s">
        <v>58</v>
      </c>
      <c r="B67" s="487">
        <f>140000000-35394602</f>
        <v>104605398</v>
      </c>
      <c r="C67" s="1296" t="s">
        <v>36</v>
      </c>
      <c r="D67" s="1296" t="s">
        <v>825</v>
      </c>
      <c r="E67" s="1296" t="s">
        <v>53</v>
      </c>
      <c r="F67" s="1296" t="s">
        <v>57</v>
      </c>
      <c r="G67" s="1296" t="s">
        <v>55</v>
      </c>
      <c r="H67" s="2110" t="s">
        <v>1641</v>
      </c>
      <c r="I67" s="967"/>
      <c r="J67" s="373">
        <v>0</v>
      </c>
      <c r="K67" s="1448"/>
      <c r="L67" s="456"/>
      <c r="M67" s="374"/>
      <c r="N67" s="456"/>
      <c r="O67" s="336"/>
      <c r="P67" s="375"/>
      <c r="Q67" s="340"/>
      <c r="R67" s="336"/>
      <c r="S67" s="336"/>
      <c r="T67" s="336"/>
      <c r="U67" s="336"/>
      <c r="V67" s="336"/>
      <c r="W67" s="336"/>
      <c r="X67" s="336"/>
      <c r="Y67" s="336"/>
      <c r="Z67" s="336"/>
      <c r="AA67" s="336"/>
      <c r="AB67" s="336"/>
      <c r="AC67" s="342"/>
      <c r="AD67" s="393"/>
      <c r="AF67" s="869"/>
      <c r="AG67" s="252"/>
      <c r="AH67" s="252"/>
      <c r="AI67" s="799"/>
      <c r="AJ67" s="304"/>
      <c r="AK67" s="871"/>
      <c r="AL67" s="820"/>
    </row>
    <row r="68" spans="1:39" s="610" customFormat="1">
      <c r="A68" s="86" t="s">
        <v>58</v>
      </c>
      <c r="B68" s="1904">
        <f t="shared" ref="B68:B73" si="17">M68</f>
        <v>44940639</v>
      </c>
      <c r="C68" s="85" t="s">
        <v>36</v>
      </c>
      <c r="D68" s="85" t="s">
        <v>825</v>
      </c>
      <c r="E68" s="85" t="s">
        <v>822</v>
      </c>
      <c r="F68" s="85" t="s">
        <v>822</v>
      </c>
      <c r="G68" s="85" t="s">
        <v>55</v>
      </c>
      <c r="H68" s="2072" t="s">
        <v>1641</v>
      </c>
      <c r="I68" s="798">
        <v>167</v>
      </c>
      <c r="J68" s="806">
        <v>644</v>
      </c>
      <c r="K68" s="228">
        <v>50000000</v>
      </c>
      <c r="L68" s="992">
        <v>727</v>
      </c>
      <c r="M68" s="608">
        <f>50000000-5059361</f>
        <v>44940639</v>
      </c>
      <c r="N68" s="607">
        <v>928</v>
      </c>
      <c r="O68" s="153">
        <v>44940639</v>
      </c>
      <c r="P68" s="231">
        <v>484</v>
      </c>
      <c r="Q68" s="233"/>
      <c r="R68" s="153"/>
      <c r="S68" s="153"/>
      <c r="T68" s="153"/>
      <c r="U68" s="153"/>
      <c r="V68" s="153"/>
      <c r="W68" s="153"/>
      <c r="X68" s="153"/>
      <c r="Y68" s="153"/>
      <c r="Z68" s="153"/>
      <c r="AA68" s="153"/>
      <c r="AB68" s="153">
        <v>44940639</v>
      </c>
      <c r="AC68" s="182">
        <f t="shared" ref="AC68:AC73" si="18">SUM(Q68:AB68)</f>
        <v>44940639</v>
      </c>
      <c r="AD68" s="391">
        <f t="shared" ref="AD68:AD73" si="19">O68-AC68</f>
        <v>0</v>
      </c>
      <c r="AF68" s="869">
        <v>167</v>
      </c>
      <c r="AG68" s="743" t="s">
        <v>335</v>
      </c>
      <c r="AH68" s="351" t="s">
        <v>1370</v>
      </c>
      <c r="AI68" s="799">
        <f t="shared" ref="AI68:AI73" si="20">P68</f>
        <v>484</v>
      </c>
      <c r="AJ68" s="609">
        <f>50000000-5059361</f>
        <v>44940639</v>
      </c>
      <c r="AK68" s="875">
        <f t="shared" ref="AK68:AK73" si="21">AJ68-O68</f>
        <v>0</v>
      </c>
      <c r="AL68" s="820"/>
      <c r="AM68" s="302">
        <f t="shared" ref="AM68:AM73" si="22">AJ68-M68</f>
        <v>0</v>
      </c>
    </row>
    <row r="69" spans="1:39" s="610" customFormat="1">
      <c r="A69" s="86" t="s">
        <v>58</v>
      </c>
      <c r="B69" s="1904">
        <f t="shared" si="17"/>
        <v>33013623</v>
      </c>
      <c r="C69" s="85" t="s">
        <v>36</v>
      </c>
      <c r="D69" s="85" t="s">
        <v>825</v>
      </c>
      <c r="E69" s="85" t="s">
        <v>822</v>
      </c>
      <c r="F69" s="85" t="s">
        <v>822</v>
      </c>
      <c r="G69" s="85" t="s">
        <v>55</v>
      </c>
      <c r="H69" s="2072" t="s">
        <v>1641</v>
      </c>
      <c r="I69" s="798">
        <v>204</v>
      </c>
      <c r="J69" s="806">
        <v>0</v>
      </c>
      <c r="K69" s="228"/>
      <c r="L69" s="606">
        <v>438</v>
      </c>
      <c r="M69" s="608">
        <f>39033167-39033167+33563167-549544</f>
        <v>33013623</v>
      </c>
      <c r="N69" s="607">
        <v>572</v>
      </c>
      <c r="O69" s="153">
        <v>33013623</v>
      </c>
      <c r="P69" s="231">
        <v>367</v>
      </c>
      <c r="Q69" s="233"/>
      <c r="R69" s="153"/>
      <c r="S69" s="153"/>
      <c r="T69" s="153"/>
      <c r="U69" s="153"/>
      <c r="V69" s="153">
        <v>33013623</v>
      </c>
      <c r="W69" s="153"/>
      <c r="X69" s="153"/>
      <c r="Y69" s="153"/>
      <c r="Z69" s="153"/>
      <c r="AA69" s="153"/>
      <c r="AB69" s="153"/>
      <c r="AC69" s="182">
        <f t="shared" si="18"/>
        <v>33013623</v>
      </c>
      <c r="AD69" s="391">
        <f t="shared" si="19"/>
        <v>0</v>
      </c>
      <c r="AF69" s="869">
        <v>204</v>
      </c>
      <c r="AG69" s="743" t="s">
        <v>336</v>
      </c>
      <c r="AH69" s="351" t="s">
        <v>1028</v>
      </c>
      <c r="AI69" s="799">
        <f t="shared" si="20"/>
        <v>367</v>
      </c>
      <c r="AJ69" s="609">
        <f>50000000-10930000-5454483-601894</f>
        <v>33013623</v>
      </c>
      <c r="AK69" s="875">
        <f t="shared" si="21"/>
        <v>0</v>
      </c>
      <c r="AL69" s="820"/>
      <c r="AM69" s="302">
        <f t="shared" si="22"/>
        <v>0</v>
      </c>
    </row>
    <row r="70" spans="1:39" s="610" customFormat="1">
      <c r="A70" s="86" t="s">
        <v>58</v>
      </c>
      <c r="B70" s="1904">
        <f t="shared" si="17"/>
        <v>10271136</v>
      </c>
      <c r="C70" s="85" t="s">
        <v>36</v>
      </c>
      <c r="D70" s="85" t="s">
        <v>825</v>
      </c>
      <c r="E70" s="85" t="s">
        <v>822</v>
      </c>
      <c r="F70" s="85" t="s">
        <v>822</v>
      </c>
      <c r="G70" s="85" t="s">
        <v>55</v>
      </c>
      <c r="H70" s="2072" t="s">
        <v>1641</v>
      </c>
      <c r="I70" s="798">
        <v>205</v>
      </c>
      <c r="J70" s="806">
        <v>0</v>
      </c>
      <c r="K70" s="228"/>
      <c r="L70" s="992">
        <v>465</v>
      </c>
      <c r="M70" s="608">
        <f>13296150-3025014</f>
        <v>10271136</v>
      </c>
      <c r="N70" s="607">
        <v>734</v>
      </c>
      <c r="O70" s="153">
        <v>10271136</v>
      </c>
      <c r="P70" s="231">
        <v>427</v>
      </c>
      <c r="Q70" s="233"/>
      <c r="R70" s="153"/>
      <c r="S70" s="153"/>
      <c r="T70" s="153"/>
      <c r="U70" s="153"/>
      <c r="V70" s="153"/>
      <c r="W70" s="153"/>
      <c r="X70" s="153"/>
      <c r="Y70" s="153">
        <v>10271136</v>
      </c>
      <c r="Z70" s="153"/>
      <c r="AA70" s="153"/>
      <c r="AB70" s="153"/>
      <c r="AC70" s="182">
        <f t="shared" si="18"/>
        <v>10271136</v>
      </c>
      <c r="AD70" s="391">
        <f t="shared" si="19"/>
        <v>0</v>
      </c>
      <c r="AF70" s="869">
        <v>205</v>
      </c>
      <c r="AG70" s="743" t="s">
        <v>310</v>
      </c>
      <c r="AH70" s="351" t="s">
        <v>1183</v>
      </c>
      <c r="AI70" s="1860">
        <f t="shared" si="20"/>
        <v>427</v>
      </c>
      <c r="AJ70" s="609">
        <f>40000000-29728864</f>
        <v>10271136</v>
      </c>
      <c r="AK70" s="875">
        <f t="shared" si="21"/>
        <v>0</v>
      </c>
      <c r="AL70" s="820"/>
      <c r="AM70" s="302">
        <f t="shared" si="22"/>
        <v>0</v>
      </c>
    </row>
    <row r="71" spans="1:39" s="610" customFormat="1">
      <c r="A71" s="86" t="s">
        <v>58</v>
      </c>
      <c r="B71" s="1904">
        <f t="shared" si="17"/>
        <v>10930000</v>
      </c>
      <c r="C71" s="85" t="s">
        <v>36</v>
      </c>
      <c r="D71" s="85" t="s">
        <v>825</v>
      </c>
      <c r="E71" s="85" t="s">
        <v>822</v>
      </c>
      <c r="F71" s="85" t="s">
        <v>822</v>
      </c>
      <c r="G71" s="85" t="s">
        <v>55</v>
      </c>
      <c r="H71" s="2072" t="s">
        <v>1641</v>
      </c>
      <c r="I71" s="798" t="s">
        <v>325</v>
      </c>
      <c r="J71" s="806"/>
      <c r="K71" s="228"/>
      <c r="L71" s="992">
        <v>337</v>
      </c>
      <c r="M71" s="608">
        <v>10930000</v>
      </c>
      <c r="N71" s="607">
        <v>326</v>
      </c>
      <c r="O71" s="153">
        <v>10930000</v>
      </c>
      <c r="P71" s="1190" t="s">
        <v>765</v>
      </c>
      <c r="Q71" s="233"/>
      <c r="R71" s="153"/>
      <c r="S71" s="153"/>
      <c r="T71" s="153"/>
      <c r="U71" s="153"/>
      <c r="V71" s="153">
        <v>10930000</v>
      </c>
      <c r="W71" s="153"/>
      <c r="X71" s="153"/>
      <c r="Y71" s="153"/>
      <c r="Z71" s="153"/>
      <c r="AA71" s="153"/>
      <c r="AB71" s="153"/>
      <c r="AC71" s="182">
        <f t="shared" si="18"/>
        <v>10930000</v>
      </c>
      <c r="AD71" s="391">
        <f t="shared" si="19"/>
        <v>0</v>
      </c>
      <c r="AF71" s="869" t="s">
        <v>325</v>
      </c>
      <c r="AG71" s="743" t="s">
        <v>761</v>
      </c>
      <c r="AH71" s="351" t="s">
        <v>781</v>
      </c>
      <c r="AI71" s="1860" t="str">
        <f t="shared" si="20"/>
        <v>295/2018</v>
      </c>
      <c r="AJ71" s="609">
        <v>10930000</v>
      </c>
      <c r="AK71" s="875">
        <f t="shared" si="21"/>
        <v>0</v>
      </c>
      <c r="AL71" s="820"/>
      <c r="AM71" s="302">
        <f t="shared" si="22"/>
        <v>0</v>
      </c>
    </row>
    <row r="72" spans="1:39" s="610" customFormat="1">
      <c r="A72" s="86" t="s">
        <v>58</v>
      </c>
      <c r="B72" s="1904">
        <f t="shared" si="17"/>
        <v>5450000</v>
      </c>
      <c r="C72" s="85" t="s">
        <v>36</v>
      </c>
      <c r="D72" s="85" t="s">
        <v>825</v>
      </c>
      <c r="E72" s="85" t="s">
        <v>822</v>
      </c>
      <c r="F72" s="85" t="s">
        <v>822</v>
      </c>
      <c r="G72" s="85" t="s">
        <v>55</v>
      </c>
      <c r="H72" s="2072" t="s">
        <v>1641</v>
      </c>
      <c r="I72" s="1304" t="s">
        <v>325</v>
      </c>
      <c r="J72" s="806">
        <v>0</v>
      </c>
      <c r="K72" s="228"/>
      <c r="L72" s="607">
        <v>431</v>
      </c>
      <c r="M72" s="608">
        <v>5450000</v>
      </c>
      <c r="N72" s="607">
        <v>446</v>
      </c>
      <c r="O72" s="154">
        <v>5450000</v>
      </c>
      <c r="P72" s="1190" t="s">
        <v>765</v>
      </c>
      <c r="Q72" s="233"/>
      <c r="R72" s="153"/>
      <c r="S72" s="153"/>
      <c r="T72" s="153"/>
      <c r="U72" s="153"/>
      <c r="V72" s="153">
        <v>5450000</v>
      </c>
      <c r="W72" s="153"/>
      <c r="X72" s="153"/>
      <c r="Y72" s="153"/>
      <c r="Z72" s="153"/>
      <c r="AA72" s="153"/>
      <c r="AB72" s="153"/>
      <c r="AC72" s="182">
        <f t="shared" si="18"/>
        <v>5450000</v>
      </c>
      <c r="AD72" s="391">
        <f t="shared" si="19"/>
        <v>0</v>
      </c>
      <c r="AF72" s="869" t="s">
        <v>325</v>
      </c>
      <c r="AG72" s="743" t="s">
        <v>761</v>
      </c>
      <c r="AH72" s="351" t="s">
        <v>781</v>
      </c>
      <c r="AI72" s="1860" t="str">
        <f t="shared" si="20"/>
        <v>295/2018</v>
      </c>
      <c r="AJ72" s="609">
        <f>5454483-4483</f>
        <v>5450000</v>
      </c>
      <c r="AK72" s="875">
        <f t="shared" si="21"/>
        <v>0</v>
      </c>
      <c r="AL72" s="820"/>
      <c r="AM72" s="302">
        <f t="shared" si="22"/>
        <v>0</v>
      </c>
    </row>
    <row r="73" spans="1:39" s="610" customFormat="1">
      <c r="A73" s="86" t="s">
        <v>58</v>
      </c>
      <c r="B73" s="1904">
        <f t="shared" si="17"/>
        <v>0</v>
      </c>
      <c r="C73" s="85" t="s">
        <v>36</v>
      </c>
      <c r="D73" s="85" t="s">
        <v>825</v>
      </c>
      <c r="E73" s="85" t="s">
        <v>822</v>
      </c>
      <c r="F73" s="85" t="s">
        <v>822</v>
      </c>
      <c r="G73" s="85" t="s">
        <v>55</v>
      </c>
      <c r="H73" s="2072" t="s">
        <v>1641</v>
      </c>
      <c r="I73" s="1304" t="s">
        <v>173</v>
      </c>
      <c r="J73" s="806">
        <v>0</v>
      </c>
      <c r="K73" s="228"/>
      <c r="L73" s="607"/>
      <c r="M73" s="608"/>
      <c r="N73" s="607"/>
      <c r="O73" s="154"/>
      <c r="P73" s="996"/>
      <c r="Q73" s="233"/>
      <c r="R73" s="153"/>
      <c r="S73" s="153"/>
      <c r="T73" s="153"/>
      <c r="U73" s="153"/>
      <c r="V73" s="153"/>
      <c r="W73" s="153"/>
      <c r="X73" s="153"/>
      <c r="Y73" s="153"/>
      <c r="Z73" s="153"/>
      <c r="AA73" s="153"/>
      <c r="AB73" s="153"/>
      <c r="AC73" s="182">
        <f t="shared" si="18"/>
        <v>0</v>
      </c>
      <c r="AD73" s="391">
        <f t="shared" si="19"/>
        <v>0</v>
      </c>
      <c r="AF73" s="869"/>
      <c r="AG73" s="743"/>
      <c r="AH73" s="351" t="s">
        <v>173</v>
      </c>
      <c r="AI73" s="799">
        <f t="shared" si="20"/>
        <v>0</v>
      </c>
      <c r="AJ73" s="609"/>
      <c r="AK73" s="875">
        <f t="shared" si="21"/>
        <v>0</v>
      </c>
      <c r="AL73" s="820"/>
      <c r="AM73" s="302">
        <f t="shared" si="22"/>
        <v>0</v>
      </c>
    </row>
    <row r="74" spans="1:39" s="8" customFormat="1">
      <c r="A74" s="168" t="s">
        <v>24</v>
      </c>
      <c r="B74" s="265">
        <f>B67-SUM(B68:B73)</f>
        <v>0</v>
      </c>
      <c r="C74" s="84"/>
      <c r="D74" s="84"/>
      <c r="E74" s="84"/>
      <c r="F74" s="84"/>
      <c r="G74" s="84"/>
      <c r="H74" s="2074"/>
      <c r="I74" s="945"/>
      <c r="J74" s="206"/>
      <c r="K74" s="1447"/>
      <c r="L74" s="101"/>
      <c r="M74" s="142">
        <f>SUM(M68:M73)</f>
        <v>104605398</v>
      </c>
      <c r="N74" s="101"/>
      <c r="O74" s="142">
        <f>SUM(O68:O73)</f>
        <v>104605398</v>
      </c>
      <c r="P74" s="237"/>
      <c r="Q74" s="142">
        <f t="shared" ref="Q74:AD74" si="23">SUM(Q68:Q73)</f>
        <v>0</v>
      </c>
      <c r="R74" s="142">
        <f t="shared" si="23"/>
        <v>0</v>
      </c>
      <c r="S74" s="142">
        <f>SUM(S68:S73)</f>
        <v>0</v>
      </c>
      <c r="T74" s="142">
        <f t="shared" si="23"/>
        <v>0</v>
      </c>
      <c r="U74" s="142">
        <f t="shared" si="23"/>
        <v>0</v>
      </c>
      <c r="V74" s="142">
        <f t="shared" si="23"/>
        <v>49393623</v>
      </c>
      <c r="W74" s="142">
        <f t="shared" si="23"/>
        <v>0</v>
      </c>
      <c r="X74" s="142">
        <f t="shared" si="23"/>
        <v>0</v>
      </c>
      <c r="Y74" s="142">
        <f t="shared" si="23"/>
        <v>10271136</v>
      </c>
      <c r="Z74" s="142">
        <f t="shared" si="23"/>
        <v>0</v>
      </c>
      <c r="AA74" s="142">
        <f t="shared" si="23"/>
        <v>0</v>
      </c>
      <c r="AB74" s="142">
        <f t="shared" si="23"/>
        <v>44940639</v>
      </c>
      <c r="AC74" s="142">
        <f t="shared" si="23"/>
        <v>104605398</v>
      </c>
      <c r="AD74" s="142">
        <f t="shared" si="23"/>
        <v>0</v>
      </c>
      <c r="AF74" s="852"/>
      <c r="AG74" s="14"/>
      <c r="AH74" s="14"/>
      <c r="AI74" s="101"/>
      <c r="AJ74" s="14">
        <f>SUM(AJ68:AJ73)</f>
        <v>104605398</v>
      </c>
      <c r="AK74" s="181">
        <f>SUM(AK68:AK73)</f>
        <v>0</v>
      </c>
      <c r="AL74" s="820">
        <f>B67-AJ74</f>
        <v>0</v>
      </c>
    </row>
    <row r="75" spans="1:39" s="6" customFormat="1" ht="27.75" customHeight="1">
      <c r="A75" s="600" t="s">
        <v>117</v>
      </c>
      <c r="B75" s="486">
        <f>267410000+57270000-29452861-7015139-5360000</f>
        <v>282852000</v>
      </c>
      <c r="C75" s="1297" t="s">
        <v>36</v>
      </c>
      <c r="D75" s="1297" t="s">
        <v>826</v>
      </c>
      <c r="E75" s="1297" t="s">
        <v>822</v>
      </c>
      <c r="F75" s="1297" t="s">
        <v>822</v>
      </c>
      <c r="G75" s="1297" t="s">
        <v>55</v>
      </c>
      <c r="H75" s="2111" t="s">
        <v>1641</v>
      </c>
      <c r="I75" s="968"/>
      <c r="J75" s="382">
        <v>0</v>
      </c>
      <c r="K75" s="1449"/>
      <c r="L75" s="457"/>
      <c r="M75" s="377"/>
      <c r="N75" s="457"/>
      <c r="O75" s="378"/>
      <c r="P75" s="379"/>
      <c r="Q75" s="380"/>
      <c r="R75" s="378"/>
      <c r="S75" s="378"/>
      <c r="T75" s="378"/>
      <c r="U75" s="378"/>
      <c r="V75" s="378"/>
      <c r="W75" s="378"/>
      <c r="X75" s="378"/>
      <c r="Y75" s="378"/>
      <c r="Z75" s="378"/>
      <c r="AA75" s="378"/>
      <c r="AB75" s="378"/>
      <c r="AC75" s="381"/>
      <c r="AD75" s="394"/>
      <c r="AF75" s="876"/>
      <c r="AG75" s="251"/>
      <c r="AH75" s="251"/>
      <c r="AI75" s="1041"/>
      <c r="AJ75" s="810"/>
      <c r="AK75" s="864"/>
      <c r="AL75" s="820"/>
    </row>
    <row r="76" spans="1:39" s="813" customFormat="1">
      <c r="A76" s="811" t="s">
        <v>59</v>
      </c>
      <c r="B76" s="1904">
        <f>M76</f>
        <v>43260000</v>
      </c>
      <c r="C76" s="91" t="s">
        <v>36</v>
      </c>
      <c r="D76" s="91" t="s">
        <v>826</v>
      </c>
      <c r="E76" s="91" t="s">
        <v>822</v>
      </c>
      <c r="F76" s="91" t="s">
        <v>822</v>
      </c>
      <c r="G76" s="91" t="s">
        <v>55</v>
      </c>
      <c r="H76" s="2112" t="s">
        <v>1641</v>
      </c>
      <c r="I76" s="2102">
        <v>123</v>
      </c>
      <c r="J76" s="806">
        <v>0</v>
      </c>
      <c r="K76" s="234"/>
      <c r="L76" s="992">
        <v>100</v>
      </c>
      <c r="M76" s="608">
        <f>45320000-2060000</f>
        <v>43260000</v>
      </c>
      <c r="N76" s="498">
        <v>266</v>
      </c>
      <c r="O76" s="154">
        <v>43260000</v>
      </c>
      <c r="P76" s="996">
        <v>235</v>
      </c>
      <c r="Q76" s="234"/>
      <c r="R76" s="153"/>
      <c r="S76" s="153">
        <v>2746666</v>
      </c>
      <c r="T76" s="153">
        <f>VLOOKUP(N76,[7]Hoja2!N$132:T$199,7,0)</f>
        <v>4120000</v>
      </c>
      <c r="U76" s="153">
        <v>4120000</v>
      </c>
      <c r="V76" s="153">
        <v>4120000</v>
      </c>
      <c r="W76" s="153">
        <v>4120000</v>
      </c>
      <c r="X76" s="153">
        <f>2884000+1236000</f>
        <v>4120000</v>
      </c>
      <c r="Y76" s="153">
        <v>4120000</v>
      </c>
      <c r="Z76" s="153">
        <v>4120000</v>
      </c>
      <c r="AA76" s="153">
        <v>4120000</v>
      </c>
      <c r="AB76" s="153">
        <f>4120000+3433334</f>
        <v>7553334</v>
      </c>
      <c r="AC76" s="182">
        <f>SUM(Q76:AB76)</f>
        <v>43260000</v>
      </c>
      <c r="AD76" s="391">
        <f t="shared" ref="AD76:AD86" si="24">O76-AC76</f>
        <v>0</v>
      </c>
      <c r="AF76" s="877" t="s">
        <v>1275</v>
      </c>
      <c r="AG76" s="833" t="s">
        <v>337</v>
      </c>
      <c r="AH76" s="1908" t="s">
        <v>1461</v>
      </c>
      <c r="AI76" s="799">
        <f t="shared" ref="AI76:AI86" si="25">P76</f>
        <v>235</v>
      </c>
      <c r="AJ76" s="828">
        <f>45320000-4120000+2060000</f>
        <v>43260000</v>
      </c>
      <c r="AK76" s="875">
        <f t="shared" ref="AK76:AK86" si="26">AJ76-O76</f>
        <v>0</v>
      </c>
      <c r="AL76" s="820"/>
      <c r="AM76" s="302">
        <f t="shared" ref="AM76:AM86" si="27">AJ76-M76</f>
        <v>0</v>
      </c>
    </row>
    <row r="77" spans="1:39" s="813" customFormat="1">
      <c r="A77" s="811" t="s">
        <v>59</v>
      </c>
      <c r="B77" s="1904">
        <f t="shared" ref="B77:B86" si="28">M77</f>
        <v>62370000</v>
      </c>
      <c r="C77" s="91" t="s">
        <v>36</v>
      </c>
      <c r="D77" s="91" t="s">
        <v>826</v>
      </c>
      <c r="E77" s="91" t="s">
        <v>822</v>
      </c>
      <c r="F77" s="91" t="s">
        <v>822</v>
      </c>
      <c r="G77" s="91" t="s">
        <v>55</v>
      </c>
      <c r="H77" s="2112" t="s">
        <v>1641</v>
      </c>
      <c r="I77" s="2102">
        <v>131</v>
      </c>
      <c r="J77" s="806">
        <v>0</v>
      </c>
      <c r="K77" s="234"/>
      <c r="L77" s="992">
        <v>101</v>
      </c>
      <c r="M77" s="608">
        <v>62370000</v>
      </c>
      <c r="N77" s="498">
        <v>116</v>
      </c>
      <c r="O77" s="163">
        <v>62370000</v>
      </c>
      <c r="P77" s="231">
        <v>113</v>
      </c>
      <c r="Q77" s="234"/>
      <c r="R77" s="153">
        <v>1512000</v>
      </c>
      <c r="S77" s="153">
        <v>5670000</v>
      </c>
      <c r="T77" s="153">
        <f>VLOOKUP(N77,[7]Hoja2!N$132:T$199,7,0)</f>
        <v>5670000</v>
      </c>
      <c r="U77" s="153">
        <v>5670000</v>
      </c>
      <c r="V77" s="153">
        <v>5670000</v>
      </c>
      <c r="W77" s="153">
        <v>5670000</v>
      </c>
      <c r="X77" s="153">
        <f>1701000+3969000</f>
        <v>5670000</v>
      </c>
      <c r="Y77" s="153">
        <v>5670000</v>
      </c>
      <c r="Z77" s="153">
        <v>5670000</v>
      </c>
      <c r="AA77" s="153">
        <v>5670000</v>
      </c>
      <c r="AB77" s="153">
        <f>5670000+4158000</f>
        <v>9828000</v>
      </c>
      <c r="AC77" s="182">
        <f t="shared" ref="AC77:AC86" si="29">SUM(Q77:AB77)</f>
        <v>62370000</v>
      </c>
      <c r="AD77" s="391">
        <f t="shared" si="24"/>
        <v>0</v>
      </c>
      <c r="AF77" s="877">
        <v>131</v>
      </c>
      <c r="AG77" s="833" t="s">
        <v>338</v>
      </c>
      <c r="AH77" s="268" t="s">
        <v>1460</v>
      </c>
      <c r="AI77" s="799">
        <f t="shared" si="25"/>
        <v>113</v>
      </c>
      <c r="AJ77" s="828">
        <v>62370000</v>
      </c>
      <c r="AK77" s="875">
        <f t="shared" si="26"/>
        <v>0</v>
      </c>
      <c r="AL77" s="820"/>
      <c r="AM77" s="302">
        <f t="shared" si="27"/>
        <v>0</v>
      </c>
    </row>
    <row r="78" spans="1:39" s="813" customFormat="1">
      <c r="A78" s="811" t="s">
        <v>59</v>
      </c>
      <c r="B78" s="1904">
        <f>M78</f>
        <v>7182000</v>
      </c>
      <c r="C78" s="91" t="s">
        <v>36</v>
      </c>
      <c r="D78" s="91" t="s">
        <v>826</v>
      </c>
      <c r="E78" s="91" t="s">
        <v>822</v>
      </c>
      <c r="F78" s="91" t="s">
        <v>822</v>
      </c>
      <c r="G78" s="91" t="s">
        <v>55</v>
      </c>
      <c r="H78" s="2112" t="s">
        <v>1641</v>
      </c>
      <c r="I78" s="2103" t="s">
        <v>325</v>
      </c>
      <c r="J78" s="806">
        <v>845</v>
      </c>
      <c r="K78" s="228">
        <v>7182000</v>
      </c>
      <c r="L78" s="992">
        <v>959</v>
      </c>
      <c r="M78" s="608">
        <v>7182000</v>
      </c>
      <c r="N78" s="498">
        <v>1120</v>
      </c>
      <c r="O78" s="163">
        <v>7182000</v>
      </c>
      <c r="P78" s="231">
        <v>113</v>
      </c>
      <c r="Q78" s="234"/>
      <c r="R78" s="153"/>
      <c r="S78" s="153"/>
      <c r="T78" s="153"/>
      <c r="U78" s="153"/>
      <c r="V78" s="153"/>
      <c r="W78" s="153"/>
      <c r="X78" s="153"/>
      <c r="Y78" s="153"/>
      <c r="Z78" s="153"/>
      <c r="AA78" s="153"/>
      <c r="AB78" s="153">
        <v>1512000</v>
      </c>
      <c r="AC78" s="182">
        <f>SUM(Q78:AB78)</f>
        <v>1512000</v>
      </c>
      <c r="AD78" s="391">
        <f t="shared" si="24"/>
        <v>5670000</v>
      </c>
      <c r="AF78" s="1903" t="s">
        <v>325</v>
      </c>
      <c r="AG78" s="833" t="s">
        <v>1462</v>
      </c>
      <c r="AH78" s="268" t="s">
        <v>660</v>
      </c>
      <c r="AI78" s="799">
        <f t="shared" si="25"/>
        <v>113</v>
      </c>
      <c r="AJ78" s="828">
        <v>7182000</v>
      </c>
      <c r="AK78" s="875">
        <f t="shared" si="26"/>
        <v>0</v>
      </c>
      <c r="AL78" s="820"/>
      <c r="AM78" s="302">
        <f t="shared" si="27"/>
        <v>0</v>
      </c>
    </row>
    <row r="79" spans="1:39" s="813" customFormat="1">
      <c r="A79" s="811" t="s">
        <v>59</v>
      </c>
      <c r="B79" s="1904">
        <f t="shared" si="28"/>
        <v>58960000</v>
      </c>
      <c r="C79" s="91" t="s">
        <v>36</v>
      </c>
      <c r="D79" s="91" t="s">
        <v>826</v>
      </c>
      <c r="E79" s="91" t="s">
        <v>822</v>
      </c>
      <c r="F79" s="91" t="s">
        <v>822</v>
      </c>
      <c r="G79" s="91" t="s">
        <v>55</v>
      </c>
      <c r="H79" s="2112" t="s">
        <v>1641</v>
      </c>
      <c r="I79" s="2102">
        <v>146</v>
      </c>
      <c r="J79" s="806">
        <v>0</v>
      </c>
      <c r="K79" s="234"/>
      <c r="L79" s="992">
        <v>181</v>
      </c>
      <c r="M79" s="608">
        <v>58960000</v>
      </c>
      <c r="N79" s="498">
        <v>178</v>
      </c>
      <c r="O79" s="163">
        <v>58960000</v>
      </c>
      <c r="P79" s="231">
        <v>161</v>
      </c>
      <c r="Q79" s="234"/>
      <c r="R79" s="153"/>
      <c r="S79" s="153">
        <v>5538667</v>
      </c>
      <c r="T79" s="153">
        <f>VLOOKUP(N79,[7]Hoja2!N$132:T$199,7,0)</f>
        <v>5360000</v>
      </c>
      <c r="U79" s="153">
        <v>5360000</v>
      </c>
      <c r="V79" s="153">
        <v>5360000</v>
      </c>
      <c r="W79" s="153">
        <v>5360000</v>
      </c>
      <c r="X79" s="153">
        <v>5360000</v>
      </c>
      <c r="Y79" s="153">
        <v>5360000</v>
      </c>
      <c r="Z79" s="153">
        <v>5360000</v>
      </c>
      <c r="AA79" s="153">
        <v>5360000</v>
      </c>
      <c r="AB79" s="153">
        <f>5360000+5181333</f>
        <v>10541333</v>
      </c>
      <c r="AC79" s="182">
        <f t="shared" si="29"/>
        <v>58960000</v>
      </c>
      <c r="AD79" s="391">
        <f t="shared" si="24"/>
        <v>0</v>
      </c>
      <c r="AF79" s="877">
        <v>146</v>
      </c>
      <c r="AG79" s="833" t="s">
        <v>339</v>
      </c>
      <c r="AH79" s="268" t="s">
        <v>661</v>
      </c>
      <c r="AI79" s="799">
        <f t="shared" si="25"/>
        <v>161</v>
      </c>
      <c r="AJ79" s="828">
        <v>58960000</v>
      </c>
      <c r="AK79" s="875">
        <f t="shared" si="26"/>
        <v>0</v>
      </c>
      <c r="AL79" s="820"/>
      <c r="AM79" s="302">
        <f t="shared" si="27"/>
        <v>0</v>
      </c>
    </row>
    <row r="80" spans="1:39" s="813" customFormat="1">
      <c r="A80" s="811" t="s">
        <v>59</v>
      </c>
      <c r="B80" s="1904">
        <f t="shared" si="28"/>
        <v>0</v>
      </c>
      <c r="C80" s="91" t="s">
        <v>36</v>
      </c>
      <c r="D80" s="91" t="s">
        <v>826</v>
      </c>
      <c r="E80" s="91" t="s">
        <v>822</v>
      </c>
      <c r="F80" s="91" t="s">
        <v>822</v>
      </c>
      <c r="G80" s="91" t="s">
        <v>55</v>
      </c>
      <c r="H80" s="2112" t="s">
        <v>1641</v>
      </c>
      <c r="I80" s="2103" t="s">
        <v>325</v>
      </c>
      <c r="J80" s="806"/>
      <c r="K80" s="234"/>
      <c r="L80" s="992"/>
      <c r="M80" s="608"/>
      <c r="N80" s="498"/>
      <c r="O80" s="163"/>
      <c r="P80" s="231">
        <v>161</v>
      </c>
      <c r="Q80" s="234"/>
      <c r="R80" s="153"/>
      <c r="S80" s="153"/>
      <c r="T80" s="153"/>
      <c r="U80" s="153"/>
      <c r="V80" s="153"/>
      <c r="W80" s="153"/>
      <c r="X80" s="153"/>
      <c r="Y80" s="153"/>
      <c r="Z80" s="153"/>
      <c r="AA80" s="153"/>
      <c r="AB80" s="153"/>
      <c r="AC80" s="182">
        <f>SUM(Q80:AB80)</f>
        <v>0</v>
      </c>
      <c r="AD80" s="391">
        <f t="shared" si="24"/>
        <v>0</v>
      </c>
      <c r="AF80" s="1903" t="s">
        <v>325</v>
      </c>
      <c r="AG80" s="833" t="s">
        <v>1440</v>
      </c>
      <c r="AH80" s="268" t="s">
        <v>661</v>
      </c>
      <c r="AI80" s="799">
        <f>P80</f>
        <v>161</v>
      </c>
      <c r="AJ80" s="828">
        <f>5360000-5360000</f>
        <v>0</v>
      </c>
      <c r="AK80" s="875">
        <f t="shared" si="26"/>
        <v>0</v>
      </c>
      <c r="AL80" s="820"/>
      <c r="AM80" s="302">
        <f t="shared" si="27"/>
        <v>0</v>
      </c>
    </row>
    <row r="81" spans="1:39" s="813" customFormat="1">
      <c r="A81" s="811" t="s">
        <v>59</v>
      </c>
      <c r="B81" s="1904">
        <f t="shared" si="28"/>
        <v>38280000</v>
      </c>
      <c r="C81" s="91" t="s">
        <v>36</v>
      </c>
      <c r="D81" s="91" t="s">
        <v>826</v>
      </c>
      <c r="E81" s="91" t="s">
        <v>822</v>
      </c>
      <c r="F81" s="91" t="s">
        <v>822</v>
      </c>
      <c r="G81" s="91" t="s">
        <v>55</v>
      </c>
      <c r="H81" s="2112" t="s">
        <v>1641</v>
      </c>
      <c r="I81" s="2102">
        <v>157</v>
      </c>
      <c r="J81" s="806">
        <v>0</v>
      </c>
      <c r="K81" s="234"/>
      <c r="L81" s="992">
        <v>149</v>
      </c>
      <c r="M81" s="608">
        <v>38280000</v>
      </c>
      <c r="N81" s="498">
        <v>95</v>
      </c>
      <c r="O81" s="163">
        <v>38280000</v>
      </c>
      <c r="P81" s="231">
        <v>131</v>
      </c>
      <c r="Q81" s="234"/>
      <c r="R81" s="153">
        <v>1160000</v>
      </c>
      <c r="S81" s="153">
        <v>3480000</v>
      </c>
      <c r="T81" s="153">
        <f>VLOOKUP(N81,[7]Hoja2!N$132:T$199,7,0)</f>
        <v>3480000</v>
      </c>
      <c r="U81" s="153">
        <v>3480000</v>
      </c>
      <c r="V81" s="153">
        <v>3480000</v>
      </c>
      <c r="W81" s="153">
        <v>3480000</v>
      </c>
      <c r="X81" s="153">
        <v>3480000</v>
      </c>
      <c r="Y81" s="153">
        <v>3480000</v>
      </c>
      <c r="Z81" s="153">
        <v>3480000</v>
      </c>
      <c r="AA81" s="153">
        <v>3480000</v>
      </c>
      <c r="AB81" s="153">
        <f>3480000+2320000</f>
        <v>5800000</v>
      </c>
      <c r="AC81" s="182">
        <f t="shared" si="29"/>
        <v>38280000</v>
      </c>
      <c r="AD81" s="391">
        <f t="shared" si="24"/>
        <v>0</v>
      </c>
      <c r="AF81" s="877">
        <v>157</v>
      </c>
      <c r="AG81" s="833" t="s">
        <v>340</v>
      </c>
      <c r="AH81" s="268" t="s">
        <v>662</v>
      </c>
      <c r="AI81" s="799">
        <f t="shared" si="25"/>
        <v>131</v>
      </c>
      <c r="AJ81" s="828">
        <v>38280000</v>
      </c>
      <c r="AK81" s="875">
        <f t="shared" si="26"/>
        <v>0</v>
      </c>
      <c r="AL81" s="820"/>
      <c r="AM81" s="302">
        <f t="shared" si="27"/>
        <v>0</v>
      </c>
    </row>
    <row r="82" spans="1:39" s="813" customFormat="1">
      <c r="A82" s="811" t="s">
        <v>59</v>
      </c>
      <c r="B82" s="1904">
        <f t="shared" si="28"/>
        <v>4640000</v>
      </c>
      <c r="C82" s="91" t="s">
        <v>36</v>
      </c>
      <c r="D82" s="91" t="s">
        <v>826</v>
      </c>
      <c r="E82" s="91" t="s">
        <v>822</v>
      </c>
      <c r="F82" s="91" t="s">
        <v>822</v>
      </c>
      <c r="G82" s="91" t="s">
        <v>55</v>
      </c>
      <c r="H82" s="2112" t="s">
        <v>1641</v>
      </c>
      <c r="I82" s="2103" t="s">
        <v>325</v>
      </c>
      <c r="J82" s="806">
        <v>807</v>
      </c>
      <c r="K82" s="228">
        <v>4640000</v>
      </c>
      <c r="L82" s="992">
        <v>929</v>
      </c>
      <c r="M82" s="608">
        <v>4640000</v>
      </c>
      <c r="N82" s="498">
        <v>1127</v>
      </c>
      <c r="O82" s="163">
        <v>4640000</v>
      </c>
      <c r="P82" s="231">
        <v>131</v>
      </c>
      <c r="Q82" s="234"/>
      <c r="R82" s="153"/>
      <c r="S82" s="153"/>
      <c r="T82" s="153"/>
      <c r="U82" s="153"/>
      <c r="V82" s="153"/>
      <c r="W82" s="153"/>
      <c r="X82" s="153"/>
      <c r="Y82" s="153"/>
      <c r="Z82" s="153"/>
      <c r="AA82" s="153"/>
      <c r="AB82" s="153">
        <v>1160000</v>
      </c>
      <c r="AC82" s="182">
        <f>SUM(Q82:AB82)</f>
        <v>1160000</v>
      </c>
      <c r="AD82" s="391">
        <f t="shared" si="24"/>
        <v>3480000</v>
      </c>
      <c r="AF82" s="1903" t="s">
        <v>325</v>
      </c>
      <c r="AG82" s="1908" t="s">
        <v>1466</v>
      </c>
      <c r="AH82" s="268" t="s">
        <v>662</v>
      </c>
      <c r="AI82" s="799">
        <f t="shared" si="25"/>
        <v>131</v>
      </c>
      <c r="AJ82" s="828">
        <v>4640000</v>
      </c>
      <c r="AK82" s="875">
        <f t="shared" si="26"/>
        <v>0</v>
      </c>
      <c r="AL82" s="820"/>
      <c r="AM82" s="302">
        <f t="shared" si="27"/>
        <v>0</v>
      </c>
    </row>
    <row r="83" spans="1:39" s="813" customFormat="1">
      <c r="A83" s="811" t="s">
        <v>59</v>
      </c>
      <c r="B83" s="1904">
        <f t="shared" si="28"/>
        <v>62480000</v>
      </c>
      <c r="C83" s="91" t="s">
        <v>36</v>
      </c>
      <c r="D83" s="91" t="s">
        <v>826</v>
      </c>
      <c r="E83" s="91" t="s">
        <v>822</v>
      </c>
      <c r="F83" s="91" t="s">
        <v>822</v>
      </c>
      <c r="G83" s="91" t="s">
        <v>55</v>
      </c>
      <c r="H83" s="2112" t="s">
        <v>1641</v>
      </c>
      <c r="I83" s="2102">
        <v>173</v>
      </c>
      <c r="J83" s="806">
        <v>0</v>
      </c>
      <c r="K83" s="234"/>
      <c r="L83" s="992">
        <v>182</v>
      </c>
      <c r="M83" s="608">
        <v>62480000</v>
      </c>
      <c r="N83" s="498">
        <v>195</v>
      </c>
      <c r="O83" s="163">
        <v>62480000</v>
      </c>
      <c r="P83" s="231">
        <v>172</v>
      </c>
      <c r="Q83" s="234"/>
      <c r="R83" s="153"/>
      <c r="S83" s="153">
        <v>5680000</v>
      </c>
      <c r="T83" s="153">
        <f>VLOOKUP(N83,[7]Hoja2!N$132:T$199,7,0)</f>
        <v>5680000</v>
      </c>
      <c r="U83" s="153">
        <v>5680000</v>
      </c>
      <c r="V83" s="153">
        <v>5680000</v>
      </c>
      <c r="W83" s="153">
        <v>5680000</v>
      </c>
      <c r="X83" s="153">
        <v>5680000</v>
      </c>
      <c r="Y83" s="153">
        <v>5680000</v>
      </c>
      <c r="Z83" s="153">
        <v>5680000</v>
      </c>
      <c r="AA83" s="153">
        <v>5680000</v>
      </c>
      <c r="AB83" s="153">
        <f>5680000+5680000</f>
        <v>11360000</v>
      </c>
      <c r="AC83" s="182">
        <f t="shared" si="29"/>
        <v>62480000</v>
      </c>
      <c r="AD83" s="391">
        <f t="shared" si="24"/>
        <v>0</v>
      </c>
      <c r="AF83" s="877">
        <v>173</v>
      </c>
      <c r="AG83" s="833" t="s">
        <v>341</v>
      </c>
      <c r="AH83" s="268" t="s">
        <v>663</v>
      </c>
      <c r="AI83" s="799">
        <f t="shared" si="25"/>
        <v>172</v>
      </c>
      <c r="AJ83" s="828">
        <v>62480000</v>
      </c>
      <c r="AK83" s="875">
        <f t="shared" si="26"/>
        <v>0</v>
      </c>
      <c r="AL83" s="820"/>
      <c r="AM83" s="302">
        <f t="shared" si="27"/>
        <v>0</v>
      </c>
    </row>
    <row r="84" spans="1:39" s="813" customFormat="1">
      <c r="A84" s="811" t="s">
        <v>59</v>
      </c>
      <c r="B84" s="1904">
        <f t="shared" si="28"/>
        <v>5680000</v>
      </c>
      <c r="C84" s="91" t="s">
        <v>36</v>
      </c>
      <c r="D84" s="91" t="s">
        <v>826</v>
      </c>
      <c r="E84" s="91" t="s">
        <v>822</v>
      </c>
      <c r="F84" s="91" t="s">
        <v>822</v>
      </c>
      <c r="G84" s="91" t="s">
        <v>55</v>
      </c>
      <c r="H84" s="2112" t="s">
        <v>1641</v>
      </c>
      <c r="I84" s="2103" t="s">
        <v>325</v>
      </c>
      <c r="J84" s="806">
        <v>753</v>
      </c>
      <c r="K84" s="228">
        <v>5680000</v>
      </c>
      <c r="L84" s="992">
        <v>865</v>
      </c>
      <c r="M84" s="608">
        <v>5680000</v>
      </c>
      <c r="N84" s="498">
        <v>1065</v>
      </c>
      <c r="O84" s="163">
        <v>5680000</v>
      </c>
      <c r="P84" s="231">
        <v>172</v>
      </c>
      <c r="Q84" s="234"/>
      <c r="R84" s="153"/>
      <c r="S84" s="153"/>
      <c r="T84" s="153"/>
      <c r="U84" s="153"/>
      <c r="V84" s="153"/>
      <c r="W84" s="153"/>
      <c r="X84" s="153"/>
      <c r="Y84" s="153"/>
      <c r="Z84" s="153"/>
      <c r="AA84" s="153"/>
      <c r="AB84" s="152"/>
      <c r="AC84" s="182">
        <f>SUM(Q84:AB84)</f>
        <v>0</v>
      </c>
      <c r="AD84" s="391">
        <f t="shared" si="24"/>
        <v>5680000</v>
      </c>
      <c r="AF84" s="1903" t="s">
        <v>325</v>
      </c>
      <c r="AG84" s="833" t="s">
        <v>1441</v>
      </c>
      <c r="AH84" s="268" t="s">
        <v>663</v>
      </c>
      <c r="AI84" s="799">
        <f t="shared" si="25"/>
        <v>172</v>
      </c>
      <c r="AJ84" s="828">
        <v>5680000</v>
      </c>
      <c r="AK84" s="875">
        <f t="shared" si="26"/>
        <v>0</v>
      </c>
      <c r="AL84" s="820"/>
      <c r="AM84" s="302">
        <f t="shared" si="27"/>
        <v>0</v>
      </c>
    </row>
    <row r="85" spans="1:39" s="813" customFormat="1">
      <c r="A85" s="811" t="s">
        <v>59</v>
      </c>
      <c r="B85" s="1904">
        <f t="shared" si="28"/>
        <v>0</v>
      </c>
      <c r="C85" s="91" t="s">
        <v>36</v>
      </c>
      <c r="D85" s="91" t="s">
        <v>826</v>
      </c>
      <c r="E85" s="91" t="s">
        <v>822</v>
      </c>
      <c r="F85" s="91" t="s">
        <v>822</v>
      </c>
      <c r="G85" s="91" t="s">
        <v>55</v>
      </c>
      <c r="H85" s="2112" t="s">
        <v>1641</v>
      </c>
      <c r="I85" s="2102">
        <v>434</v>
      </c>
      <c r="J85" s="806">
        <v>0</v>
      </c>
      <c r="K85" s="234"/>
      <c r="L85" s="812"/>
      <c r="M85" s="608"/>
      <c r="N85" s="812"/>
      <c r="O85" s="152"/>
      <c r="P85" s="809"/>
      <c r="Q85" s="234"/>
      <c r="R85" s="152"/>
      <c r="S85" s="152"/>
      <c r="T85" s="152"/>
      <c r="U85" s="152"/>
      <c r="V85" s="152"/>
      <c r="W85" s="152"/>
      <c r="X85" s="152"/>
      <c r="Y85" s="152"/>
      <c r="Z85" s="152"/>
      <c r="AA85" s="152"/>
      <c r="AB85" s="152"/>
      <c r="AC85" s="182">
        <f t="shared" si="29"/>
        <v>0</v>
      </c>
      <c r="AD85" s="391">
        <f t="shared" si="24"/>
        <v>0</v>
      </c>
      <c r="AF85" s="877">
        <v>434</v>
      </c>
      <c r="AG85" s="833" t="s">
        <v>486</v>
      </c>
      <c r="AH85" s="268" t="s">
        <v>173</v>
      </c>
      <c r="AI85" s="799">
        <f t="shared" si="25"/>
        <v>0</v>
      </c>
      <c r="AJ85" s="828">
        <f>61390000-61390000</f>
        <v>0</v>
      </c>
      <c r="AK85" s="875">
        <f t="shared" si="26"/>
        <v>0</v>
      </c>
      <c r="AL85" s="820"/>
      <c r="AM85" s="302">
        <f t="shared" si="27"/>
        <v>0</v>
      </c>
    </row>
    <row r="86" spans="1:39" s="610" customFormat="1">
      <c r="A86" s="811" t="s">
        <v>59</v>
      </c>
      <c r="B86" s="1904">
        <f t="shared" si="28"/>
        <v>0</v>
      </c>
      <c r="C86" s="91" t="s">
        <v>36</v>
      </c>
      <c r="D86" s="91" t="s">
        <v>826</v>
      </c>
      <c r="E86" s="91" t="s">
        <v>822</v>
      </c>
      <c r="F86" s="91" t="s">
        <v>822</v>
      </c>
      <c r="G86" s="91" t="s">
        <v>55</v>
      </c>
      <c r="H86" s="2112" t="s">
        <v>1641</v>
      </c>
      <c r="I86" s="980" t="s">
        <v>173</v>
      </c>
      <c r="J86" s="806">
        <v>0</v>
      </c>
      <c r="K86" s="228"/>
      <c r="L86" s="607"/>
      <c r="M86" s="608"/>
      <c r="N86" s="607"/>
      <c r="O86" s="153"/>
      <c r="P86" s="231"/>
      <c r="Q86" s="233"/>
      <c r="R86" s="153"/>
      <c r="S86" s="153"/>
      <c r="T86" s="153"/>
      <c r="U86" s="153"/>
      <c r="V86" s="153"/>
      <c r="W86" s="153"/>
      <c r="X86" s="153"/>
      <c r="Y86" s="153"/>
      <c r="Z86" s="153"/>
      <c r="AA86" s="153"/>
      <c r="AB86" s="153"/>
      <c r="AC86" s="182">
        <f t="shared" si="29"/>
        <v>0</v>
      </c>
      <c r="AD86" s="391">
        <f t="shared" si="24"/>
        <v>0</v>
      </c>
      <c r="AF86" s="877" t="s">
        <v>325</v>
      </c>
      <c r="AG86" s="833" t="s">
        <v>493</v>
      </c>
      <c r="AH86" s="833" t="s">
        <v>173</v>
      </c>
      <c r="AI86" s="799">
        <f t="shared" si="25"/>
        <v>0</v>
      </c>
      <c r="AJ86" s="828">
        <f>29877139-29877139</f>
        <v>0</v>
      </c>
      <c r="AK86" s="875">
        <f t="shared" si="26"/>
        <v>0</v>
      </c>
      <c r="AL86" s="820"/>
      <c r="AM86" s="302">
        <f t="shared" si="27"/>
        <v>0</v>
      </c>
    </row>
    <row r="87" spans="1:39" s="8" customFormat="1">
      <c r="A87" s="168" t="s">
        <v>24</v>
      </c>
      <c r="B87" s="265">
        <f>B75-SUM(B76:B86)</f>
        <v>0</v>
      </c>
      <c r="C87" s="84"/>
      <c r="D87" s="84"/>
      <c r="E87" s="84"/>
      <c r="F87" s="84"/>
      <c r="G87" s="84"/>
      <c r="H87" s="2074"/>
      <c r="I87" s="945"/>
      <c r="J87" s="206"/>
      <c r="K87" s="1447"/>
      <c r="L87" s="101"/>
      <c r="M87" s="142">
        <f>SUM(M76:M86)</f>
        <v>282852000</v>
      </c>
      <c r="N87" s="101"/>
      <c r="O87" s="142">
        <f>SUM(O76:O86)</f>
        <v>282852000</v>
      </c>
      <c r="P87" s="237"/>
      <c r="Q87" s="142">
        <f>SUM(Q76:Q86)</f>
        <v>0</v>
      </c>
      <c r="R87" s="142">
        <f>SUM(R76:R86)</f>
        <v>2672000</v>
      </c>
      <c r="S87" s="142">
        <f>SUM(S76:S86)</f>
        <v>23115333</v>
      </c>
      <c r="T87" s="142">
        <f t="shared" ref="T87:AD87" si="30">SUM(T76:T86)</f>
        <v>24310000</v>
      </c>
      <c r="U87" s="142">
        <f t="shared" si="30"/>
        <v>24310000</v>
      </c>
      <c r="V87" s="142">
        <f t="shared" si="30"/>
        <v>24310000</v>
      </c>
      <c r="W87" s="142">
        <f t="shared" si="30"/>
        <v>24310000</v>
      </c>
      <c r="X87" s="142">
        <f t="shared" si="30"/>
        <v>24310000</v>
      </c>
      <c r="Y87" s="142">
        <f t="shared" si="30"/>
        <v>24310000</v>
      </c>
      <c r="Z87" s="142">
        <f t="shared" si="30"/>
        <v>24310000</v>
      </c>
      <c r="AA87" s="142">
        <f t="shared" si="30"/>
        <v>24310000</v>
      </c>
      <c r="AB87" s="142">
        <f t="shared" si="30"/>
        <v>47754667</v>
      </c>
      <c r="AC87" s="142">
        <f t="shared" si="30"/>
        <v>268022000</v>
      </c>
      <c r="AD87" s="142">
        <f t="shared" si="30"/>
        <v>14830000</v>
      </c>
      <c r="AF87" s="852"/>
      <c r="AG87" s="14"/>
      <c r="AH87" s="14"/>
      <c r="AI87" s="101"/>
      <c r="AJ87" s="14">
        <f>SUM(AJ76:AJ86)</f>
        <v>282852000</v>
      </c>
      <c r="AK87" s="181">
        <f>SUM(AK76:AK86)</f>
        <v>0</v>
      </c>
      <c r="AL87" s="820">
        <f>B75-AJ87</f>
        <v>0</v>
      </c>
      <c r="AM87" s="302"/>
    </row>
    <row r="88" spans="1:39" s="6" customFormat="1" ht="29.25" customHeight="1">
      <c r="A88" s="746" t="s">
        <v>821</v>
      </c>
      <c r="B88" s="486">
        <f>600300000-32480000-68446667</f>
        <v>499373333</v>
      </c>
      <c r="C88" s="1298" t="s">
        <v>36</v>
      </c>
      <c r="D88" s="1298" t="s">
        <v>826</v>
      </c>
      <c r="E88" s="1298" t="s">
        <v>822</v>
      </c>
      <c r="F88" s="1298" t="s">
        <v>822</v>
      </c>
      <c r="G88" s="1298" t="s">
        <v>55</v>
      </c>
      <c r="H88" s="2113" t="s">
        <v>1641</v>
      </c>
      <c r="I88" s="969"/>
      <c r="J88" s="751">
        <v>0</v>
      </c>
      <c r="K88" s="1450"/>
      <c r="L88" s="988"/>
      <c r="M88" s="1155"/>
      <c r="N88" s="988"/>
      <c r="O88" s="1155"/>
      <c r="P88" s="92"/>
      <c r="Q88" s="470"/>
      <c r="R88" s="470"/>
      <c r="S88" s="470"/>
      <c r="T88" s="470"/>
      <c r="U88" s="470"/>
      <c r="V88" s="470"/>
      <c r="W88" s="92"/>
      <c r="X88" s="92"/>
      <c r="Y88" s="92"/>
      <c r="Z88" s="92"/>
      <c r="AA88" s="92"/>
      <c r="AB88" s="92"/>
      <c r="AC88" s="376"/>
      <c r="AD88" s="395"/>
      <c r="AF88" s="876"/>
      <c r="AG88" s="251"/>
      <c r="AH88" s="251"/>
      <c r="AI88" s="1041"/>
      <c r="AJ88" s="810"/>
      <c r="AK88" s="864"/>
      <c r="AL88" s="820"/>
    </row>
    <row r="89" spans="1:39" s="6" customFormat="1">
      <c r="A89" s="1236" t="s">
        <v>821</v>
      </c>
      <c r="B89" s="143">
        <f t="shared" ref="B89:B115" si="31">M89</f>
        <v>29700000</v>
      </c>
      <c r="C89" s="92" t="s">
        <v>36</v>
      </c>
      <c r="D89" s="92" t="s">
        <v>826</v>
      </c>
      <c r="E89" s="1237" t="s">
        <v>822</v>
      </c>
      <c r="F89" s="1237" t="s">
        <v>822</v>
      </c>
      <c r="G89" s="92" t="s">
        <v>55</v>
      </c>
      <c r="H89" s="376" t="s">
        <v>1641</v>
      </c>
      <c r="I89" s="2102">
        <v>120</v>
      </c>
      <c r="J89" s="814">
        <v>0</v>
      </c>
      <c r="K89" s="1451"/>
      <c r="L89" s="992">
        <v>141</v>
      </c>
      <c r="M89" s="608">
        <v>29700000</v>
      </c>
      <c r="N89" s="498">
        <v>185</v>
      </c>
      <c r="O89" s="163">
        <v>29700000</v>
      </c>
      <c r="P89" s="231">
        <v>175</v>
      </c>
      <c r="Q89" s="815"/>
      <c r="R89" s="153">
        <v>90000</v>
      </c>
      <c r="S89" s="153">
        <v>2700000</v>
      </c>
      <c r="T89" s="153">
        <f>VLOOKUP(N89,[7]Hoja2!N$132:T$199,7,0)</f>
        <v>2700000</v>
      </c>
      <c r="U89" s="153">
        <v>2700000</v>
      </c>
      <c r="V89" s="153">
        <v>2700000</v>
      </c>
      <c r="W89" s="153">
        <v>2700000</v>
      </c>
      <c r="X89" s="153">
        <v>2700000</v>
      </c>
      <c r="Y89" s="153">
        <v>2700000</v>
      </c>
      <c r="Z89" s="153">
        <v>2700000</v>
      </c>
      <c r="AA89" s="153">
        <v>2700000</v>
      </c>
      <c r="AB89" s="153">
        <f>2700000+2610000</f>
        <v>5310000</v>
      </c>
      <c r="AC89" s="182">
        <f>SUM(Q89:AB89)</f>
        <v>29700000</v>
      </c>
      <c r="AD89" s="391">
        <f t="shared" ref="AD89:AD115" si="32">O89-AC89</f>
        <v>0</v>
      </c>
      <c r="AF89" s="877">
        <v>120</v>
      </c>
      <c r="AG89" s="510" t="s">
        <v>342</v>
      </c>
      <c r="AH89" s="268" t="s">
        <v>664</v>
      </c>
      <c r="AI89" s="799">
        <f t="shared" ref="AI89:AI111" si="33">P89</f>
        <v>175</v>
      </c>
      <c r="AJ89" s="512">
        <v>29700000</v>
      </c>
      <c r="AK89" s="875">
        <f t="shared" ref="AK89:AK115" si="34">AJ89-O89</f>
        <v>0</v>
      </c>
      <c r="AL89" s="820"/>
      <c r="AM89" s="302">
        <f t="shared" ref="AM89:AM115" si="35">AJ89-M89</f>
        <v>0</v>
      </c>
    </row>
    <row r="90" spans="1:39" s="6" customFormat="1">
      <c r="A90" s="1236" t="s">
        <v>821</v>
      </c>
      <c r="B90" s="143">
        <f t="shared" si="31"/>
        <v>2790000</v>
      </c>
      <c r="C90" s="92" t="s">
        <v>36</v>
      </c>
      <c r="D90" s="92" t="s">
        <v>826</v>
      </c>
      <c r="E90" s="1237" t="s">
        <v>822</v>
      </c>
      <c r="F90" s="1237" t="s">
        <v>822</v>
      </c>
      <c r="G90" s="92" t="s">
        <v>55</v>
      </c>
      <c r="H90" s="376" t="s">
        <v>1641</v>
      </c>
      <c r="I90" s="2103" t="s">
        <v>325</v>
      </c>
      <c r="J90" s="814">
        <v>854</v>
      </c>
      <c r="K90" s="1451">
        <v>2790000</v>
      </c>
      <c r="L90" s="992">
        <v>975</v>
      </c>
      <c r="M90" s="608">
        <v>2790000</v>
      </c>
      <c r="N90" s="498">
        <v>1163</v>
      </c>
      <c r="O90" s="163">
        <v>2790000</v>
      </c>
      <c r="P90" s="231">
        <v>175</v>
      </c>
      <c r="Q90" s="815"/>
      <c r="R90" s="153"/>
      <c r="S90" s="153"/>
      <c r="T90" s="153"/>
      <c r="U90" s="153"/>
      <c r="V90" s="153"/>
      <c r="W90" s="153"/>
      <c r="X90" s="153"/>
      <c r="Y90" s="153"/>
      <c r="Z90" s="153"/>
      <c r="AA90" s="153"/>
      <c r="AB90" s="153">
        <v>90000</v>
      </c>
      <c r="AC90" s="182">
        <f>SUM(Q90:AB90)</f>
        <v>90000</v>
      </c>
      <c r="AD90" s="391">
        <f t="shared" si="32"/>
        <v>2700000</v>
      </c>
      <c r="AF90" s="1903" t="s">
        <v>325</v>
      </c>
      <c r="AG90" s="510" t="s">
        <v>1471</v>
      </c>
      <c r="AH90" s="268" t="s">
        <v>664</v>
      </c>
      <c r="AI90" s="799">
        <f t="shared" si="33"/>
        <v>175</v>
      </c>
      <c r="AJ90" s="512">
        <v>2790000</v>
      </c>
      <c r="AK90" s="875">
        <f t="shared" si="34"/>
        <v>0</v>
      </c>
      <c r="AL90" s="820"/>
      <c r="AM90" s="302">
        <f t="shared" si="35"/>
        <v>0</v>
      </c>
    </row>
    <row r="91" spans="1:39" s="6" customFormat="1">
      <c r="A91" s="1236" t="s">
        <v>821</v>
      </c>
      <c r="B91" s="143">
        <f t="shared" si="31"/>
        <v>40700000</v>
      </c>
      <c r="C91" s="92" t="s">
        <v>36</v>
      </c>
      <c r="D91" s="92" t="s">
        <v>826</v>
      </c>
      <c r="E91" s="1237" t="s">
        <v>822</v>
      </c>
      <c r="F91" s="1237" t="s">
        <v>822</v>
      </c>
      <c r="G91" s="92" t="s">
        <v>55</v>
      </c>
      <c r="H91" s="376" t="s">
        <v>1641</v>
      </c>
      <c r="I91" s="2102">
        <v>122</v>
      </c>
      <c r="J91" s="814">
        <v>0</v>
      </c>
      <c r="K91" s="1451"/>
      <c r="L91" s="992">
        <v>66</v>
      </c>
      <c r="M91" s="608">
        <v>40700000</v>
      </c>
      <c r="N91" s="498">
        <v>40</v>
      </c>
      <c r="O91" s="163">
        <v>40700000</v>
      </c>
      <c r="P91" s="231">
        <v>59</v>
      </c>
      <c r="Q91" s="815"/>
      <c r="R91" s="153">
        <v>1603333</v>
      </c>
      <c r="S91" s="153">
        <v>3700000</v>
      </c>
      <c r="T91" s="153">
        <f>VLOOKUP(N91,[7]Hoja2!N$132:T$199,7,0)</f>
        <v>3700000</v>
      </c>
      <c r="U91" s="153">
        <v>3700000</v>
      </c>
      <c r="V91" s="153">
        <v>3700000</v>
      </c>
      <c r="W91" s="153">
        <v>3700000</v>
      </c>
      <c r="X91" s="153">
        <v>3700000</v>
      </c>
      <c r="Y91" s="153">
        <v>3700000</v>
      </c>
      <c r="Z91" s="153">
        <v>3700000</v>
      </c>
      <c r="AA91" s="153">
        <v>3700000</v>
      </c>
      <c r="AB91" s="153">
        <f>3700000+2096667</f>
        <v>5796667</v>
      </c>
      <c r="AC91" s="182">
        <f t="shared" ref="AC91:AC115" si="36">SUM(Q91:AB91)</f>
        <v>40700000</v>
      </c>
      <c r="AD91" s="391">
        <f t="shared" si="32"/>
        <v>0</v>
      </c>
      <c r="AF91" s="877">
        <v>122</v>
      </c>
      <c r="AG91" s="510" t="s">
        <v>343</v>
      </c>
      <c r="AH91" s="268" t="s">
        <v>665</v>
      </c>
      <c r="AI91" s="799">
        <f t="shared" si="33"/>
        <v>59</v>
      </c>
      <c r="AJ91" s="512">
        <v>40700000</v>
      </c>
      <c r="AK91" s="875">
        <f t="shared" si="34"/>
        <v>0</v>
      </c>
      <c r="AL91" s="820"/>
      <c r="AM91" s="302">
        <f t="shared" si="35"/>
        <v>0</v>
      </c>
    </row>
    <row r="92" spans="1:39" s="6" customFormat="1">
      <c r="A92" s="1236" t="s">
        <v>821</v>
      </c>
      <c r="B92" s="143">
        <f t="shared" si="31"/>
        <v>5303333</v>
      </c>
      <c r="C92" s="92" t="s">
        <v>36</v>
      </c>
      <c r="D92" s="92" t="s">
        <v>826</v>
      </c>
      <c r="E92" s="1237" t="s">
        <v>822</v>
      </c>
      <c r="F92" s="1237" t="s">
        <v>822</v>
      </c>
      <c r="G92" s="92" t="s">
        <v>55</v>
      </c>
      <c r="H92" s="376" t="s">
        <v>1641</v>
      </c>
      <c r="I92" s="2103" t="s">
        <v>325</v>
      </c>
      <c r="J92" s="814">
        <v>806</v>
      </c>
      <c r="K92" s="1451">
        <v>5303333</v>
      </c>
      <c r="L92" s="992">
        <v>927</v>
      </c>
      <c r="M92" s="608">
        <v>5303333</v>
      </c>
      <c r="N92" s="498">
        <v>1086</v>
      </c>
      <c r="O92" s="163">
        <v>5303333</v>
      </c>
      <c r="P92" s="231">
        <v>59</v>
      </c>
      <c r="Q92" s="815"/>
      <c r="R92" s="153"/>
      <c r="S92" s="153"/>
      <c r="T92" s="153"/>
      <c r="U92" s="153"/>
      <c r="V92" s="153"/>
      <c r="W92" s="153"/>
      <c r="X92" s="153"/>
      <c r="Y92" s="153"/>
      <c r="Z92" s="153"/>
      <c r="AA92" s="153"/>
      <c r="AB92" s="153">
        <v>1603333</v>
      </c>
      <c r="AC92" s="182">
        <f>SUM(Q92:AB92)</f>
        <v>1603333</v>
      </c>
      <c r="AD92" s="391">
        <f t="shared" si="32"/>
        <v>3700000</v>
      </c>
      <c r="AF92" s="1903" t="s">
        <v>325</v>
      </c>
      <c r="AG92" s="510" t="s">
        <v>1456</v>
      </c>
      <c r="AH92" s="268" t="s">
        <v>665</v>
      </c>
      <c r="AI92" s="799">
        <f>P92</f>
        <v>59</v>
      </c>
      <c r="AJ92" s="512">
        <v>5303333</v>
      </c>
      <c r="AK92" s="875">
        <f t="shared" si="34"/>
        <v>0</v>
      </c>
      <c r="AL92" s="820"/>
      <c r="AM92" s="302">
        <f t="shared" si="35"/>
        <v>0</v>
      </c>
    </row>
    <row r="93" spans="1:39" s="6" customFormat="1">
      <c r="A93" s="1236" t="s">
        <v>821</v>
      </c>
      <c r="B93" s="143">
        <f t="shared" si="31"/>
        <v>14640000</v>
      </c>
      <c r="C93" s="92" t="s">
        <v>36</v>
      </c>
      <c r="D93" s="92" t="s">
        <v>826</v>
      </c>
      <c r="E93" s="1237" t="s">
        <v>822</v>
      </c>
      <c r="F93" s="1237" t="s">
        <v>822</v>
      </c>
      <c r="G93" s="92" t="s">
        <v>55</v>
      </c>
      <c r="H93" s="376" t="s">
        <v>1641</v>
      </c>
      <c r="I93" s="2102">
        <v>129</v>
      </c>
      <c r="J93" s="814">
        <v>0</v>
      </c>
      <c r="K93" s="1451"/>
      <c r="L93" s="992">
        <v>90</v>
      </c>
      <c r="M93" s="608">
        <v>14640000</v>
      </c>
      <c r="N93" s="498">
        <v>83</v>
      </c>
      <c r="O93" s="163">
        <v>14640000</v>
      </c>
      <c r="P93" s="231">
        <v>85</v>
      </c>
      <c r="Q93" s="815"/>
      <c r="R93" s="153">
        <v>1138667</v>
      </c>
      <c r="S93" s="153">
        <v>4880000</v>
      </c>
      <c r="T93" s="153">
        <f>VLOOKUP(N93,[7]Hoja2!N$132:T$199,7,0)</f>
        <v>4880000</v>
      </c>
      <c r="U93" s="153">
        <v>3741333</v>
      </c>
      <c r="V93" s="153"/>
      <c r="W93" s="153"/>
      <c r="X93" s="153"/>
      <c r="Y93" s="153"/>
      <c r="Z93" s="153"/>
      <c r="AA93" s="153"/>
      <c r="AB93" s="153"/>
      <c r="AC93" s="182">
        <f t="shared" si="36"/>
        <v>14640000</v>
      </c>
      <c r="AD93" s="391">
        <f t="shared" si="32"/>
        <v>0</v>
      </c>
      <c r="AF93" s="877">
        <v>129</v>
      </c>
      <c r="AG93" s="510" t="s">
        <v>344</v>
      </c>
      <c r="AH93" s="268" t="s">
        <v>666</v>
      </c>
      <c r="AI93" s="799">
        <f t="shared" si="33"/>
        <v>85</v>
      </c>
      <c r="AJ93" s="512">
        <v>14640000</v>
      </c>
      <c r="AK93" s="875">
        <f t="shared" si="34"/>
        <v>0</v>
      </c>
      <c r="AL93" s="820"/>
      <c r="AM93" s="302">
        <f t="shared" si="35"/>
        <v>0</v>
      </c>
    </row>
    <row r="94" spans="1:39" s="6" customFormat="1">
      <c r="A94" s="1236" t="s">
        <v>821</v>
      </c>
      <c r="B94" s="143">
        <f t="shared" si="31"/>
        <v>38950671</v>
      </c>
      <c r="C94" s="92" t="s">
        <v>36</v>
      </c>
      <c r="D94" s="92" t="s">
        <v>826</v>
      </c>
      <c r="E94" s="1237" t="s">
        <v>822</v>
      </c>
      <c r="F94" s="1237" t="s">
        <v>822</v>
      </c>
      <c r="G94" s="92" t="s">
        <v>55</v>
      </c>
      <c r="H94" s="376" t="s">
        <v>1641</v>
      </c>
      <c r="I94" s="2102">
        <v>130</v>
      </c>
      <c r="J94" s="814">
        <v>0</v>
      </c>
      <c r="K94" s="1451"/>
      <c r="L94" s="992">
        <v>447</v>
      </c>
      <c r="M94" s="608">
        <v>38950671</v>
      </c>
      <c r="N94" s="1039">
        <v>469</v>
      </c>
      <c r="O94" s="143">
        <v>38950671</v>
      </c>
      <c r="P94" s="996">
        <v>334</v>
      </c>
      <c r="Q94" s="815"/>
      <c r="R94" s="153"/>
      <c r="S94" s="153"/>
      <c r="T94" s="153"/>
      <c r="U94" s="153"/>
      <c r="V94" s="153">
        <v>4192000</v>
      </c>
      <c r="W94" s="153">
        <v>5240000</v>
      </c>
      <c r="X94" s="153">
        <v>5240000</v>
      </c>
      <c r="Y94" s="153">
        <v>5240000</v>
      </c>
      <c r="Z94" s="153">
        <v>5240000</v>
      </c>
      <c r="AA94" s="153">
        <v>5240000</v>
      </c>
      <c r="AB94" s="153">
        <f>5240000+3318667</f>
        <v>8558667</v>
      </c>
      <c r="AC94" s="182">
        <f t="shared" si="36"/>
        <v>38950667</v>
      </c>
      <c r="AD94" s="391">
        <f t="shared" si="32"/>
        <v>4</v>
      </c>
      <c r="AF94" s="877">
        <v>130</v>
      </c>
      <c r="AG94" s="510" t="s">
        <v>891</v>
      </c>
      <c r="AH94" s="510" t="s">
        <v>666</v>
      </c>
      <c r="AI94" s="799">
        <f t="shared" si="33"/>
        <v>334</v>
      </c>
      <c r="AJ94" s="512">
        <f>39040000-89329</f>
        <v>38950671</v>
      </c>
      <c r="AK94" s="875">
        <f t="shared" si="34"/>
        <v>0</v>
      </c>
      <c r="AL94" s="820"/>
      <c r="AM94" s="302">
        <f t="shared" si="35"/>
        <v>0</v>
      </c>
    </row>
    <row r="95" spans="1:39" s="6" customFormat="1">
      <c r="A95" s="1236" t="s">
        <v>821</v>
      </c>
      <c r="B95" s="143">
        <f t="shared" si="31"/>
        <v>7161329</v>
      </c>
      <c r="C95" s="92" t="s">
        <v>36</v>
      </c>
      <c r="D95" s="92" t="s">
        <v>826</v>
      </c>
      <c r="E95" s="1237" t="s">
        <v>822</v>
      </c>
      <c r="F95" s="1237" t="s">
        <v>822</v>
      </c>
      <c r="G95" s="92" t="s">
        <v>55</v>
      </c>
      <c r="H95" s="376" t="s">
        <v>1641</v>
      </c>
      <c r="I95" s="2103" t="s">
        <v>325</v>
      </c>
      <c r="J95" s="814">
        <v>752</v>
      </c>
      <c r="K95" s="1451">
        <v>7161329</v>
      </c>
      <c r="L95" s="992">
        <v>867</v>
      </c>
      <c r="M95" s="608">
        <v>7161329</v>
      </c>
      <c r="N95" s="1039">
        <v>1049</v>
      </c>
      <c r="O95" s="143">
        <v>7161329</v>
      </c>
      <c r="P95" s="996">
        <v>334</v>
      </c>
      <c r="Q95" s="815"/>
      <c r="R95" s="153"/>
      <c r="S95" s="153"/>
      <c r="T95" s="153"/>
      <c r="U95" s="153"/>
      <c r="V95" s="153"/>
      <c r="W95" s="153"/>
      <c r="X95" s="153"/>
      <c r="Y95" s="153"/>
      <c r="Z95" s="153"/>
      <c r="AA95" s="153"/>
      <c r="AB95" s="153">
        <v>1921333</v>
      </c>
      <c r="AC95" s="182">
        <f>SUM(Q95:AB95)</f>
        <v>1921333</v>
      </c>
      <c r="AD95" s="391">
        <f t="shared" si="32"/>
        <v>5239996</v>
      </c>
      <c r="AF95" s="1903" t="s">
        <v>325</v>
      </c>
      <c r="AG95" s="510" t="s">
        <v>1443</v>
      </c>
      <c r="AH95" s="510" t="s">
        <v>666</v>
      </c>
      <c r="AI95" s="799">
        <f t="shared" si="33"/>
        <v>334</v>
      </c>
      <c r="AJ95" s="512">
        <v>7161329</v>
      </c>
      <c r="AK95" s="875">
        <f t="shared" si="34"/>
        <v>0</v>
      </c>
      <c r="AL95" s="820"/>
      <c r="AM95" s="302">
        <f t="shared" si="35"/>
        <v>0</v>
      </c>
    </row>
    <row r="96" spans="1:39" s="6" customFormat="1">
      <c r="A96" s="1236" t="s">
        <v>821</v>
      </c>
      <c r="B96" s="143">
        <f t="shared" si="31"/>
        <v>24966666</v>
      </c>
      <c r="C96" s="92" t="s">
        <v>36</v>
      </c>
      <c r="D96" s="92" t="s">
        <v>826</v>
      </c>
      <c r="E96" s="1237" t="s">
        <v>822</v>
      </c>
      <c r="F96" s="1237" t="s">
        <v>822</v>
      </c>
      <c r="G96" s="92" t="s">
        <v>55</v>
      </c>
      <c r="H96" s="376" t="s">
        <v>1641</v>
      </c>
      <c r="I96" s="2102">
        <v>134</v>
      </c>
      <c r="J96" s="814">
        <v>0</v>
      </c>
      <c r="K96" s="1451"/>
      <c r="L96" s="992">
        <v>124</v>
      </c>
      <c r="M96" s="608">
        <f>77000000-52033334</f>
        <v>24966666</v>
      </c>
      <c r="N96" s="498">
        <v>149</v>
      </c>
      <c r="O96" s="163">
        <f>77000000-52033334</f>
        <v>24966666</v>
      </c>
      <c r="P96" s="231">
        <v>91</v>
      </c>
      <c r="Q96" s="815"/>
      <c r="R96" s="153">
        <v>1633333</v>
      </c>
      <c r="S96" s="153">
        <v>7000000</v>
      </c>
      <c r="T96" s="153">
        <f>VLOOKUP(N96,[7]Hoja2!N$132:T$199,7,0)</f>
        <v>7000000</v>
      </c>
      <c r="U96" s="153">
        <v>7000000</v>
      </c>
      <c r="V96" s="153">
        <v>2333333</v>
      </c>
      <c r="W96" s="153"/>
      <c r="X96" s="153"/>
      <c r="Y96" s="153"/>
      <c r="Z96" s="153"/>
      <c r="AA96" s="153"/>
      <c r="AB96" s="153"/>
      <c r="AC96" s="182">
        <f t="shared" si="36"/>
        <v>24966666</v>
      </c>
      <c r="AD96" s="391">
        <f t="shared" si="32"/>
        <v>0</v>
      </c>
      <c r="AF96" s="877">
        <v>134</v>
      </c>
      <c r="AG96" s="510" t="s">
        <v>345</v>
      </c>
      <c r="AH96" s="268" t="s">
        <v>667</v>
      </c>
      <c r="AI96" s="799">
        <f t="shared" si="33"/>
        <v>91</v>
      </c>
      <c r="AJ96" s="512">
        <f>77000000-52033333</f>
        <v>24966667</v>
      </c>
      <c r="AK96" s="875">
        <f t="shared" si="34"/>
        <v>1</v>
      </c>
      <c r="AL96" s="820"/>
      <c r="AM96" s="302">
        <f t="shared" si="35"/>
        <v>1</v>
      </c>
    </row>
    <row r="97" spans="1:39" s="6" customFormat="1">
      <c r="A97" s="1236" t="s">
        <v>821</v>
      </c>
      <c r="B97" s="143">
        <f t="shared" si="31"/>
        <v>0</v>
      </c>
      <c r="C97" s="92" t="s">
        <v>36</v>
      </c>
      <c r="D97" s="92" t="s">
        <v>826</v>
      </c>
      <c r="E97" s="1237" t="s">
        <v>822</v>
      </c>
      <c r="F97" s="1237" t="s">
        <v>822</v>
      </c>
      <c r="G97" s="92" t="s">
        <v>55</v>
      </c>
      <c r="H97" s="376" t="s">
        <v>1641</v>
      </c>
      <c r="I97" s="2102">
        <v>137</v>
      </c>
      <c r="J97" s="814">
        <v>0</v>
      </c>
      <c r="K97" s="1451"/>
      <c r="L97" s="992"/>
      <c r="M97" s="608"/>
      <c r="N97" s="1039"/>
      <c r="O97" s="143"/>
      <c r="P97" s="809"/>
      <c r="Q97" s="815"/>
      <c r="R97" s="153"/>
      <c r="S97" s="153"/>
      <c r="T97" s="153"/>
      <c r="U97" s="153"/>
      <c r="V97" s="153"/>
      <c r="W97" s="153"/>
      <c r="X97" s="153"/>
      <c r="Y97" s="153"/>
      <c r="Z97" s="153"/>
      <c r="AA97" s="153"/>
      <c r="AB97" s="153"/>
      <c r="AC97" s="182">
        <f t="shared" si="36"/>
        <v>0</v>
      </c>
      <c r="AD97" s="391">
        <f t="shared" si="32"/>
        <v>0</v>
      </c>
      <c r="AF97" s="877">
        <v>137</v>
      </c>
      <c r="AG97" s="510" t="s">
        <v>346</v>
      </c>
      <c r="AH97" s="510" t="s">
        <v>173</v>
      </c>
      <c r="AI97" s="799">
        <f t="shared" si="33"/>
        <v>0</v>
      </c>
      <c r="AJ97" s="512">
        <f>32480000-32480000</f>
        <v>0</v>
      </c>
      <c r="AK97" s="875">
        <f t="shared" si="34"/>
        <v>0</v>
      </c>
      <c r="AL97" s="820"/>
      <c r="AM97" s="302">
        <f t="shared" si="35"/>
        <v>0</v>
      </c>
    </row>
    <row r="98" spans="1:39" s="6" customFormat="1">
      <c r="A98" s="1236" t="s">
        <v>821</v>
      </c>
      <c r="B98" s="143">
        <f t="shared" si="31"/>
        <v>15720000</v>
      </c>
      <c r="C98" s="92" t="s">
        <v>36</v>
      </c>
      <c r="D98" s="92" t="s">
        <v>826</v>
      </c>
      <c r="E98" s="1237" t="s">
        <v>822</v>
      </c>
      <c r="F98" s="1237" t="s">
        <v>822</v>
      </c>
      <c r="G98" s="92" t="s">
        <v>55</v>
      </c>
      <c r="H98" s="376" t="s">
        <v>1641</v>
      </c>
      <c r="I98" s="2102">
        <v>138</v>
      </c>
      <c r="J98" s="814">
        <v>0</v>
      </c>
      <c r="K98" s="1451"/>
      <c r="L98" s="992">
        <v>91</v>
      </c>
      <c r="M98" s="608">
        <v>15720000</v>
      </c>
      <c r="N98" s="498">
        <v>80</v>
      </c>
      <c r="O98" s="163">
        <v>15720000</v>
      </c>
      <c r="P98" s="231">
        <v>80</v>
      </c>
      <c r="Q98" s="815"/>
      <c r="R98" s="153">
        <v>1572000</v>
      </c>
      <c r="S98" s="153">
        <v>5240000</v>
      </c>
      <c r="T98" s="153">
        <f>VLOOKUP(N98,[7]Hoja2!N$132:T$199,7,0)</f>
        <v>5240000</v>
      </c>
      <c r="U98" s="153">
        <v>3668000</v>
      </c>
      <c r="V98" s="153"/>
      <c r="W98" s="153"/>
      <c r="X98" s="153"/>
      <c r="Y98" s="153"/>
      <c r="Z98" s="153"/>
      <c r="AA98" s="153"/>
      <c r="AB98" s="153"/>
      <c r="AC98" s="182">
        <f t="shared" si="36"/>
        <v>15720000</v>
      </c>
      <c r="AD98" s="391">
        <f t="shared" si="32"/>
        <v>0</v>
      </c>
      <c r="AF98" s="877">
        <v>138</v>
      </c>
      <c r="AG98" s="510" t="s">
        <v>347</v>
      </c>
      <c r="AH98" s="268" t="s">
        <v>668</v>
      </c>
      <c r="AI98" s="799">
        <f t="shared" si="33"/>
        <v>80</v>
      </c>
      <c r="AJ98" s="512">
        <v>15720000</v>
      </c>
      <c r="AK98" s="875">
        <f t="shared" si="34"/>
        <v>0</v>
      </c>
      <c r="AL98" s="820"/>
      <c r="AM98" s="302">
        <f t="shared" si="35"/>
        <v>0</v>
      </c>
    </row>
    <row r="99" spans="1:39" s="6" customFormat="1">
      <c r="A99" s="1236" t="s">
        <v>821</v>
      </c>
      <c r="B99" s="143">
        <f t="shared" si="31"/>
        <v>40173333</v>
      </c>
      <c r="C99" s="92" t="s">
        <v>36</v>
      </c>
      <c r="D99" s="92" t="s">
        <v>826</v>
      </c>
      <c r="E99" s="1237" t="s">
        <v>822</v>
      </c>
      <c r="F99" s="1237" t="s">
        <v>822</v>
      </c>
      <c r="G99" s="92" t="s">
        <v>55</v>
      </c>
      <c r="H99" s="376" t="s">
        <v>1641</v>
      </c>
      <c r="I99" s="2102">
        <v>139</v>
      </c>
      <c r="J99" s="814">
        <v>0</v>
      </c>
      <c r="K99" s="1451"/>
      <c r="L99" s="992">
        <v>448</v>
      </c>
      <c r="M99" s="608">
        <f>41920000-1746667</f>
        <v>40173333</v>
      </c>
      <c r="N99" s="1039">
        <v>470</v>
      </c>
      <c r="O99" s="143">
        <v>40173333</v>
      </c>
      <c r="P99" s="996">
        <v>333</v>
      </c>
      <c r="Q99" s="815"/>
      <c r="R99" s="153"/>
      <c r="S99" s="153"/>
      <c r="T99" s="153"/>
      <c r="U99" s="153"/>
      <c r="V99" s="153">
        <v>4192000</v>
      </c>
      <c r="W99" s="153">
        <v>5240000</v>
      </c>
      <c r="X99" s="153">
        <v>5240000</v>
      </c>
      <c r="Y99" s="153">
        <v>5240000</v>
      </c>
      <c r="Z99" s="153">
        <v>5240000</v>
      </c>
      <c r="AA99" s="153">
        <v>5240000</v>
      </c>
      <c r="AB99" s="153">
        <f>5240000+4541333</f>
        <v>9781333</v>
      </c>
      <c r="AC99" s="182">
        <f t="shared" si="36"/>
        <v>40173333</v>
      </c>
      <c r="AD99" s="391">
        <f t="shared" si="32"/>
        <v>0</v>
      </c>
      <c r="AF99" s="877">
        <v>139</v>
      </c>
      <c r="AG99" s="510" t="s">
        <v>892</v>
      </c>
      <c r="AH99" s="510" t="s">
        <v>668</v>
      </c>
      <c r="AI99" s="799">
        <f t="shared" si="33"/>
        <v>333</v>
      </c>
      <c r="AJ99" s="512">
        <f>41920000-1746667</f>
        <v>40173333</v>
      </c>
      <c r="AK99" s="875">
        <f t="shared" si="34"/>
        <v>0</v>
      </c>
      <c r="AL99" s="820"/>
      <c r="AM99" s="302">
        <f t="shared" si="35"/>
        <v>0</v>
      </c>
    </row>
    <row r="100" spans="1:39" s="6" customFormat="1">
      <c r="A100" s="1236" t="s">
        <v>821</v>
      </c>
      <c r="B100" s="143">
        <f t="shared" si="31"/>
        <v>5938667</v>
      </c>
      <c r="C100" s="92" t="s">
        <v>36</v>
      </c>
      <c r="D100" s="92" t="s">
        <v>826</v>
      </c>
      <c r="E100" s="1237" t="s">
        <v>822</v>
      </c>
      <c r="F100" s="1237" t="s">
        <v>822</v>
      </c>
      <c r="G100" s="92" t="s">
        <v>55</v>
      </c>
      <c r="H100" s="376" t="s">
        <v>1641</v>
      </c>
      <c r="I100" s="2103" t="s">
        <v>325</v>
      </c>
      <c r="J100" s="814">
        <v>751</v>
      </c>
      <c r="K100" s="1451">
        <v>5938667</v>
      </c>
      <c r="L100" s="992">
        <v>866</v>
      </c>
      <c r="M100" s="608">
        <v>5938667</v>
      </c>
      <c r="N100" s="1039">
        <v>1052</v>
      </c>
      <c r="O100" s="143">
        <v>5938667</v>
      </c>
      <c r="P100" s="996">
        <v>333</v>
      </c>
      <c r="Q100" s="815"/>
      <c r="R100" s="153"/>
      <c r="S100" s="153"/>
      <c r="T100" s="153"/>
      <c r="U100" s="153"/>
      <c r="V100" s="153"/>
      <c r="W100" s="153"/>
      <c r="X100" s="153"/>
      <c r="Y100" s="153"/>
      <c r="Z100" s="153"/>
      <c r="AA100" s="153"/>
      <c r="AB100" s="153">
        <v>698667</v>
      </c>
      <c r="AC100" s="182">
        <f>SUM(Q100:AB100)</f>
        <v>698667</v>
      </c>
      <c r="AD100" s="391">
        <f t="shared" si="32"/>
        <v>5240000</v>
      </c>
      <c r="AF100" s="1903" t="s">
        <v>325</v>
      </c>
      <c r="AG100" s="510" t="s">
        <v>1445</v>
      </c>
      <c r="AH100" s="510" t="s">
        <v>668</v>
      </c>
      <c r="AI100" s="799">
        <f t="shared" si="33"/>
        <v>333</v>
      </c>
      <c r="AJ100" s="512">
        <v>5938667</v>
      </c>
      <c r="AK100" s="875">
        <f t="shared" si="34"/>
        <v>0</v>
      </c>
      <c r="AL100" s="820"/>
      <c r="AM100" s="302">
        <f t="shared" si="35"/>
        <v>0</v>
      </c>
    </row>
    <row r="101" spans="1:39" s="6" customFormat="1">
      <c r="A101" s="1236" t="s">
        <v>821</v>
      </c>
      <c r="B101" s="143">
        <f t="shared" si="31"/>
        <v>31020000</v>
      </c>
      <c r="C101" s="92" t="s">
        <v>36</v>
      </c>
      <c r="D101" s="92" t="s">
        <v>826</v>
      </c>
      <c r="E101" s="1237" t="s">
        <v>822</v>
      </c>
      <c r="F101" s="1237" t="s">
        <v>822</v>
      </c>
      <c r="G101" s="92" t="s">
        <v>55</v>
      </c>
      <c r="H101" s="376" t="s">
        <v>1641</v>
      </c>
      <c r="I101" s="2102">
        <v>143</v>
      </c>
      <c r="J101" s="814">
        <v>0</v>
      </c>
      <c r="K101" s="1451"/>
      <c r="L101" s="992">
        <v>67</v>
      </c>
      <c r="M101" s="608">
        <v>31020000</v>
      </c>
      <c r="N101" s="498">
        <v>82</v>
      </c>
      <c r="O101" s="163">
        <v>31020000</v>
      </c>
      <c r="P101" s="231">
        <v>83</v>
      </c>
      <c r="Q101" s="815"/>
      <c r="R101" s="153">
        <v>846000</v>
      </c>
      <c r="S101" s="153">
        <v>2820000</v>
      </c>
      <c r="T101" s="153">
        <f>VLOOKUP(N101,[7]Hoja2!N$132:T$199,7,0)</f>
        <v>2820000</v>
      </c>
      <c r="U101" s="153">
        <v>2820000</v>
      </c>
      <c r="V101" s="153">
        <f>94000+2726000</f>
        <v>2820000</v>
      </c>
      <c r="W101" s="153">
        <v>2820000</v>
      </c>
      <c r="X101" s="153">
        <v>2820000</v>
      </c>
      <c r="Y101" s="153">
        <v>2820000</v>
      </c>
      <c r="Z101" s="153">
        <v>2820000</v>
      </c>
      <c r="AA101" s="153">
        <f>2632000+188000</f>
        <v>2820000</v>
      </c>
      <c r="AB101" s="153">
        <f>2820000+1974000</f>
        <v>4794000</v>
      </c>
      <c r="AC101" s="182">
        <f t="shared" si="36"/>
        <v>31020000</v>
      </c>
      <c r="AD101" s="391">
        <f t="shared" si="32"/>
        <v>0</v>
      </c>
      <c r="AF101" s="877">
        <v>143</v>
      </c>
      <c r="AG101" s="510" t="s">
        <v>348</v>
      </c>
      <c r="AH101" s="268" t="s">
        <v>1433</v>
      </c>
      <c r="AI101" s="799">
        <f t="shared" si="33"/>
        <v>83</v>
      </c>
      <c r="AJ101" s="512">
        <v>31020000</v>
      </c>
      <c r="AK101" s="875">
        <f t="shared" si="34"/>
        <v>0</v>
      </c>
      <c r="AL101" s="820"/>
      <c r="AM101" s="302">
        <f t="shared" si="35"/>
        <v>0</v>
      </c>
    </row>
    <row r="102" spans="1:39" s="6" customFormat="1">
      <c r="A102" s="1236" t="s">
        <v>821</v>
      </c>
      <c r="B102" s="143">
        <f t="shared" si="31"/>
        <v>12333333</v>
      </c>
      <c r="C102" s="92" t="s">
        <v>36</v>
      </c>
      <c r="D102" s="92" t="s">
        <v>826</v>
      </c>
      <c r="E102" s="1237" t="s">
        <v>822</v>
      </c>
      <c r="F102" s="1237" t="s">
        <v>822</v>
      </c>
      <c r="G102" s="92" t="s">
        <v>55</v>
      </c>
      <c r="H102" s="376" t="s">
        <v>1641</v>
      </c>
      <c r="I102" s="2102">
        <v>164</v>
      </c>
      <c r="J102" s="814">
        <v>593</v>
      </c>
      <c r="K102" s="608">
        <f>12950000-616667</f>
        <v>12333333</v>
      </c>
      <c r="L102" s="992">
        <v>675</v>
      </c>
      <c r="M102" s="608">
        <f>12950000-616667</f>
        <v>12333333</v>
      </c>
      <c r="N102" s="1039">
        <v>836</v>
      </c>
      <c r="O102" s="143">
        <v>12333333</v>
      </c>
      <c r="P102" s="996">
        <v>461</v>
      </c>
      <c r="Q102" s="815"/>
      <c r="R102" s="153"/>
      <c r="S102" s="153"/>
      <c r="T102" s="153"/>
      <c r="U102" s="153"/>
      <c r="V102" s="153"/>
      <c r="W102" s="153"/>
      <c r="X102" s="153"/>
      <c r="Y102" s="153"/>
      <c r="Z102" s="153">
        <v>1480000</v>
      </c>
      <c r="AA102" s="153">
        <v>3700000</v>
      </c>
      <c r="AB102" s="153">
        <f>3700000+3453333</f>
        <v>7153333</v>
      </c>
      <c r="AC102" s="182">
        <f t="shared" si="36"/>
        <v>12333333</v>
      </c>
      <c r="AD102" s="391">
        <f t="shared" si="32"/>
        <v>0</v>
      </c>
      <c r="AF102" s="877">
        <v>164</v>
      </c>
      <c r="AG102" s="510" t="s">
        <v>349</v>
      </c>
      <c r="AH102" s="510" t="s">
        <v>671</v>
      </c>
      <c r="AI102" s="799">
        <f t="shared" si="33"/>
        <v>461</v>
      </c>
      <c r="AJ102" s="512">
        <f>47300000-34966667</f>
        <v>12333333</v>
      </c>
      <c r="AK102" s="875">
        <f t="shared" si="34"/>
        <v>0</v>
      </c>
      <c r="AL102" s="820"/>
      <c r="AM102" s="302">
        <f t="shared" si="35"/>
        <v>0</v>
      </c>
    </row>
    <row r="103" spans="1:39" s="6" customFormat="1">
      <c r="A103" s="1236" t="s">
        <v>821</v>
      </c>
      <c r="B103" s="143">
        <f t="shared" si="31"/>
        <v>29700000</v>
      </c>
      <c r="C103" s="92" t="s">
        <v>36</v>
      </c>
      <c r="D103" s="92" t="s">
        <v>826</v>
      </c>
      <c r="E103" s="1237" t="s">
        <v>822</v>
      </c>
      <c r="F103" s="1237" t="s">
        <v>822</v>
      </c>
      <c r="G103" s="92" t="s">
        <v>55</v>
      </c>
      <c r="H103" s="376" t="s">
        <v>1641</v>
      </c>
      <c r="I103" s="2102">
        <v>169</v>
      </c>
      <c r="J103" s="814">
        <v>0</v>
      </c>
      <c r="K103" s="1451"/>
      <c r="L103" s="992">
        <v>145</v>
      </c>
      <c r="M103" s="608">
        <v>29700000</v>
      </c>
      <c r="N103" s="498">
        <v>171</v>
      </c>
      <c r="O103" s="163">
        <v>29700000</v>
      </c>
      <c r="P103" s="231">
        <v>151</v>
      </c>
      <c r="Q103" s="815"/>
      <c r="R103" s="153">
        <v>180000</v>
      </c>
      <c r="S103" s="153">
        <v>2700000</v>
      </c>
      <c r="T103" s="153">
        <f>VLOOKUP(N103,[7]Hoja2!N$132:T$199,7,0)</f>
        <v>2700000</v>
      </c>
      <c r="U103" s="153">
        <v>2700000</v>
      </c>
      <c r="V103" s="153">
        <v>2700000</v>
      </c>
      <c r="W103" s="153">
        <v>2700000</v>
      </c>
      <c r="X103" s="153">
        <v>2700000</v>
      </c>
      <c r="Y103" s="153">
        <v>2700000</v>
      </c>
      <c r="Z103" s="153">
        <v>2700000</v>
      </c>
      <c r="AA103" s="153">
        <v>2700000</v>
      </c>
      <c r="AB103" s="153">
        <f>2700000+2520000</f>
        <v>5220000</v>
      </c>
      <c r="AC103" s="182">
        <f t="shared" si="36"/>
        <v>29700000</v>
      </c>
      <c r="AD103" s="391">
        <f t="shared" si="32"/>
        <v>0</v>
      </c>
      <c r="AF103" s="877">
        <v>169</v>
      </c>
      <c r="AG103" s="510" t="s">
        <v>350</v>
      </c>
      <c r="AH103" s="268" t="s">
        <v>669</v>
      </c>
      <c r="AI103" s="799">
        <f t="shared" si="33"/>
        <v>151</v>
      </c>
      <c r="AJ103" s="512">
        <v>29700000</v>
      </c>
      <c r="AK103" s="875">
        <f t="shared" si="34"/>
        <v>0</v>
      </c>
      <c r="AL103" s="820"/>
      <c r="AM103" s="302">
        <f t="shared" si="35"/>
        <v>0</v>
      </c>
    </row>
    <row r="104" spans="1:39" s="6" customFormat="1">
      <c r="A104" s="1236" t="s">
        <v>821</v>
      </c>
      <c r="B104" s="143">
        <f t="shared" si="31"/>
        <v>0</v>
      </c>
      <c r="C104" s="92" t="s">
        <v>36</v>
      </c>
      <c r="D104" s="92" t="s">
        <v>826</v>
      </c>
      <c r="E104" s="1237" t="s">
        <v>822</v>
      </c>
      <c r="F104" s="1237" t="s">
        <v>822</v>
      </c>
      <c r="G104" s="92" t="s">
        <v>55</v>
      </c>
      <c r="H104" s="376" t="s">
        <v>1641</v>
      </c>
      <c r="I104" s="2102">
        <v>175</v>
      </c>
      <c r="J104" s="814">
        <v>0</v>
      </c>
      <c r="K104" s="1451"/>
      <c r="L104" s="992"/>
      <c r="M104" s="608"/>
      <c r="N104" s="1039"/>
      <c r="O104" s="143"/>
      <c r="P104" s="809"/>
      <c r="Q104" s="815"/>
      <c r="R104" s="153"/>
      <c r="S104" s="153"/>
      <c r="T104" s="153"/>
      <c r="U104" s="153"/>
      <c r="V104" s="153"/>
      <c r="W104" s="153"/>
      <c r="X104" s="153"/>
      <c r="Y104" s="153"/>
      <c r="Z104" s="153"/>
      <c r="AA104" s="153"/>
      <c r="AB104" s="153"/>
      <c r="AC104" s="182">
        <f t="shared" si="36"/>
        <v>0</v>
      </c>
      <c r="AD104" s="391">
        <f t="shared" si="32"/>
        <v>0</v>
      </c>
      <c r="AF104" s="877">
        <v>175</v>
      </c>
      <c r="AG104" s="510" t="s">
        <v>351</v>
      </c>
      <c r="AH104" s="510" t="s">
        <v>173</v>
      </c>
      <c r="AI104" s="799">
        <f t="shared" si="33"/>
        <v>0</v>
      </c>
      <c r="AJ104" s="512">
        <f>56100000-56100000</f>
        <v>0</v>
      </c>
      <c r="AK104" s="875">
        <f t="shared" si="34"/>
        <v>0</v>
      </c>
      <c r="AL104" s="820"/>
      <c r="AM104" s="302">
        <f t="shared" si="35"/>
        <v>0</v>
      </c>
    </row>
    <row r="105" spans="1:39" s="6" customFormat="1">
      <c r="A105" s="1236" t="s">
        <v>821</v>
      </c>
      <c r="B105" s="143">
        <f t="shared" si="31"/>
        <v>57640000</v>
      </c>
      <c r="C105" s="92" t="s">
        <v>36</v>
      </c>
      <c r="D105" s="92" t="s">
        <v>826</v>
      </c>
      <c r="E105" s="1237" t="s">
        <v>822</v>
      </c>
      <c r="F105" s="1237" t="s">
        <v>822</v>
      </c>
      <c r="G105" s="92" t="s">
        <v>55</v>
      </c>
      <c r="H105" s="376" t="s">
        <v>1641</v>
      </c>
      <c r="I105" s="2102">
        <v>177</v>
      </c>
      <c r="J105" s="814">
        <v>0</v>
      </c>
      <c r="K105" s="1451"/>
      <c r="L105" s="992">
        <v>125</v>
      </c>
      <c r="M105" s="608">
        <v>57640000</v>
      </c>
      <c r="N105" s="498">
        <v>151</v>
      </c>
      <c r="O105" s="163">
        <v>57640000</v>
      </c>
      <c r="P105" s="231">
        <v>89</v>
      </c>
      <c r="Q105" s="815"/>
      <c r="R105" s="153">
        <v>1222667</v>
      </c>
      <c r="S105" s="153">
        <v>5240000</v>
      </c>
      <c r="T105" s="153">
        <f>VLOOKUP(N105,[7]Hoja2!N$132:T$199,7,0)</f>
        <v>5240000</v>
      </c>
      <c r="U105" s="153">
        <v>5240000</v>
      </c>
      <c r="V105" s="153">
        <v>5240000</v>
      </c>
      <c r="W105" s="153">
        <v>5240000</v>
      </c>
      <c r="X105" s="153">
        <v>5240000</v>
      </c>
      <c r="Y105" s="153">
        <v>5240000</v>
      </c>
      <c r="Z105" s="153">
        <v>5240000</v>
      </c>
      <c r="AA105" s="153">
        <v>5240000</v>
      </c>
      <c r="AB105" s="153">
        <f>4017333+5240000</f>
        <v>9257333</v>
      </c>
      <c r="AC105" s="182">
        <f t="shared" si="36"/>
        <v>57640000</v>
      </c>
      <c r="AD105" s="391">
        <f t="shared" si="32"/>
        <v>0</v>
      </c>
      <c r="AF105" s="877">
        <v>177</v>
      </c>
      <c r="AG105" s="510" t="s">
        <v>352</v>
      </c>
      <c r="AH105" s="268" t="s">
        <v>670</v>
      </c>
      <c r="AI105" s="799">
        <f t="shared" si="33"/>
        <v>89</v>
      </c>
      <c r="AJ105" s="512">
        <v>57640000</v>
      </c>
      <c r="AK105" s="875">
        <f t="shared" si="34"/>
        <v>0</v>
      </c>
      <c r="AL105" s="820"/>
      <c r="AM105" s="302">
        <f t="shared" si="35"/>
        <v>0</v>
      </c>
    </row>
    <row r="106" spans="1:39" s="6" customFormat="1">
      <c r="A106" s="1236" t="s">
        <v>821</v>
      </c>
      <c r="B106" s="143">
        <f t="shared" si="31"/>
        <v>5240000</v>
      </c>
      <c r="C106" s="92" t="s">
        <v>36</v>
      </c>
      <c r="D106" s="92" t="s">
        <v>826</v>
      </c>
      <c r="E106" s="1237" t="s">
        <v>822</v>
      </c>
      <c r="F106" s="1237" t="s">
        <v>822</v>
      </c>
      <c r="G106" s="92" t="s">
        <v>55</v>
      </c>
      <c r="H106" s="376" t="s">
        <v>1641</v>
      </c>
      <c r="I106" s="2103" t="s">
        <v>325</v>
      </c>
      <c r="J106" s="814">
        <v>750</v>
      </c>
      <c r="K106" s="1451">
        <v>5240000</v>
      </c>
      <c r="L106" s="992">
        <v>864</v>
      </c>
      <c r="M106" s="608">
        <v>5240000</v>
      </c>
      <c r="N106" s="498">
        <v>1051</v>
      </c>
      <c r="O106" s="163">
        <v>5240000</v>
      </c>
      <c r="P106" s="231">
        <v>89</v>
      </c>
      <c r="Q106" s="815"/>
      <c r="R106" s="153"/>
      <c r="S106" s="153"/>
      <c r="T106" s="153"/>
      <c r="U106" s="153"/>
      <c r="V106" s="153"/>
      <c r="W106" s="153"/>
      <c r="X106" s="153"/>
      <c r="Y106" s="153"/>
      <c r="Z106" s="153"/>
      <c r="AA106" s="153"/>
      <c r="AB106" s="153"/>
      <c r="AC106" s="182">
        <f>SUM(Q106:AB106)</f>
        <v>0</v>
      </c>
      <c r="AD106" s="391">
        <f t="shared" si="32"/>
        <v>5240000</v>
      </c>
      <c r="AF106" s="1903" t="s">
        <v>325</v>
      </c>
      <c r="AG106" s="510" t="s">
        <v>1444</v>
      </c>
      <c r="AH106" s="268" t="s">
        <v>670</v>
      </c>
      <c r="AI106" s="799">
        <f t="shared" si="33"/>
        <v>89</v>
      </c>
      <c r="AJ106" s="512">
        <v>5240000</v>
      </c>
      <c r="AK106" s="875">
        <f t="shared" si="34"/>
        <v>0</v>
      </c>
      <c r="AL106" s="820"/>
      <c r="AM106" s="302">
        <f t="shared" si="35"/>
        <v>0</v>
      </c>
    </row>
    <row r="107" spans="1:39" s="6" customFormat="1">
      <c r="A107" s="1236" t="s">
        <v>821</v>
      </c>
      <c r="B107" s="143">
        <f t="shared" si="31"/>
        <v>36300000</v>
      </c>
      <c r="C107" s="92" t="s">
        <v>36</v>
      </c>
      <c r="D107" s="92" t="s">
        <v>826</v>
      </c>
      <c r="E107" s="1237" t="s">
        <v>822</v>
      </c>
      <c r="F107" s="1237" t="s">
        <v>822</v>
      </c>
      <c r="G107" s="92" t="s">
        <v>55</v>
      </c>
      <c r="H107" s="376" t="s">
        <v>1641</v>
      </c>
      <c r="I107" s="2102">
        <v>179</v>
      </c>
      <c r="J107" s="814">
        <v>0</v>
      </c>
      <c r="K107" s="1451"/>
      <c r="L107" s="992">
        <v>146</v>
      </c>
      <c r="M107" s="608">
        <v>36300000</v>
      </c>
      <c r="N107" s="498">
        <v>154</v>
      </c>
      <c r="O107" s="163">
        <v>36300000</v>
      </c>
      <c r="P107" s="231">
        <v>134</v>
      </c>
      <c r="Q107" s="815"/>
      <c r="R107" s="153">
        <v>660000</v>
      </c>
      <c r="S107" s="153">
        <v>3300000</v>
      </c>
      <c r="T107" s="153">
        <f>VLOOKUP(N107,[7]Hoja2!N$132:T$199,7,0)</f>
        <v>3300000</v>
      </c>
      <c r="U107" s="153">
        <v>3300000</v>
      </c>
      <c r="V107" s="153">
        <v>3300000</v>
      </c>
      <c r="W107" s="153">
        <v>3300000</v>
      </c>
      <c r="X107" s="153">
        <v>3300000</v>
      </c>
      <c r="Y107" s="153">
        <v>3300000</v>
      </c>
      <c r="Z107" s="153">
        <f>1320000+1980000</f>
        <v>3300000</v>
      </c>
      <c r="AA107" s="153">
        <v>3300000</v>
      </c>
      <c r="AB107" s="153">
        <f>3300000+2640000</f>
        <v>5940000</v>
      </c>
      <c r="AC107" s="182">
        <f t="shared" si="36"/>
        <v>36300000</v>
      </c>
      <c r="AD107" s="391">
        <f t="shared" si="32"/>
        <v>0</v>
      </c>
      <c r="AF107" s="877">
        <v>179</v>
      </c>
      <c r="AG107" s="510" t="s">
        <v>342</v>
      </c>
      <c r="AH107" s="268" t="s">
        <v>1361</v>
      </c>
      <c r="AI107" s="799">
        <f t="shared" si="33"/>
        <v>134</v>
      </c>
      <c r="AJ107" s="512">
        <v>36300000</v>
      </c>
      <c r="AK107" s="875">
        <f t="shared" si="34"/>
        <v>0</v>
      </c>
      <c r="AL107" s="820"/>
      <c r="AM107" s="302">
        <f t="shared" si="35"/>
        <v>0</v>
      </c>
    </row>
    <row r="108" spans="1:39" s="6" customFormat="1">
      <c r="A108" s="1236" t="s">
        <v>821</v>
      </c>
      <c r="B108" s="143">
        <f t="shared" si="31"/>
        <v>25520000</v>
      </c>
      <c r="C108" s="92" t="s">
        <v>36</v>
      </c>
      <c r="D108" s="92" t="s">
        <v>826</v>
      </c>
      <c r="E108" s="1237" t="s">
        <v>822</v>
      </c>
      <c r="F108" s="1237" t="s">
        <v>822</v>
      </c>
      <c r="G108" s="92" t="s">
        <v>55</v>
      </c>
      <c r="H108" s="376" t="s">
        <v>1641</v>
      </c>
      <c r="I108" s="2102">
        <v>183</v>
      </c>
      <c r="J108" s="814">
        <v>0</v>
      </c>
      <c r="K108" s="1451"/>
      <c r="L108" s="992">
        <v>70</v>
      </c>
      <c r="M108" s="608">
        <v>25520000</v>
      </c>
      <c r="N108" s="498">
        <v>81</v>
      </c>
      <c r="O108" s="163">
        <v>25520000</v>
      </c>
      <c r="P108" s="231">
        <v>82</v>
      </c>
      <c r="Q108" s="815"/>
      <c r="R108" s="153">
        <v>618667</v>
      </c>
      <c r="S108" s="153">
        <v>2320000</v>
      </c>
      <c r="T108" s="153">
        <f>VLOOKUP(N108,[7]Hoja2!N$132:T$199,7,0)</f>
        <v>2320000</v>
      </c>
      <c r="U108" s="153">
        <v>2320000</v>
      </c>
      <c r="V108" s="153">
        <v>2320000</v>
      </c>
      <c r="W108" s="153">
        <v>2320000</v>
      </c>
      <c r="X108" s="153">
        <v>2320000</v>
      </c>
      <c r="Y108" s="153">
        <v>2320000</v>
      </c>
      <c r="Z108" s="153">
        <v>2320000</v>
      </c>
      <c r="AA108" s="153">
        <v>2320000</v>
      </c>
      <c r="AB108" s="153">
        <f>2320000+1701333</f>
        <v>4021333</v>
      </c>
      <c r="AC108" s="182">
        <f t="shared" si="36"/>
        <v>25520000</v>
      </c>
      <c r="AD108" s="391">
        <f t="shared" si="32"/>
        <v>0</v>
      </c>
      <c r="AF108" s="877">
        <v>183</v>
      </c>
      <c r="AG108" s="510" t="s">
        <v>353</v>
      </c>
      <c r="AH108" s="268" t="s">
        <v>672</v>
      </c>
      <c r="AI108" s="799">
        <f t="shared" si="33"/>
        <v>82</v>
      </c>
      <c r="AJ108" s="512">
        <v>25520000</v>
      </c>
      <c r="AK108" s="875">
        <f t="shared" si="34"/>
        <v>0</v>
      </c>
      <c r="AL108" s="820"/>
      <c r="AM108" s="302">
        <f t="shared" si="35"/>
        <v>0</v>
      </c>
    </row>
    <row r="109" spans="1:39" s="6" customFormat="1">
      <c r="A109" s="1236" t="s">
        <v>821</v>
      </c>
      <c r="B109" s="143">
        <f t="shared" si="31"/>
        <v>2938667</v>
      </c>
      <c r="C109" s="92" t="s">
        <v>36</v>
      </c>
      <c r="D109" s="92" t="s">
        <v>826</v>
      </c>
      <c r="E109" s="1237" t="s">
        <v>822</v>
      </c>
      <c r="F109" s="1237" t="s">
        <v>822</v>
      </c>
      <c r="G109" s="92" t="s">
        <v>55</v>
      </c>
      <c r="H109" s="376" t="s">
        <v>1641</v>
      </c>
      <c r="I109" s="2103" t="s">
        <v>325</v>
      </c>
      <c r="J109" s="814">
        <v>844</v>
      </c>
      <c r="K109" s="1451">
        <v>2938667</v>
      </c>
      <c r="L109" s="992">
        <v>955</v>
      </c>
      <c r="M109" s="608">
        <v>2938667</v>
      </c>
      <c r="N109" s="498">
        <v>1130</v>
      </c>
      <c r="O109" s="163">
        <v>2938667</v>
      </c>
      <c r="P109" s="231">
        <v>82</v>
      </c>
      <c r="Q109" s="815"/>
      <c r="R109" s="153"/>
      <c r="S109" s="153"/>
      <c r="T109" s="153"/>
      <c r="U109" s="153"/>
      <c r="V109" s="153"/>
      <c r="W109" s="153"/>
      <c r="X109" s="153"/>
      <c r="Y109" s="153"/>
      <c r="Z109" s="153"/>
      <c r="AA109" s="153"/>
      <c r="AB109" s="153">
        <v>618667</v>
      </c>
      <c r="AC109" s="182">
        <f t="shared" ref="AC109" si="37">SUM(Q109:AB109)</f>
        <v>618667</v>
      </c>
      <c r="AD109" s="391">
        <f t="shared" si="32"/>
        <v>2320000</v>
      </c>
      <c r="AF109" s="1903" t="s">
        <v>325</v>
      </c>
      <c r="AG109" s="510" t="s">
        <v>1566</v>
      </c>
      <c r="AH109" s="268" t="s">
        <v>672</v>
      </c>
      <c r="AI109" s="799">
        <f t="shared" si="33"/>
        <v>82</v>
      </c>
      <c r="AJ109" s="512">
        <v>2938667</v>
      </c>
      <c r="AK109" s="875">
        <f t="shared" si="34"/>
        <v>0</v>
      </c>
      <c r="AL109" s="820"/>
      <c r="AM109" s="302">
        <f t="shared" si="35"/>
        <v>0</v>
      </c>
    </row>
    <row r="110" spans="1:39" s="6" customFormat="1">
      <c r="A110" s="1236" t="s">
        <v>821</v>
      </c>
      <c r="B110" s="143">
        <f t="shared" si="31"/>
        <v>25520000</v>
      </c>
      <c r="C110" s="92" t="s">
        <v>36</v>
      </c>
      <c r="D110" s="92" t="s">
        <v>826</v>
      </c>
      <c r="E110" s="1237" t="s">
        <v>822</v>
      </c>
      <c r="F110" s="1237" t="s">
        <v>822</v>
      </c>
      <c r="G110" s="92" t="s">
        <v>55</v>
      </c>
      <c r="H110" s="376" t="s">
        <v>1641</v>
      </c>
      <c r="I110" s="2102">
        <v>185</v>
      </c>
      <c r="J110" s="814">
        <v>0</v>
      </c>
      <c r="K110" s="1451"/>
      <c r="L110" s="992">
        <v>71</v>
      </c>
      <c r="M110" s="608">
        <v>25520000</v>
      </c>
      <c r="N110" s="498">
        <v>103</v>
      </c>
      <c r="O110" s="163">
        <v>25520000</v>
      </c>
      <c r="P110" s="231">
        <v>63</v>
      </c>
      <c r="Q110" s="815"/>
      <c r="R110" s="153">
        <v>464000</v>
      </c>
      <c r="S110" s="153">
        <v>2320000</v>
      </c>
      <c r="T110" s="153">
        <f>VLOOKUP(N110,[7]Hoja2!N$132:T$199,7,0)</f>
        <v>2320000</v>
      </c>
      <c r="U110" s="153">
        <v>2320000</v>
      </c>
      <c r="V110" s="153">
        <v>2320000</v>
      </c>
      <c r="W110" s="153">
        <v>2320000</v>
      </c>
      <c r="X110" s="153">
        <v>2320000</v>
      </c>
      <c r="Y110" s="153">
        <v>2320000</v>
      </c>
      <c r="Z110" s="153">
        <v>2320000</v>
      </c>
      <c r="AA110" s="153">
        <v>2320000</v>
      </c>
      <c r="AB110" s="153">
        <f>2320000+1856000</f>
        <v>4176000</v>
      </c>
      <c r="AC110" s="182">
        <f t="shared" si="36"/>
        <v>25520000</v>
      </c>
      <c r="AD110" s="391">
        <f t="shared" si="32"/>
        <v>0</v>
      </c>
      <c r="AF110" s="877">
        <v>185</v>
      </c>
      <c r="AG110" s="510" t="s">
        <v>353</v>
      </c>
      <c r="AH110" s="268" t="s">
        <v>673</v>
      </c>
      <c r="AI110" s="799">
        <f t="shared" si="33"/>
        <v>63</v>
      </c>
      <c r="AJ110" s="512">
        <v>25520000</v>
      </c>
      <c r="AK110" s="875">
        <f t="shared" si="34"/>
        <v>0</v>
      </c>
      <c r="AL110" s="820"/>
      <c r="AM110" s="302">
        <f t="shared" si="35"/>
        <v>0</v>
      </c>
    </row>
    <row r="111" spans="1:39" s="6" customFormat="1">
      <c r="A111" s="1236" t="s">
        <v>821</v>
      </c>
      <c r="B111" s="143">
        <f t="shared" si="31"/>
        <v>2784000</v>
      </c>
      <c r="C111" s="92" t="s">
        <v>36</v>
      </c>
      <c r="D111" s="92" t="s">
        <v>826</v>
      </c>
      <c r="E111" s="1237" t="s">
        <v>822</v>
      </c>
      <c r="F111" s="1237" t="s">
        <v>822</v>
      </c>
      <c r="G111" s="92" t="s">
        <v>55</v>
      </c>
      <c r="H111" s="376" t="s">
        <v>1641</v>
      </c>
      <c r="I111" s="1912" t="s">
        <v>325</v>
      </c>
      <c r="J111" s="814">
        <v>843</v>
      </c>
      <c r="K111" s="1451">
        <v>2784000</v>
      </c>
      <c r="L111" s="992">
        <v>954</v>
      </c>
      <c r="M111" s="608">
        <v>2784000</v>
      </c>
      <c r="N111" s="498">
        <v>1158</v>
      </c>
      <c r="O111" s="448">
        <v>2784000</v>
      </c>
      <c r="P111" s="231">
        <v>63</v>
      </c>
      <c r="Q111" s="815"/>
      <c r="R111" s="153"/>
      <c r="S111" s="153"/>
      <c r="T111" s="153"/>
      <c r="U111" s="153"/>
      <c r="V111" s="153"/>
      <c r="W111" s="153"/>
      <c r="X111" s="153"/>
      <c r="Y111" s="153"/>
      <c r="Z111" s="153"/>
      <c r="AA111" s="153"/>
      <c r="AB111" s="153">
        <v>464000</v>
      </c>
      <c r="AC111" s="182">
        <f>SUM(Q111:AB111)</f>
        <v>464000</v>
      </c>
      <c r="AD111" s="391">
        <f t="shared" si="32"/>
        <v>2320000</v>
      </c>
      <c r="AF111" s="1903" t="s">
        <v>325</v>
      </c>
      <c r="AG111" s="510" t="s">
        <v>1482</v>
      </c>
      <c r="AH111" s="268" t="s">
        <v>673</v>
      </c>
      <c r="AI111" s="799">
        <f t="shared" si="33"/>
        <v>63</v>
      </c>
      <c r="AJ111" s="512">
        <v>2784000</v>
      </c>
      <c r="AK111" s="875">
        <f t="shared" si="34"/>
        <v>0</v>
      </c>
      <c r="AL111" s="820"/>
      <c r="AM111" s="302">
        <f t="shared" si="35"/>
        <v>0</v>
      </c>
    </row>
    <row r="112" spans="1:39" s="6" customFormat="1">
      <c r="A112" s="1236" t="s">
        <v>821</v>
      </c>
      <c r="B112" s="143">
        <f t="shared" si="31"/>
        <v>44333333</v>
      </c>
      <c r="C112" s="92" t="s">
        <v>36</v>
      </c>
      <c r="D112" s="92" t="s">
        <v>826</v>
      </c>
      <c r="E112" s="1237" t="s">
        <v>822</v>
      </c>
      <c r="F112" s="1237" t="s">
        <v>822</v>
      </c>
      <c r="G112" s="92" t="s">
        <v>55</v>
      </c>
      <c r="H112" s="376" t="s">
        <v>1641</v>
      </c>
      <c r="I112" s="1340">
        <v>539</v>
      </c>
      <c r="J112" s="814"/>
      <c r="K112" s="1451"/>
      <c r="L112" s="992">
        <v>566</v>
      </c>
      <c r="M112" s="608">
        <v>44333333</v>
      </c>
      <c r="N112" s="498">
        <v>638</v>
      </c>
      <c r="O112" s="608">
        <v>44333333</v>
      </c>
      <c r="P112" s="231">
        <v>388</v>
      </c>
      <c r="Q112" s="815"/>
      <c r="R112" s="153"/>
      <c r="S112" s="153"/>
      <c r="T112" s="153"/>
      <c r="U112" s="153"/>
      <c r="V112" s="985"/>
      <c r="W112" s="153">
        <v>2566667</v>
      </c>
      <c r="X112" s="153">
        <v>7000000</v>
      </c>
      <c r="Y112" s="153">
        <v>7000000</v>
      </c>
      <c r="Z112" s="153">
        <v>7000000</v>
      </c>
      <c r="AA112" s="153">
        <v>7000000</v>
      </c>
      <c r="AB112" s="153">
        <f>7000000+6766666</f>
        <v>13766666</v>
      </c>
      <c r="AC112" s="182">
        <f t="shared" si="36"/>
        <v>44333333</v>
      </c>
      <c r="AD112" s="391">
        <f t="shared" si="32"/>
        <v>0</v>
      </c>
      <c r="AF112" s="877">
        <v>539</v>
      </c>
      <c r="AG112" s="510" t="s">
        <v>1072</v>
      </c>
      <c r="AH112" s="268" t="s">
        <v>667</v>
      </c>
      <c r="AI112" s="799">
        <f>P112</f>
        <v>388</v>
      </c>
      <c r="AJ112" s="512">
        <f>45500000-1166667</f>
        <v>44333333</v>
      </c>
      <c r="AK112" s="875">
        <f t="shared" si="34"/>
        <v>0</v>
      </c>
      <c r="AL112" s="820"/>
      <c r="AM112" s="302">
        <f t="shared" si="35"/>
        <v>0</v>
      </c>
    </row>
    <row r="113" spans="1:39" s="6" customFormat="1">
      <c r="A113" s="1236" t="s">
        <v>821</v>
      </c>
      <c r="B113" s="143">
        <f t="shared" si="31"/>
        <v>0</v>
      </c>
      <c r="C113" s="92" t="s">
        <v>36</v>
      </c>
      <c r="D113" s="92" t="s">
        <v>826</v>
      </c>
      <c r="E113" s="1237" t="s">
        <v>822</v>
      </c>
      <c r="F113" s="1237" t="s">
        <v>822</v>
      </c>
      <c r="G113" s="92" t="s">
        <v>55</v>
      </c>
      <c r="H113" s="376" t="s">
        <v>1641</v>
      </c>
      <c r="I113" s="1340" t="s">
        <v>173</v>
      </c>
      <c r="J113" s="814"/>
      <c r="K113" s="1451"/>
      <c r="L113" s="992"/>
      <c r="M113" s="608"/>
      <c r="N113" s="498"/>
      <c r="O113" s="163"/>
      <c r="P113" s="231"/>
      <c r="Q113" s="815"/>
      <c r="R113" s="153"/>
      <c r="S113" s="153"/>
      <c r="T113" s="153"/>
      <c r="U113" s="153"/>
      <c r="V113" s="985"/>
      <c r="W113" s="800"/>
      <c r="X113" s="800"/>
      <c r="Y113" s="800"/>
      <c r="Z113" s="800"/>
      <c r="AA113" s="800"/>
      <c r="AB113" s="800"/>
      <c r="AC113" s="182">
        <f t="shared" si="36"/>
        <v>0</v>
      </c>
      <c r="AD113" s="391">
        <f t="shared" si="32"/>
        <v>0</v>
      </c>
      <c r="AF113" s="877"/>
      <c r="AG113" s="510"/>
      <c r="AH113" s="268"/>
      <c r="AI113" s="799"/>
      <c r="AJ113" s="512"/>
      <c r="AK113" s="875">
        <f t="shared" si="34"/>
        <v>0</v>
      </c>
      <c r="AL113" s="820"/>
      <c r="AM113" s="302">
        <f t="shared" si="35"/>
        <v>0</v>
      </c>
    </row>
    <row r="114" spans="1:39" s="6" customFormat="1">
      <c r="A114" s="1236" t="s">
        <v>821</v>
      </c>
      <c r="B114" s="143">
        <f t="shared" si="31"/>
        <v>0</v>
      </c>
      <c r="C114" s="92" t="s">
        <v>36</v>
      </c>
      <c r="D114" s="92" t="s">
        <v>826</v>
      </c>
      <c r="E114" s="1237" t="s">
        <v>822</v>
      </c>
      <c r="F114" s="1237" t="s">
        <v>822</v>
      </c>
      <c r="G114" s="92" t="s">
        <v>55</v>
      </c>
      <c r="H114" s="376" t="s">
        <v>1641</v>
      </c>
      <c r="I114" s="1340" t="s">
        <v>173</v>
      </c>
      <c r="J114" s="814"/>
      <c r="K114" s="1451"/>
      <c r="L114" s="992"/>
      <c r="M114" s="608"/>
      <c r="N114" s="498"/>
      <c r="O114" s="163"/>
      <c r="P114" s="231"/>
      <c r="Q114" s="815"/>
      <c r="R114" s="153"/>
      <c r="S114" s="153"/>
      <c r="T114" s="153"/>
      <c r="U114" s="153"/>
      <c r="V114" s="985"/>
      <c r="W114" s="800"/>
      <c r="X114" s="800"/>
      <c r="Y114" s="800"/>
      <c r="Z114" s="800"/>
      <c r="AA114" s="800"/>
      <c r="AB114" s="800"/>
      <c r="AC114" s="182">
        <f t="shared" si="36"/>
        <v>0</v>
      </c>
      <c r="AD114" s="391">
        <f t="shared" si="32"/>
        <v>0</v>
      </c>
      <c r="AF114" s="877"/>
      <c r="AG114" s="510"/>
      <c r="AH114" s="268"/>
      <c r="AI114" s="799"/>
      <c r="AJ114" s="512"/>
      <c r="AK114" s="875">
        <f t="shared" si="34"/>
        <v>0</v>
      </c>
      <c r="AL114" s="820"/>
      <c r="AM114" s="302">
        <f t="shared" si="35"/>
        <v>0</v>
      </c>
    </row>
    <row r="115" spans="1:39" s="6" customFormat="1">
      <c r="A115" s="1236" t="s">
        <v>821</v>
      </c>
      <c r="B115" s="143">
        <f t="shared" si="31"/>
        <v>0</v>
      </c>
      <c r="C115" s="92" t="s">
        <v>36</v>
      </c>
      <c r="D115" s="92" t="s">
        <v>826</v>
      </c>
      <c r="E115" s="1237" t="s">
        <v>822</v>
      </c>
      <c r="F115" s="1237" t="s">
        <v>822</v>
      </c>
      <c r="G115" s="92" t="s">
        <v>55</v>
      </c>
      <c r="H115" s="376" t="s">
        <v>1641</v>
      </c>
      <c r="I115" s="959" t="s">
        <v>173</v>
      </c>
      <c r="J115" s="814">
        <v>0</v>
      </c>
      <c r="K115" s="503"/>
      <c r="L115" s="270"/>
      <c r="M115" s="193"/>
      <c r="N115" s="270"/>
      <c r="O115" s="143"/>
      <c r="P115" s="238"/>
      <c r="Q115" s="234"/>
      <c r="R115" s="143"/>
      <c r="S115" s="153"/>
      <c r="T115" s="143"/>
      <c r="U115" s="143"/>
      <c r="V115" s="153"/>
      <c r="W115" s="153"/>
      <c r="X115" s="153"/>
      <c r="Y115" s="153"/>
      <c r="Z115" s="152"/>
      <c r="AA115" s="152"/>
      <c r="AB115" s="152"/>
      <c r="AC115" s="182">
        <f t="shared" si="36"/>
        <v>0</v>
      </c>
      <c r="AD115" s="391">
        <f t="shared" si="32"/>
        <v>0</v>
      </c>
      <c r="AF115" s="877" t="s">
        <v>325</v>
      </c>
      <c r="AG115" s="510" t="s">
        <v>974</v>
      </c>
      <c r="AH115" s="268" t="s">
        <v>173</v>
      </c>
      <c r="AI115" s="799">
        <f>P115</f>
        <v>0</v>
      </c>
      <c r="AJ115" s="512">
        <f>6533333-6533333</f>
        <v>0</v>
      </c>
      <c r="AK115" s="875">
        <f t="shared" si="34"/>
        <v>0</v>
      </c>
      <c r="AL115" s="820"/>
      <c r="AM115" s="302">
        <f t="shared" si="35"/>
        <v>0</v>
      </c>
    </row>
    <row r="116" spans="1:39" s="8" customFormat="1">
      <c r="A116" s="168" t="s">
        <v>24</v>
      </c>
      <c r="B116" s="265">
        <f>B88-SUM(B89:B115)</f>
        <v>1</v>
      </c>
      <c r="C116" s="84"/>
      <c r="D116" s="84"/>
      <c r="E116" s="84"/>
      <c r="F116" s="84"/>
      <c r="G116" s="84"/>
      <c r="H116" s="2074"/>
      <c r="I116" s="945"/>
      <c r="J116" s="206"/>
      <c r="K116" s="1447"/>
      <c r="L116" s="101"/>
      <c r="M116" s="142">
        <f>SUM(M89:M115)</f>
        <v>499373332</v>
      </c>
      <c r="N116" s="101"/>
      <c r="O116" s="142">
        <f>SUM(O89:O115)</f>
        <v>499373332</v>
      </c>
      <c r="P116" s="237"/>
      <c r="Q116" s="142">
        <f t="shared" ref="Q116:AD116" si="38">SUM(Q89:Q115)</f>
        <v>0</v>
      </c>
      <c r="R116" s="142">
        <f t="shared" si="38"/>
        <v>10028667</v>
      </c>
      <c r="S116" s="142">
        <f t="shared" si="38"/>
        <v>42220000</v>
      </c>
      <c r="T116" s="142">
        <f t="shared" si="38"/>
        <v>42220000</v>
      </c>
      <c r="U116" s="142">
        <f t="shared" si="38"/>
        <v>39509333</v>
      </c>
      <c r="V116" s="142">
        <f t="shared" si="38"/>
        <v>35817333</v>
      </c>
      <c r="W116" s="142">
        <f t="shared" si="38"/>
        <v>38146667</v>
      </c>
      <c r="X116" s="142">
        <f t="shared" si="38"/>
        <v>42580000</v>
      </c>
      <c r="Y116" s="142">
        <f t="shared" si="38"/>
        <v>42580000</v>
      </c>
      <c r="Z116" s="142">
        <f t="shared" si="38"/>
        <v>44060000</v>
      </c>
      <c r="AA116" s="142">
        <f t="shared" si="38"/>
        <v>46280000</v>
      </c>
      <c r="AB116" s="142">
        <f t="shared" si="38"/>
        <v>89171332</v>
      </c>
      <c r="AC116" s="142">
        <f t="shared" si="38"/>
        <v>472613332</v>
      </c>
      <c r="AD116" s="142">
        <f t="shared" si="38"/>
        <v>26760000</v>
      </c>
      <c r="AF116" s="852"/>
      <c r="AG116" s="14"/>
      <c r="AH116" s="14"/>
      <c r="AI116" s="101"/>
      <c r="AJ116" s="14">
        <f>SUM(AJ89:AJ115)</f>
        <v>499373333</v>
      </c>
      <c r="AK116" s="181">
        <f>SUM(AK89:AK115)</f>
        <v>1</v>
      </c>
      <c r="AL116" s="820">
        <f>B88-AJ116</f>
        <v>0</v>
      </c>
    </row>
    <row r="117" spans="1:39" s="6" customFormat="1" ht="34.5" customHeight="1">
      <c r="A117" s="745" t="s">
        <v>60</v>
      </c>
      <c r="B117" s="486">
        <f>B118+B225</f>
        <v>2641146274</v>
      </c>
      <c r="C117" s="601"/>
      <c r="D117" s="601"/>
      <c r="E117" s="601"/>
      <c r="F117" s="601"/>
      <c r="G117" s="601"/>
      <c r="H117" s="2114"/>
      <c r="I117" s="970"/>
      <c r="J117" s="970"/>
      <c r="K117" s="1452"/>
      <c r="L117" s="1159"/>
      <c r="M117" s="1160"/>
      <c r="N117" s="1159"/>
      <c r="O117" s="1161"/>
      <c r="P117" s="1162"/>
      <c r="Q117" s="1163"/>
      <c r="R117" s="1161"/>
      <c r="S117" s="1161"/>
      <c r="T117" s="1161"/>
      <c r="U117" s="1161"/>
      <c r="V117" s="1161"/>
      <c r="W117" s="1161"/>
      <c r="X117" s="1161"/>
      <c r="Y117" s="1161"/>
      <c r="Z117" s="1161"/>
      <c r="AA117" s="1161"/>
      <c r="AB117" s="1161"/>
      <c r="AC117" s="1164"/>
      <c r="AD117" s="1165"/>
      <c r="AF117" s="1173"/>
      <c r="AG117" s="1174"/>
      <c r="AH117" s="1174"/>
      <c r="AI117" s="1175"/>
      <c r="AJ117" s="1176"/>
      <c r="AK117" s="1177"/>
      <c r="AL117" s="820"/>
    </row>
    <row r="118" spans="1:39" s="6" customFormat="1" ht="23.25" customHeight="1">
      <c r="A118" s="602" t="s">
        <v>60</v>
      </c>
      <c r="B118" s="487">
        <f>2470601000+6480000+133558940+21163334+7372000</f>
        <v>2639175274</v>
      </c>
      <c r="C118" s="1299" t="s">
        <v>36</v>
      </c>
      <c r="D118" s="1299" t="s">
        <v>826</v>
      </c>
      <c r="E118" s="1299" t="s">
        <v>822</v>
      </c>
      <c r="F118" s="1299" t="s">
        <v>822</v>
      </c>
      <c r="G118" s="1299" t="s">
        <v>55</v>
      </c>
      <c r="H118" s="2115" t="s">
        <v>1641</v>
      </c>
      <c r="I118" s="971"/>
      <c r="J118" s="970"/>
      <c r="K118" s="1452"/>
      <c r="L118" s="1166"/>
      <c r="M118" s="1167"/>
      <c r="N118" s="1166"/>
      <c r="O118" s="1168"/>
      <c r="P118" s="1169"/>
      <c r="Q118" s="1163"/>
      <c r="R118" s="1168"/>
      <c r="S118" s="1168"/>
      <c r="T118" s="1168"/>
      <c r="U118" s="1168"/>
      <c r="V118" s="1161"/>
      <c r="W118" s="1170"/>
      <c r="X118" s="1170"/>
      <c r="Y118" s="1170"/>
      <c r="Z118" s="1161"/>
      <c r="AA118" s="1161"/>
      <c r="AB118" s="1161"/>
      <c r="AC118" s="1171">
        <f>SUM(Q118:AB118)</f>
        <v>0</v>
      </c>
      <c r="AD118" s="1172">
        <f t="shared" ref="AD118:AD149" si="39">O118-AC118</f>
        <v>0</v>
      </c>
      <c r="AF118" s="1173"/>
      <c r="AG118" s="1174"/>
      <c r="AH118" s="1174"/>
      <c r="AI118" s="1175"/>
      <c r="AJ118" s="1176"/>
      <c r="AK118" s="1177"/>
      <c r="AL118" s="820"/>
    </row>
    <row r="119" spans="1:39" s="6" customFormat="1">
      <c r="A119" s="817" t="s">
        <v>60</v>
      </c>
      <c r="B119" s="143">
        <f t="shared" ref="B119:B223" si="40">M119</f>
        <v>68200000</v>
      </c>
      <c r="C119" s="93" t="s">
        <v>36</v>
      </c>
      <c r="D119" s="93" t="s">
        <v>826</v>
      </c>
      <c r="E119" s="93" t="s">
        <v>822</v>
      </c>
      <c r="F119" s="93" t="s">
        <v>822</v>
      </c>
      <c r="G119" s="93" t="s">
        <v>55</v>
      </c>
      <c r="H119" s="2116" t="s">
        <v>1641</v>
      </c>
      <c r="I119" s="2104">
        <v>113</v>
      </c>
      <c r="J119" s="203">
        <v>0</v>
      </c>
      <c r="K119" s="503"/>
      <c r="L119" s="992">
        <v>23</v>
      </c>
      <c r="M119" s="608">
        <v>68200000</v>
      </c>
      <c r="N119" s="498">
        <v>8</v>
      </c>
      <c r="O119" s="163">
        <v>68200000</v>
      </c>
      <c r="P119" s="231">
        <v>10</v>
      </c>
      <c r="Q119" s="234"/>
      <c r="R119" s="153">
        <v>3100000</v>
      </c>
      <c r="S119" s="153">
        <v>6200000</v>
      </c>
      <c r="T119" s="153">
        <f>VLOOKUP(N119,[7]Hoja2!N$132:T$199,7,0)</f>
        <v>6200000</v>
      </c>
      <c r="U119" s="153">
        <v>6200000</v>
      </c>
      <c r="V119" s="153">
        <v>6200000</v>
      </c>
      <c r="W119" s="153">
        <v>6200000</v>
      </c>
      <c r="X119" s="153">
        <v>6200000</v>
      </c>
      <c r="Y119" s="153">
        <v>6200000</v>
      </c>
      <c r="Z119" s="153">
        <v>6200000</v>
      </c>
      <c r="AA119" s="153">
        <v>6200000</v>
      </c>
      <c r="AB119" s="153">
        <f>6200000+3100000</f>
        <v>9300000</v>
      </c>
      <c r="AC119" s="182">
        <f>SUM(Q119:AB119)</f>
        <v>68200000</v>
      </c>
      <c r="AD119" s="391">
        <f t="shared" si="39"/>
        <v>0</v>
      </c>
      <c r="AF119" s="878">
        <v>113</v>
      </c>
      <c r="AG119" s="879" t="s">
        <v>354</v>
      </c>
      <c r="AH119" s="268" t="s">
        <v>674</v>
      </c>
      <c r="AI119" s="799">
        <f t="shared" ref="AI119:AI223" si="41">P119</f>
        <v>10</v>
      </c>
      <c r="AJ119" s="880">
        <v>68200000</v>
      </c>
      <c r="AK119" s="875">
        <f t="shared" ref="AK119:AK150" si="42">AJ119-O119</f>
        <v>0</v>
      </c>
      <c r="AL119" s="820"/>
      <c r="AM119" s="302">
        <f t="shared" ref="AM119:AM150" si="43">AJ119-M119</f>
        <v>0</v>
      </c>
    </row>
    <row r="120" spans="1:39" s="6" customFormat="1">
      <c r="A120" s="817" t="s">
        <v>60</v>
      </c>
      <c r="B120" s="143">
        <f t="shared" si="40"/>
        <v>9300000</v>
      </c>
      <c r="C120" s="93" t="s">
        <v>36</v>
      </c>
      <c r="D120" s="93" t="s">
        <v>826</v>
      </c>
      <c r="E120" s="93" t="s">
        <v>822</v>
      </c>
      <c r="F120" s="93" t="s">
        <v>822</v>
      </c>
      <c r="G120" s="93" t="s">
        <v>55</v>
      </c>
      <c r="H120" s="2116" t="s">
        <v>1641</v>
      </c>
      <c r="I120" s="2105" t="s">
        <v>325</v>
      </c>
      <c r="J120" s="203">
        <v>747</v>
      </c>
      <c r="K120" s="503">
        <v>9300000</v>
      </c>
      <c r="L120" s="992">
        <v>860</v>
      </c>
      <c r="M120" s="608">
        <v>9300000</v>
      </c>
      <c r="N120" s="498">
        <v>1062</v>
      </c>
      <c r="O120" s="163">
        <v>9300000</v>
      </c>
      <c r="P120" s="231">
        <v>10</v>
      </c>
      <c r="Q120" s="234"/>
      <c r="R120" s="153"/>
      <c r="S120" s="153"/>
      <c r="T120" s="153"/>
      <c r="U120" s="153"/>
      <c r="V120" s="153"/>
      <c r="W120" s="153"/>
      <c r="X120" s="153"/>
      <c r="Y120" s="153"/>
      <c r="Z120" s="153"/>
      <c r="AA120" s="153"/>
      <c r="AB120" s="153">
        <v>3100000</v>
      </c>
      <c r="AC120" s="182">
        <f>SUM(Q120:AB120)</f>
        <v>3100000</v>
      </c>
      <c r="AD120" s="391">
        <f t="shared" si="39"/>
        <v>6200000</v>
      </c>
      <c r="AF120" s="1902" t="s">
        <v>325</v>
      </c>
      <c r="AG120" s="879" t="s">
        <v>1437</v>
      </c>
      <c r="AH120" s="268" t="s">
        <v>674</v>
      </c>
      <c r="AI120" s="799">
        <f>P120</f>
        <v>10</v>
      </c>
      <c r="AJ120" s="880">
        <v>9300000</v>
      </c>
      <c r="AK120" s="875">
        <f t="shared" si="42"/>
        <v>0</v>
      </c>
      <c r="AL120" s="820"/>
      <c r="AM120" s="302">
        <f t="shared" si="43"/>
        <v>0</v>
      </c>
    </row>
    <row r="121" spans="1:39" s="6" customFormat="1">
      <c r="A121" s="817" t="s">
        <v>60</v>
      </c>
      <c r="B121" s="143">
        <f t="shared" si="40"/>
        <v>3070667</v>
      </c>
      <c r="C121" s="93" t="s">
        <v>36</v>
      </c>
      <c r="D121" s="93" t="s">
        <v>826</v>
      </c>
      <c r="E121" s="93" t="s">
        <v>822</v>
      </c>
      <c r="F121" s="93" t="s">
        <v>822</v>
      </c>
      <c r="G121" s="93" t="s">
        <v>55</v>
      </c>
      <c r="H121" s="2116" t="s">
        <v>1641</v>
      </c>
      <c r="I121" s="2104">
        <v>114</v>
      </c>
      <c r="J121" s="203">
        <v>0</v>
      </c>
      <c r="K121" s="503"/>
      <c r="L121" s="992">
        <v>83</v>
      </c>
      <c r="M121" s="608">
        <f>36190000-33119333</f>
        <v>3070667</v>
      </c>
      <c r="N121" s="498">
        <v>105</v>
      </c>
      <c r="O121" s="163">
        <f>36190000-33119333</f>
        <v>3070667</v>
      </c>
      <c r="P121" s="231">
        <v>69</v>
      </c>
      <c r="Q121" s="234"/>
      <c r="R121" s="153">
        <v>987000</v>
      </c>
      <c r="S121" s="153">
        <v>2083666</v>
      </c>
      <c r="T121" s="153"/>
      <c r="U121" s="153"/>
      <c r="V121" s="153"/>
      <c r="W121" s="153"/>
      <c r="X121" s="153"/>
      <c r="Y121" s="153"/>
      <c r="Z121" s="153"/>
      <c r="AA121" s="153"/>
      <c r="AB121" s="153"/>
      <c r="AC121" s="182">
        <f t="shared" ref="AC121:AC207" si="44">SUM(Q121:AB121)</f>
        <v>3070666</v>
      </c>
      <c r="AD121" s="391">
        <f t="shared" si="39"/>
        <v>1</v>
      </c>
      <c r="AF121" s="878">
        <v>114</v>
      </c>
      <c r="AG121" s="879" t="s">
        <v>355</v>
      </c>
      <c r="AH121" s="268" t="s">
        <v>675</v>
      </c>
      <c r="AI121" s="799">
        <f t="shared" si="41"/>
        <v>69</v>
      </c>
      <c r="AJ121" s="880">
        <f>36190000-33119333</f>
        <v>3070667</v>
      </c>
      <c r="AK121" s="875">
        <f t="shared" si="42"/>
        <v>0</v>
      </c>
      <c r="AL121" s="820"/>
      <c r="AM121" s="302">
        <f t="shared" si="43"/>
        <v>0</v>
      </c>
    </row>
    <row r="122" spans="1:39" s="6" customFormat="1">
      <c r="A122" s="817" t="s">
        <v>60</v>
      </c>
      <c r="B122" s="143">
        <f t="shared" si="40"/>
        <v>0</v>
      </c>
      <c r="C122" s="93" t="s">
        <v>36</v>
      </c>
      <c r="D122" s="93" t="s">
        <v>826</v>
      </c>
      <c r="E122" s="93" t="s">
        <v>822</v>
      </c>
      <c r="F122" s="93" t="s">
        <v>822</v>
      </c>
      <c r="G122" s="93" t="s">
        <v>55</v>
      </c>
      <c r="H122" s="2116" t="s">
        <v>1641</v>
      </c>
      <c r="I122" s="2104">
        <v>115</v>
      </c>
      <c r="J122" s="203">
        <v>0</v>
      </c>
      <c r="K122" s="503"/>
      <c r="L122" s="992"/>
      <c r="M122" s="608"/>
      <c r="N122" s="270"/>
      <c r="O122" s="816"/>
      <c r="P122" s="238"/>
      <c r="Q122" s="234"/>
      <c r="R122" s="153"/>
      <c r="S122" s="153"/>
      <c r="T122" s="153"/>
      <c r="U122" s="153"/>
      <c r="V122" s="153"/>
      <c r="W122" s="153"/>
      <c r="X122" s="153"/>
      <c r="Y122" s="153"/>
      <c r="Z122" s="153"/>
      <c r="AA122" s="153"/>
      <c r="AB122" s="153"/>
      <c r="AC122" s="182">
        <f t="shared" si="44"/>
        <v>0</v>
      </c>
      <c r="AD122" s="391">
        <f t="shared" si="39"/>
        <v>0</v>
      </c>
      <c r="AF122" s="878">
        <v>115</v>
      </c>
      <c r="AG122" s="879" t="s">
        <v>356</v>
      </c>
      <c r="AH122" s="879" t="s">
        <v>173</v>
      </c>
      <c r="AI122" s="799">
        <f t="shared" si="41"/>
        <v>0</v>
      </c>
      <c r="AJ122" s="880">
        <f>94820000-8620000-86200000</f>
        <v>0</v>
      </c>
      <c r="AK122" s="875">
        <f t="shared" si="42"/>
        <v>0</v>
      </c>
      <c r="AL122" s="820"/>
      <c r="AM122" s="302">
        <f t="shared" si="43"/>
        <v>0</v>
      </c>
    </row>
    <row r="123" spans="1:39" s="6" customFormat="1">
      <c r="A123" s="817" t="s">
        <v>60</v>
      </c>
      <c r="B123" s="143">
        <f t="shared" si="40"/>
        <v>3440000</v>
      </c>
      <c r="C123" s="93" t="s">
        <v>36</v>
      </c>
      <c r="D123" s="93" t="s">
        <v>826</v>
      </c>
      <c r="E123" s="93" t="s">
        <v>822</v>
      </c>
      <c r="F123" s="93" t="s">
        <v>822</v>
      </c>
      <c r="G123" s="93" t="s">
        <v>55</v>
      </c>
      <c r="H123" s="2116" t="s">
        <v>1641</v>
      </c>
      <c r="I123" s="2104">
        <v>116</v>
      </c>
      <c r="J123" s="203">
        <v>0</v>
      </c>
      <c r="K123" s="503"/>
      <c r="L123" s="992">
        <v>324</v>
      </c>
      <c r="M123" s="608">
        <v>3440000</v>
      </c>
      <c r="N123" s="270">
        <v>330</v>
      </c>
      <c r="O123" s="816">
        <v>3440000</v>
      </c>
      <c r="P123" s="238">
        <v>275</v>
      </c>
      <c r="Q123" s="234"/>
      <c r="R123" s="153"/>
      <c r="S123" s="153">
        <v>172000</v>
      </c>
      <c r="T123" s="153">
        <f>VLOOKUP(N123,[7]Hoja2!N$132:T$199,7,0)</f>
        <v>1720000</v>
      </c>
      <c r="U123" s="153">
        <v>1548000</v>
      </c>
      <c r="V123" s="153"/>
      <c r="W123" s="153"/>
      <c r="X123" s="153"/>
      <c r="Y123" s="153"/>
      <c r="Z123" s="153"/>
      <c r="AA123" s="153"/>
      <c r="AB123" s="153"/>
      <c r="AC123" s="182">
        <f t="shared" si="44"/>
        <v>3440000</v>
      </c>
      <c r="AD123" s="391">
        <f t="shared" si="39"/>
        <v>0</v>
      </c>
      <c r="AF123" s="878">
        <v>116</v>
      </c>
      <c r="AG123" s="879" t="s">
        <v>357</v>
      </c>
      <c r="AH123" s="879" t="s">
        <v>782</v>
      </c>
      <c r="AI123" s="799">
        <f t="shared" si="41"/>
        <v>275</v>
      </c>
      <c r="AJ123" s="880">
        <f>6180000-2740000</f>
        <v>3440000</v>
      </c>
      <c r="AK123" s="875">
        <f t="shared" si="42"/>
        <v>0</v>
      </c>
      <c r="AL123" s="820"/>
      <c r="AM123" s="302">
        <f t="shared" si="43"/>
        <v>0</v>
      </c>
    </row>
    <row r="124" spans="1:39" s="6" customFormat="1">
      <c r="A124" s="817" t="s">
        <v>60</v>
      </c>
      <c r="B124" s="143">
        <f t="shared" si="40"/>
        <v>30000000</v>
      </c>
      <c r="C124" s="93" t="s">
        <v>36</v>
      </c>
      <c r="D124" s="93" t="s">
        <v>826</v>
      </c>
      <c r="E124" s="93" t="s">
        <v>822</v>
      </c>
      <c r="F124" s="93" t="s">
        <v>822</v>
      </c>
      <c r="G124" s="93" t="s">
        <v>55</v>
      </c>
      <c r="H124" s="2116" t="s">
        <v>1641</v>
      </c>
      <c r="I124" s="2104">
        <v>446</v>
      </c>
      <c r="J124" s="203">
        <v>0</v>
      </c>
      <c r="K124" s="503"/>
      <c r="L124" s="992">
        <v>478</v>
      </c>
      <c r="M124" s="608">
        <v>30000000</v>
      </c>
      <c r="N124" s="270">
        <v>499</v>
      </c>
      <c r="O124" s="816">
        <v>30000000</v>
      </c>
      <c r="P124" s="238">
        <v>354</v>
      </c>
      <c r="Q124" s="234"/>
      <c r="R124" s="153"/>
      <c r="S124" s="153"/>
      <c r="T124" s="153"/>
      <c r="U124" s="153"/>
      <c r="V124" s="153">
        <v>2266667</v>
      </c>
      <c r="W124" s="153">
        <v>4000000</v>
      </c>
      <c r="X124" s="153">
        <f>2933333+1066667</f>
        <v>4000000</v>
      </c>
      <c r="Y124" s="153">
        <v>4000000</v>
      </c>
      <c r="Z124" s="153">
        <v>4000000</v>
      </c>
      <c r="AA124" s="153">
        <v>4000000</v>
      </c>
      <c r="AB124" s="153">
        <f>4000000+3733333</f>
        <v>7733333</v>
      </c>
      <c r="AC124" s="182">
        <f t="shared" si="44"/>
        <v>30000000</v>
      </c>
      <c r="AD124" s="391">
        <f t="shared" si="39"/>
        <v>0</v>
      </c>
      <c r="AF124" s="878">
        <v>446</v>
      </c>
      <c r="AG124" s="879" t="s">
        <v>880</v>
      </c>
      <c r="AH124" s="879" t="s">
        <v>782</v>
      </c>
      <c r="AI124" s="799">
        <f t="shared" si="41"/>
        <v>354</v>
      </c>
      <c r="AJ124" s="880">
        <f>29600000+2740000-2340000</f>
        <v>30000000</v>
      </c>
      <c r="AK124" s="875">
        <f t="shared" si="42"/>
        <v>0</v>
      </c>
      <c r="AL124" s="820"/>
      <c r="AM124" s="302">
        <f t="shared" si="43"/>
        <v>0</v>
      </c>
    </row>
    <row r="125" spans="1:39" s="6" customFormat="1">
      <c r="A125" s="817" t="s">
        <v>60</v>
      </c>
      <c r="B125" s="143">
        <f t="shared" si="40"/>
        <v>60060000</v>
      </c>
      <c r="C125" s="93" t="s">
        <v>36</v>
      </c>
      <c r="D125" s="93" t="s">
        <v>826</v>
      </c>
      <c r="E125" s="93" t="s">
        <v>822</v>
      </c>
      <c r="F125" s="93" t="s">
        <v>822</v>
      </c>
      <c r="G125" s="93" t="s">
        <v>55</v>
      </c>
      <c r="H125" s="2116" t="s">
        <v>1641</v>
      </c>
      <c r="I125" s="2104">
        <v>117</v>
      </c>
      <c r="J125" s="203">
        <v>0</v>
      </c>
      <c r="K125" s="503"/>
      <c r="L125" s="992">
        <v>60</v>
      </c>
      <c r="M125" s="608">
        <v>60060000</v>
      </c>
      <c r="N125" s="498">
        <v>14</v>
      </c>
      <c r="O125" s="163">
        <v>60060000</v>
      </c>
      <c r="P125" s="231">
        <v>1</v>
      </c>
      <c r="Q125" s="234"/>
      <c r="R125" s="153">
        <v>2730000</v>
      </c>
      <c r="S125" s="153">
        <v>5460000</v>
      </c>
      <c r="T125" s="153">
        <f>VLOOKUP(N125,[7]Hoja2!N$132:T$199,7,0)</f>
        <v>5460000</v>
      </c>
      <c r="U125" s="153">
        <v>5460000</v>
      </c>
      <c r="V125" s="153">
        <v>5460000</v>
      </c>
      <c r="W125" s="153">
        <v>5460000</v>
      </c>
      <c r="X125" s="153">
        <v>5460000</v>
      </c>
      <c r="Y125" s="153">
        <v>5460000</v>
      </c>
      <c r="Z125" s="153">
        <v>5460000</v>
      </c>
      <c r="AA125" s="153">
        <v>2912000</v>
      </c>
      <c r="AB125" s="153">
        <f>5460000+1456000</f>
        <v>6916000</v>
      </c>
      <c r="AC125" s="182">
        <f t="shared" si="44"/>
        <v>56238000</v>
      </c>
      <c r="AD125" s="391">
        <f t="shared" si="39"/>
        <v>3822000</v>
      </c>
      <c r="AF125" s="878">
        <v>117</v>
      </c>
      <c r="AG125" s="879" t="s">
        <v>358</v>
      </c>
      <c r="AH125" s="268" t="s">
        <v>1608</v>
      </c>
      <c r="AI125" s="799">
        <f t="shared" si="41"/>
        <v>1</v>
      </c>
      <c r="AJ125" s="880">
        <v>60060000</v>
      </c>
      <c r="AK125" s="875">
        <f t="shared" si="42"/>
        <v>0</v>
      </c>
      <c r="AL125" s="820"/>
      <c r="AM125" s="302">
        <f t="shared" si="43"/>
        <v>0</v>
      </c>
    </row>
    <row r="126" spans="1:39" s="6" customFormat="1">
      <c r="A126" s="817" t="s">
        <v>60</v>
      </c>
      <c r="B126" s="143">
        <f t="shared" si="40"/>
        <v>5642000</v>
      </c>
      <c r="C126" s="93" t="s">
        <v>36</v>
      </c>
      <c r="D126" s="93" t="s">
        <v>826</v>
      </c>
      <c r="E126" s="93" t="s">
        <v>822</v>
      </c>
      <c r="F126" s="93" t="s">
        <v>822</v>
      </c>
      <c r="G126" s="93" t="s">
        <v>55</v>
      </c>
      <c r="H126" s="2116" t="s">
        <v>1641</v>
      </c>
      <c r="I126" s="2105" t="s">
        <v>325</v>
      </c>
      <c r="J126" s="203">
        <v>877</v>
      </c>
      <c r="K126" s="503">
        <v>5642000</v>
      </c>
      <c r="L126" s="992">
        <v>999</v>
      </c>
      <c r="M126" s="608">
        <v>5642000</v>
      </c>
      <c r="N126" s="498">
        <v>1164</v>
      </c>
      <c r="O126" s="163">
        <v>5642000</v>
      </c>
      <c r="P126" s="231">
        <v>1</v>
      </c>
      <c r="Q126" s="234"/>
      <c r="R126" s="153"/>
      <c r="S126" s="153"/>
      <c r="T126" s="153"/>
      <c r="U126" s="153"/>
      <c r="V126" s="153"/>
      <c r="W126" s="153"/>
      <c r="X126" s="153"/>
      <c r="Y126" s="153"/>
      <c r="Z126" s="153"/>
      <c r="AA126" s="153"/>
      <c r="AB126" s="153"/>
      <c r="AC126" s="182">
        <f t="shared" ref="AC126" si="45">SUM(Q126:AB126)</f>
        <v>0</v>
      </c>
      <c r="AD126" s="391">
        <f t="shared" si="39"/>
        <v>5642000</v>
      </c>
      <c r="AF126" s="1952" t="s">
        <v>325</v>
      </c>
      <c r="AG126" s="879" t="s">
        <v>1578</v>
      </c>
      <c r="AH126" s="268" t="s">
        <v>1608</v>
      </c>
      <c r="AI126" s="799">
        <f t="shared" si="41"/>
        <v>1</v>
      </c>
      <c r="AJ126" s="1953">
        <v>5642000</v>
      </c>
      <c r="AK126" s="875">
        <f t="shared" si="42"/>
        <v>0</v>
      </c>
      <c r="AL126" s="820"/>
      <c r="AM126" s="302">
        <f t="shared" si="43"/>
        <v>0</v>
      </c>
    </row>
    <row r="127" spans="1:39" s="6" customFormat="1">
      <c r="A127" s="817" t="s">
        <v>60</v>
      </c>
      <c r="B127" s="143">
        <f t="shared" si="40"/>
        <v>37000000</v>
      </c>
      <c r="C127" s="93" t="s">
        <v>36</v>
      </c>
      <c r="D127" s="93" t="s">
        <v>826</v>
      </c>
      <c r="E127" s="93" t="s">
        <v>822</v>
      </c>
      <c r="F127" s="93" t="s">
        <v>822</v>
      </c>
      <c r="G127" s="93" t="s">
        <v>55</v>
      </c>
      <c r="H127" s="2116" t="s">
        <v>1641</v>
      </c>
      <c r="I127" s="2104">
        <v>118</v>
      </c>
      <c r="J127" s="203">
        <v>0</v>
      </c>
      <c r="K127" s="503"/>
      <c r="L127" s="992">
        <v>226</v>
      </c>
      <c r="M127" s="608">
        <v>37000000</v>
      </c>
      <c r="N127" s="498">
        <v>207</v>
      </c>
      <c r="O127" s="163">
        <v>37000000</v>
      </c>
      <c r="P127" s="231">
        <v>167</v>
      </c>
      <c r="Q127" s="234"/>
      <c r="R127" s="153"/>
      <c r="S127" s="153">
        <v>3700000</v>
      </c>
      <c r="T127" s="153">
        <f>VLOOKUP(N127,[7]Hoja2!N$132:T$199,7,0)</f>
        <v>3700000</v>
      </c>
      <c r="U127" s="153">
        <v>3700000</v>
      </c>
      <c r="V127" s="153">
        <v>3700000</v>
      </c>
      <c r="W127" s="153">
        <v>3700000</v>
      </c>
      <c r="X127" s="153">
        <v>3700000</v>
      </c>
      <c r="Y127" s="153">
        <v>3700000</v>
      </c>
      <c r="Z127" s="153">
        <v>3700000</v>
      </c>
      <c r="AA127" s="153">
        <v>3700000</v>
      </c>
      <c r="AB127" s="153">
        <v>3700000</v>
      </c>
      <c r="AC127" s="182">
        <f t="shared" si="44"/>
        <v>37000000</v>
      </c>
      <c r="AD127" s="391">
        <f t="shared" si="39"/>
        <v>0</v>
      </c>
      <c r="AF127" s="878" t="s">
        <v>878</v>
      </c>
      <c r="AG127" s="879" t="s">
        <v>359</v>
      </c>
      <c r="AH127" s="268" t="s">
        <v>676</v>
      </c>
      <c r="AI127" s="799">
        <f t="shared" si="41"/>
        <v>167</v>
      </c>
      <c r="AJ127" s="880">
        <f>38280000-1280000</f>
        <v>37000000</v>
      </c>
      <c r="AK127" s="875">
        <f t="shared" si="42"/>
        <v>0</v>
      </c>
      <c r="AL127" s="820"/>
      <c r="AM127" s="302">
        <f t="shared" si="43"/>
        <v>0</v>
      </c>
    </row>
    <row r="128" spans="1:39" s="6" customFormat="1">
      <c r="A128" s="817" t="s">
        <v>60</v>
      </c>
      <c r="B128" s="143">
        <f t="shared" si="40"/>
        <v>6660000</v>
      </c>
      <c r="C128" s="93" t="s">
        <v>36</v>
      </c>
      <c r="D128" s="93" t="s">
        <v>826</v>
      </c>
      <c r="E128" s="93" t="s">
        <v>822</v>
      </c>
      <c r="F128" s="93" t="s">
        <v>822</v>
      </c>
      <c r="G128" s="93" t="s">
        <v>55</v>
      </c>
      <c r="H128" s="2116" t="s">
        <v>1641</v>
      </c>
      <c r="I128" s="2105" t="s">
        <v>325</v>
      </c>
      <c r="J128" s="203">
        <v>732</v>
      </c>
      <c r="K128" s="503">
        <v>6727273</v>
      </c>
      <c r="L128" s="992">
        <v>841</v>
      </c>
      <c r="M128" s="503">
        <f>6727273-67273</f>
        <v>6660000</v>
      </c>
      <c r="N128" s="498">
        <v>1005</v>
      </c>
      <c r="O128" s="163">
        <v>6660000</v>
      </c>
      <c r="P128" s="231">
        <v>167</v>
      </c>
      <c r="Q128" s="234"/>
      <c r="R128" s="153"/>
      <c r="S128" s="153"/>
      <c r="T128" s="153"/>
      <c r="U128" s="153"/>
      <c r="V128" s="153"/>
      <c r="W128" s="153"/>
      <c r="X128" s="153"/>
      <c r="Y128" s="153"/>
      <c r="Z128" s="153"/>
      <c r="AA128" s="153"/>
      <c r="AB128" s="153">
        <v>3700000</v>
      </c>
      <c r="AC128" s="182">
        <f>SUM(Q128:AB128)</f>
        <v>3700000</v>
      </c>
      <c r="AD128" s="391">
        <f t="shared" si="39"/>
        <v>2960000</v>
      </c>
      <c r="AF128" s="1902" t="s">
        <v>325</v>
      </c>
      <c r="AG128" s="879" t="s">
        <v>1470</v>
      </c>
      <c r="AH128" s="268" t="s">
        <v>676</v>
      </c>
      <c r="AI128" s="799">
        <f t="shared" si="41"/>
        <v>167</v>
      </c>
      <c r="AJ128" s="880">
        <v>6727273</v>
      </c>
      <c r="AK128" s="875">
        <f t="shared" si="42"/>
        <v>67273</v>
      </c>
      <c r="AL128" s="820"/>
      <c r="AM128" s="302">
        <f t="shared" si="43"/>
        <v>67273</v>
      </c>
    </row>
    <row r="129" spans="1:39" s="6" customFormat="1">
      <c r="A129" s="817" t="s">
        <v>60</v>
      </c>
      <c r="B129" s="143">
        <f t="shared" si="40"/>
        <v>74800000</v>
      </c>
      <c r="C129" s="93" t="s">
        <v>36</v>
      </c>
      <c r="D129" s="93" t="s">
        <v>826</v>
      </c>
      <c r="E129" s="93" t="s">
        <v>822</v>
      </c>
      <c r="F129" s="93" t="s">
        <v>822</v>
      </c>
      <c r="G129" s="93" t="s">
        <v>55</v>
      </c>
      <c r="H129" s="2116" t="s">
        <v>1641</v>
      </c>
      <c r="I129" s="2104">
        <v>119</v>
      </c>
      <c r="J129" s="203">
        <v>0</v>
      </c>
      <c r="K129" s="503"/>
      <c r="L129" s="992">
        <v>61</v>
      </c>
      <c r="M129" s="608">
        <v>74800000</v>
      </c>
      <c r="N129" s="498">
        <v>15</v>
      </c>
      <c r="O129" s="163">
        <v>74800000</v>
      </c>
      <c r="P129" s="231">
        <v>4</v>
      </c>
      <c r="Q129" s="234"/>
      <c r="R129" s="153">
        <v>3400000</v>
      </c>
      <c r="S129" s="153">
        <v>6800000</v>
      </c>
      <c r="T129" s="153">
        <f>VLOOKUP(N129,[7]Hoja2!N$132:T$199,7,0)</f>
        <v>6800000</v>
      </c>
      <c r="U129" s="153">
        <v>6800000</v>
      </c>
      <c r="V129" s="153">
        <v>6800000</v>
      </c>
      <c r="W129" s="153">
        <v>6800000</v>
      </c>
      <c r="X129" s="153">
        <v>6800000</v>
      </c>
      <c r="Y129" s="153">
        <v>6800000</v>
      </c>
      <c r="Z129" s="153">
        <v>5666666</v>
      </c>
      <c r="AA129" s="153">
        <v>6800000</v>
      </c>
      <c r="AB129" s="153">
        <v>6800000</v>
      </c>
      <c r="AC129" s="182">
        <f t="shared" si="44"/>
        <v>70266666</v>
      </c>
      <c r="AD129" s="391">
        <f t="shared" si="39"/>
        <v>4533334</v>
      </c>
      <c r="AF129" s="878">
        <v>119</v>
      </c>
      <c r="AG129" s="879" t="s">
        <v>360</v>
      </c>
      <c r="AH129" s="268" t="s">
        <v>677</v>
      </c>
      <c r="AI129" s="799">
        <f t="shared" si="41"/>
        <v>4</v>
      </c>
      <c r="AJ129" s="880">
        <v>74800000</v>
      </c>
      <c r="AK129" s="875">
        <f t="shared" si="42"/>
        <v>0</v>
      </c>
      <c r="AL129" s="820"/>
      <c r="AM129" s="302">
        <f t="shared" si="43"/>
        <v>0</v>
      </c>
    </row>
    <row r="130" spans="1:39" s="6" customFormat="1">
      <c r="A130" s="817" t="s">
        <v>60</v>
      </c>
      <c r="B130" s="143">
        <f t="shared" si="40"/>
        <v>8840000</v>
      </c>
      <c r="C130" s="93" t="s">
        <v>36</v>
      </c>
      <c r="D130" s="93" t="s">
        <v>826</v>
      </c>
      <c r="E130" s="93" t="s">
        <v>822</v>
      </c>
      <c r="F130" s="93" t="s">
        <v>822</v>
      </c>
      <c r="G130" s="93" t="s">
        <v>55</v>
      </c>
      <c r="H130" s="2116" t="s">
        <v>1641</v>
      </c>
      <c r="I130" s="2105" t="s">
        <v>325</v>
      </c>
      <c r="J130" s="1954" t="s">
        <v>1568</v>
      </c>
      <c r="K130" s="503">
        <f>10200000-10200000+9066667</f>
        <v>9066667</v>
      </c>
      <c r="L130" s="992">
        <v>968</v>
      </c>
      <c r="M130" s="608">
        <f>9066667-226667</f>
        <v>8840000</v>
      </c>
      <c r="N130" s="498">
        <v>1131</v>
      </c>
      <c r="O130" s="163">
        <v>8840000</v>
      </c>
      <c r="P130" s="231">
        <v>4</v>
      </c>
      <c r="Q130" s="234"/>
      <c r="R130" s="153"/>
      <c r="S130" s="153"/>
      <c r="T130" s="153"/>
      <c r="U130" s="153"/>
      <c r="V130" s="153"/>
      <c r="W130" s="153"/>
      <c r="X130" s="153"/>
      <c r="Y130" s="153"/>
      <c r="Z130" s="153"/>
      <c r="AA130" s="153"/>
      <c r="AB130" s="153"/>
      <c r="AC130" s="182">
        <f>SUM(Q130:AB130)</f>
        <v>0</v>
      </c>
      <c r="AD130" s="391">
        <f t="shared" si="39"/>
        <v>8840000</v>
      </c>
      <c r="AF130" s="1902" t="s">
        <v>325</v>
      </c>
      <c r="AG130" s="879" t="s">
        <v>1481</v>
      </c>
      <c r="AH130" s="268" t="s">
        <v>677</v>
      </c>
      <c r="AI130" s="799">
        <f t="shared" si="41"/>
        <v>4</v>
      </c>
      <c r="AJ130" s="880">
        <f>10200000-1133333</f>
        <v>9066667</v>
      </c>
      <c r="AK130" s="875">
        <f t="shared" si="42"/>
        <v>226667</v>
      </c>
      <c r="AL130" s="820"/>
      <c r="AM130" s="302">
        <f t="shared" si="43"/>
        <v>226667</v>
      </c>
    </row>
    <row r="131" spans="1:39" s="6" customFormat="1">
      <c r="A131" s="817" t="s">
        <v>60</v>
      </c>
      <c r="B131" s="143">
        <f t="shared" si="40"/>
        <v>40700000</v>
      </c>
      <c r="C131" s="93" t="s">
        <v>36</v>
      </c>
      <c r="D131" s="93" t="s">
        <v>826</v>
      </c>
      <c r="E131" s="93" t="s">
        <v>822</v>
      </c>
      <c r="F131" s="93" t="s">
        <v>822</v>
      </c>
      <c r="G131" s="93" t="s">
        <v>55</v>
      </c>
      <c r="H131" s="2116" t="s">
        <v>1641</v>
      </c>
      <c r="I131" s="2104">
        <v>124</v>
      </c>
      <c r="J131" s="203">
        <v>0</v>
      </c>
      <c r="K131" s="503"/>
      <c r="L131" s="992">
        <v>238</v>
      </c>
      <c r="M131" s="608">
        <v>40700000</v>
      </c>
      <c r="N131" s="498">
        <v>205</v>
      </c>
      <c r="O131" s="163">
        <v>40700000</v>
      </c>
      <c r="P131" s="231">
        <v>193</v>
      </c>
      <c r="Q131" s="234"/>
      <c r="R131" s="153"/>
      <c r="S131" s="153">
        <v>3700000</v>
      </c>
      <c r="T131" s="153">
        <f>VLOOKUP(N131,[7]Hoja2!N$132:T$199,7,0)</f>
        <v>3700000</v>
      </c>
      <c r="U131" s="153">
        <v>3700000</v>
      </c>
      <c r="V131" s="153">
        <v>3700000</v>
      </c>
      <c r="W131" s="153">
        <v>3700000</v>
      </c>
      <c r="X131" s="153">
        <v>3700000</v>
      </c>
      <c r="Y131" s="153">
        <v>3700000</v>
      </c>
      <c r="Z131" s="153">
        <v>3700000</v>
      </c>
      <c r="AA131" s="153">
        <v>3700000</v>
      </c>
      <c r="AB131" s="153">
        <f>3700000+3700000</f>
        <v>7400000</v>
      </c>
      <c r="AC131" s="182">
        <f t="shared" si="44"/>
        <v>40700000</v>
      </c>
      <c r="AD131" s="391">
        <f t="shared" si="39"/>
        <v>0</v>
      </c>
      <c r="AF131" s="878">
        <v>124</v>
      </c>
      <c r="AG131" s="879" t="s">
        <v>361</v>
      </c>
      <c r="AH131" s="268" t="s">
        <v>678</v>
      </c>
      <c r="AI131" s="799">
        <f t="shared" si="41"/>
        <v>193</v>
      </c>
      <c r="AJ131" s="880">
        <v>40700000</v>
      </c>
      <c r="AK131" s="875">
        <f t="shared" si="42"/>
        <v>0</v>
      </c>
      <c r="AL131" s="820"/>
      <c r="AM131" s="302">
        <f t="shared" si="43"/>
        <v>0</v>
      </c>
    </row>
    <row r="132" spans="1:39" s="6" customFormat="1">
      <c r="A132" s="817" t="s">
        <v>60</v>
      </c>
      <c r="B132" s="143">
        <f t="shared" si="40"/>
        <v>3700000</v>
      </c>
      <c r="C132" s="93" t="s">
        <v>36</v>
      </c>
      <c r="D132" s="93" t="s">
        <v>826</v>
      </c>
      <c r="E132" s="93" t="s">
        <v>822</v>
      </c>
      <c r="F132" s="93" t="s">
        <v>822</v>
      </c>
      <c r="G132" s="93" t="s">
        <v>55</v>
      </c>
      <c r="H132" s="2116" t="s">
        <v>1641</v>
      </c>
      <c r="I132" s="2105" t="s">
        <v>325</v>
      </c>
      <c r="J132" s="203">
        <v>765</v>
      </c>
      <c r="K132" s="503">
        <v>3700000</v>
      </c>
      <c r="L132" s="992">
        <v>881</v>
      </c>
      <c r="M132" s="608">
        <v>3700000</v>
      </c>
      <c r="N132" s="498">
        <v>1166</v>
      </c>
      <c r="O132" s="163">
        <v>3700000</v>
      </c>
      <c r="P132" s="231">
        <v>193</v>
      </c>
      <c r="Q132" s="234"/>
      <c r="R132" s="153"/>
      <c r="S132" s="153"/>
      <c r="T132" s="153"/>
      <c r="U132" s="153"/>
      <c r="V132" s="153"/>
      <c r="W132" s="153"/>
      <c r="X132" s="153"/>
      <c r="Y132" s="153"/>
      <c r="Z132" s="153"/>
      <c r="AA132" s="153"/>
      <c r="AB132" s="153"/>
      <c r="AC132" s="182">
        <f>SUM(Q132:AB132)</f>
        <v>0</v>
      </c>
      <c r="AD132" s="391">
        <f t="shared" si="39"/>
        <v>3700000</v>
      </c>
      <c r="AF132" s="1902" t="s">
        <v>325</v>
      </c>
      <c r="AG132" s="879" t="s">
        <v>1473</v>
      </c>
      <c r="AH132" s="268" t="s">
        <v>678</v>
      </c>
      <c r="AI132" s="799">
        <f t="shared" si="41"/>
        <v>193</v>
      </c>
      <c r="AJ132" s="880">
        <v>3700000</v>
      </c>
      <c r="AK132" s="875">
        <f t="shared" si="42"/>
        <v>0</v>
      </c>
      <c r="AL132" s="820"/>
      <c r="AM132" s="302">
        <f t="shared" si="43"/>
        <v>0</v>
      </c>
    </row>
    <row r="133" spans="1:39" s="6" customFormat="1">
      <c r="A133" s="817" t="s">
        <v>60</v>
      </c>
      <c r="B133" s="143">
        <f t="shared" si="40"/>
        <v>29480000</v>
      </c>
      <c r="C133" s="93" t="s">
        <v>36</v>
      </c>
      <c r="D133" s="93" t="s">
        <v>826</v>
      </c>
      <c r="E133" s="93" t="s">
        <v>822</v>
      </c>
      <c r="F133" s="93" t="s">
        <v>822</v>
      </c>
      <c r="G133" s="93" t="s">
        <v>55</v>
      </c>
      <c r="H133" s="2116" t="s">
        <v>1641</v>
      </c>
      <c r="I133" s="2104">
        <v>128</v>
      </c>
      <c r="J133" s="203">
        <v>0</v>
      </c>
      <c r="K133" s="503"/>
      <c r="L133" s="992">
        <v>142</v>
      </c>
      <c r="M133" s="608">
        <v>29480000</v>
      </c>
      <c r="N133" s="498">
        <v>96</v>
      </c>
      <c r="O133" s="163">
        <v>29480000</v>
      </c>
      <c r="P133" s="231">
        <v>132</v>
      </c>
      <c r="Q133" s="234"/>
      <c r="R133" s="153">
        <v>625331</v>
      </c>
      <c r="S133" s="153">
        <v>2680000</v>
      </c>
      <c r="T133" s="153">
        <f>VLOOKUP(N133,[7]Hoja2!N$132:T$199,7,0)</f>
        <v>2680000</v>
      </c>
      <c r="U133" s="153">
        <v>2680000</v>
      </c>
      <c r="V133" s="153">
        <v>2680000</v>
      </c>
      <c r="W133" s="153">
        <v>2680000</v>
      </c>
      <c r="X133" s="153">
        <v>2680000</v>
      </c>
      <c r="Y133" s="153">
        <v>2680000</v>
      </c>
      <c r="Z133" s="153">
        <v>2680000</v>
      </c>
      <c r="AA133" s="153">
        <v>2680000</v>
      </c>
      <c r="AB133" s="153">
        <f>2680000+2054667</f>
        <v>4734667</v>
      </c>
      <c r="AC133" s="182">
        <f t="shared" si="44"/>
        <v>29479998</v>
      </c>
      <c r="AD133" s="391">
        <f t="shared" si="39"/>
        <v>2</v>
      </c>
      <c r="AF133" s="878">
        <v>128</v>
      </c>
      <c r="AG133" s="879" t="s">
        <v>362</v>
      </c>
      <c r="AH133" s="268" t="s">
        <v>679</v>
      </c>
      <c r="AI133" s="799">
        <f t="shared" si="41"/>
        <v>132</v>
      </c>
      <c r="AJ133" s="880">
        <v>29480000</v>
      </c>
      <c r="AK133" s="875">
        <f t="shared" si="42"/>
        <v>0</v>
      </c>
      <c r="AL133" s="820"/>
      <c r="AM133" s="302">
        <f t="shared" si="43"/>
        <v>0</v>
      </c>
    </row>
    <row r="134" spans="1:39" s="6" customFormat="1">
      <c r="A134" s="817" t="s">
        <v>60</v>
      </c>
      <c r="B134" s="143">
        <f t="shared" si="40"/>
        <v>3305333</v>
      </c>
      <c r="C134" s="93" t="s">
        <v>36</v>
      </c>
      <c r="D134" s="93" t="s">
        <v>826</v>
      </c>
      <c r="E134" s="93" t="s">
        <v>822</v>
      </c>
      <c r="F134" s="93" t="s">
        <v>822</v>
      </c>
      <c r="G134" s="93" t="s">
        <v>55</v>
      </c>
      <c r="H134" s="2116" t="s">
        <v>1641</v>
      </c>
      <c r="I134" s="2105" t="s">
        <v>325</v>
      </c>
      <c r="J134" s="203">
        <v>835</v>
      </c>
      <c r="K134" s="503">
        <v>3305333</v>
      </c>
      <c r="L134" s="992">
        <v>962</v>
      </c>
      <c r="M134" s="608">
        <v>3305333</v>
      </c>
      <c r="N134" s="498">
        <v>1153</v>
      </c>
      <c r="O134" s="163">
        <v>3305333</v>
      </c>
      <c r="P134" s="231">
        <v>132</v>
      </c>
      <c r="Q134" s="234"/>
      <c r="R134" s="153"/>
      <c r="S134" s="153"/>
      <c r="T134" s="153"/>
      <c r="U134" s="153"/>
      <c r="V134" s="153"/>
      <c r="W134" s="153"/>
      <c r="X134" s="153"/>
      <c r="Y134" s="153"/>
      <c r="Z134" s="153"/>
      <c r="AA134" s="153"/>
      <c r="AB134" s="153">
        <v>625333</v>
      </c>
      <c r="AC134" s="182">
        <f>SUM(Q134:AB134)</f>
        <v>625333</v>
      </c>
      <c r="AD134" s="391">
        <f t="shared" si="39"/>
        <v>2680000</v>
      </c>
      <c r="AF134" s="1902" t="s">
        <v>325</v>
      </c>
      <c r="AG134" s="879" t="s">
        <v>1467</v>
      </c>
      <c r="AH134" s="268" t="s">
        <v>679</v>
      </c>
      <c r="AI134" s="799">
        <f t="shared" si="41"/>
        <v>132</v>
      </c>
      <c r="AJ134" s="880">
        <v>3305333</v>
      </c>
      <c r="AK134" s="875">
        <f t="shared" si="42"/>
        <v>0</v>
      </c>
      <c r="AL134" s="820"/>
      <c r="AM134" s="302">
        <f t="shared" si="43"/>
        <v>0</v>
      </c>
    </row>
    <row r="135" spans="1:39" s="6" customFormat="1">
      <c r="A135" s="817" t="s">
        <v>60</v>
      </c>
      <c r="B135" s="143">
        <f t="shared" si="40"/>
        <v>56650000</v>
      </c>
      <c r="C135" s="93" t="s">
        <v>36</v>
      </c>
      <c r="D135" s="93" t="s">
        <v>826</v>
      </c>
      <c r="E135" s="93" t="s">
        <v>822</v>
      </c>
      <c r="F135" s="93" t="s">
        <v>822</v>
      </c>
      <c r="G135" s="93" t="s">
        <v>55</v>
      </c>
      <c r="H135" s="2116" t="s">
        <v>1641</v>
      </c>
      <c r="I135" s="2104">
        <v>140</v>
      </c>
      <c r="J135" s="203">
        <v>0</v>
      </c>
      <c r="K135" s="503"/>
      <c r="L135" s="992">
        <v>143</v>
      </c>
      <c r="M135" s="608">
        <v>56650000</v>
      </c>
      <c r="N135" s="498">
        <v>152</v>
      </c>
      <c r="O135" s="163">
        <v>56650000</v>
      </c>
      <c r="P135" s="231">
        <v>136</v>
      </c>
      <c r="Q135" s="234"/>
      <c r="R135" s="153">
        <v>1030000</v>
      </c>
      <c r="S135" s="153">
        <v>5150000</v>
      </c>
      <c r="T135" s="153">
        <f>VLOOKUP(N135,[7]Hoja2!N$132:T$199,7,0)</f>
        <v>5150000</v>
      </c>
      <c r="U135" s="153">
        <v>5150000</v>
      </c>
      <c r="V135" s="153">
        <v>5150000</v>
      </c>
      <c r="W135" s="153">
        <v>5150000</v>
      </c>
      <c r="X135" s="153">
        <v>5150000</v>
      </c>
      <c r="Y135" s="153">
        <v>5150000</v>
      </c>
      <c r="Z135" s="153">
        <v>5150000</v>
      </c>
      <c r="AA135" s="153">
        <v>5150000</v>
      </c>
      <c r="AB135" s="153">
        <f>5150000+4120000</f>
        <v>9270000</v>
      </c>
      <c r="AC135" s="182">
        <f t="shared" si="44"/>
        <v>56650000</v>
      </c>
      <c r="AD135" s="391">
        <f t="shared" si="39"/>
        <v>0</v>
      </c>
      <c r="AF135" s="878">
        <v>140</v>
      </c>
      <c r="AG135" s="879" t="s">
        <v>363</v>
      </c>
      <c r="AH135" s="268" t="s">
        <v>680</v>
      </c>
      <c r="AI135" s="799">
        <f t="shared" si="41"/>
        <v>136</v>
      </c>
      <c r="AJ135" s="880">
        <v>56650000</v>
      </c>
      <c r="AK135" s="875">
        <f t="shared" si="42"/>
        <v>0</v>
      </c>
      <c r="AL135" s="820"/>
      <c r="AM135" s="302">
        <f t="shared" si="43"/>
        <v>0</v>
      </c>
    </row>
    <row r="136" spans="1:39" s="6" customFormat="1">
      <c r="A136" s="817" t="s">
        <v>60</v>
      </c>
      <c r="B136" s="143">
        <f t="shared" si="40"/>
        <v>6180000</v>
      </c>
      <c r="C136" s="93" t="s">
        <v>36</v>
      </c>
      <c r="D136" s="93" t="s">
        <v>826</v>
      </c>
      <c r="E136" s="93" t="s">
        <v>822</v>
      </c>
      <c r="F136" s="93" t="s">
        <v>822</v>
      </c>
      <c r="G136" s="93" t="s">
        <v>55</v>
      </c>
      <c r="H136" s="2116" t="s">
        <v>1641</v>
      </c>
      <c r="I136" s="2105" t="s">
        <v>325</v>
      </c>
      <c r="J136" s="203">
        <v>836</v>
      </c>
      <c r="K136" s="503">
        <v>6180000</v>
      </c>
      <c r="L136" s="992">
        <v>964</v>
      </c>
      <c r="M136" s="608">
        <v>6180000</v>
      </c>
      <c r="N136" s="498">
        <v>1161</v>
      </c>
      <c r="O136" s="163">
        <v>6180000</v>
      </c>
      <c r="P136" s="231">
        <v>136</v>
      </c>
      <c r="Q136" s="234"/>
      <c r="R136" s="153"/>
      <c r="S136" s="153"/>
      <c r="T136" s="153"/>
      <c r="U136" s="153"/>
      <c r="V136" s="153"/>
      <c r="W136" s="153"/>
      <c r="X136" s="153"/>
      <c r="Y136" s="153"/>
      <c r="Z136" s="153"/>
      <c r="AA136" s="153"/>
      <c r="AB136" s="153">
        <v>1030000</v>
      </c>
      <c r="AC136" s="182">
        <f>SUM(Q136:AB136)</f>
        <v>1030000</v>
      </c>
      <c r="AD136" s="391">
        <f t="shared" si="39"/>
        <v>5150000</v>
      </c>
      <c r="AF136" s="1902" t="s">
        <v>325</v>
      </c>
      <c r="AG136" s="879" t="s">
        <v>1468</v>
      </c>
      <c r="AH136" s="268" t="s">
        <v>680</v>
      </c>
      <c r="AI136" s="799">
        <f t="shared" si="41"/>
        <v>136</v>
      </c>
      <c r="AJ136" s="880">
        <v>6180000</v>
      </c>
      <c r="AK136" s="875">
        <f t="shared" si="42"/>
        <v>0</v>
      </c>
      <c r="AL136" s="820"/>
      <c r="AM136" s="302">
        <f t="shared" si="43"/>
        <v>0</v>
      </c>
    </row>
    <row r="137" spans="1:39" s="6" customFormat="1">
      <c r="A137" s="817" t="s">
        <v>60</v>
      </c>
      <c r="B137" s="143">
        <f t="shared" si="40"/>
        <v>28466666</v>
      </c>
      <c r="C137" s="93" t="s">
        <v>36</v>
      </c>
      <c r="D137" s="93" t="s">
        <v>826</v>
      </c>
      <c r="E137" s="93" t="s">
        <v>822</v>
      </c>
      <c r="F137" s="93" t="s">
        <v>822</v>
      </c>
      <c r="G137" s="93" t="s">
        <v>55</v>
      </c>
      <c r="H137" s="2116" t="s">
        <v>1641</v>
      </c>
      <c r="I137" s="2104">
        <v>141</v>
      </c>
      <c r="J137" s="203">
        <v>0</v>
      </c>
      <c r="K137" s="503"/>
      <c r="L137" s="992">
        <v>166</v>
      </c>
      <c r="M137" s="608">
        <f>70000000-41533334</f>
        <v>28466666</v>
      </c>
      <c r="N137" s="498">
        <v>160</v>
      </c>
      <c r="O137" s="163">
        <f>70000000-41533334</f>
        <v>28466666</v>
      </c>
      <c r="P137" s="231">
        <v>140</v>
      </c>
      <c r="Q137" s="234"/>
      <c r="R137" s="153"/>
      <c r="S137" s="153">
        <v>7466666</v>
      </c>
      <c r="T137" s="153">
        <f>VLOOKUP(N137,[7]Hoja2!N$132:T$199,7,0)</f>
        <v>7000000</v>
      </c>
      <c r="U137" s="153">
        <v>7000000</v>
      </c>
      <c r="V137" s="153"/>
      <c r="W137" s="153"/>
      <c r="X137" s="153">
        <v>7000000</v>
      </c>
      <c r="Y137" s="153"/>
      <c r="Z137" s="153"/>
      <c r="AA137" s="153"/>
      <c r="AB137" s="153"/>
      <c r="AC137" s="182">
        <f t="shared" si="44"/>
        <v>28466666</v>
      </c>
      <c r="AD137" s="391">
        <f t="shared" si="39"/>
        <v>0</v>
      </c>
      <c r="AF137" s="878">
        <v>141</v>
      </c>
      <c r="AG137" s="879" t="s">
        <v>364</v>
      </c>
      <c r="AH137" s="268" t="s">
        <v>681</v>
      </c>
      <c r="AI137" s="799">
        <f t="shared" si="41"/>
        <v>140</v>
      </c>
      <c r="AJ137" s="880">
        <f>71390000-42923334</f>
        <v>28466666</v>
      </c>
      <c r="AK137" s="875">
        <f t="shared" si="42"/>
        <v>0</v>
      </c>
      <c r="AL137" s="820"/>
      <c r="AM137" s="302">
        <f t="shared" si="43"/>
        <v>0</v>
      </c>
    </row>
    <row r="138" spans="1:39" s="6" customFormat="1">
      <c r="A138" s="817" t="s">
        <v>60</v>
      </c>
      <c r="B138" s="143">
        <f t="shared" si="40"/>
        <v>600000</v>
      </c>
      <c r="C138" s="93" t="s">
        <v>36</v>
      </c>
      <c r="D138" s="93" t="s">
        <v>826</v>
      </c>
      <c r="E138" s="93" t="s">
        <v>822</v>
      </c>
      <c r="F138" s="93" t="s">
        <v>822</v>
      </c>
      <c r="G138" s="93" t="s">
        <v>55</v>
      </c>
      <c r="H138" s="2116" t="s">
        <v>1641</v>
      </c>
      <c r="I138" s="2104" t="s">
        <v>173</v>
      </c>
      <c r="J138" s="203"/>
      <c r="K138" s="503"/>
      <c r="L138" s="992">
        <v>467</v>
      </c>
      <c r="M138" s="608">
        <f>7000000-6400000</f>
        <v>600000</v>
      </c>
      <c r="N138" s="498">
        <v>471</v>
      </c>
      <c r="O138" s="163">
        <f>7000000-6400000</f>
        <v>600000</v>
      </c>
      <c r="P138" s="231">
        <v>140</v>
      </c>
      <c r="Q138" s="234"/>
      <c r="R138" s="153"/>
      <c r="S138" s="153"/>
      <c r="T138" s="153"/>
      <c r="U138" s="153"/>
      <c r="V138" s="153"/>
      <c r="W138" s="153"/>
      <c r="X138" s="153">
        <v>600000</v>
      </c>
      <c r="Y138" s="153"/>
      <c r="Z138" s="153"/>
      <c r="AA138" s="153"/>
      <c r="AB138" s="153"/>
      <c r="AC138" s="182">
        <f t="shared" si="44"/>
        <v>600000</v>
      </c>
      <c r="AD138" s="391">
        <f t="shared" si="39"/>
        <v>0</v>
      </c>
      <c r="AF138" s="878" t="s">
        <v>325</v>
      </c>
      <c r="AG138" s="879" t="s">
        <v>877</v>
      </c>
      <c r="AH138" s="268" t="s">
        <v>681</v>
      </c>
      <c r="AI138" s="799">
        <f t="shared" si="41"/>
        <v>140</v>
      </c>
      <c r="AJ138" s="880">
        <f>8000000-7400000</f>
        <v>600000</v>
      </c>
      <c r="AK138" s="875">
        <f t="shared" si="42"/>
        <v>0</v>
      </c>
      <c r="AL138" s="820"/>
      <c r="AM138" s="302">
        <f t="shared" si="43"/>
        <v>0</v>
      </c>
    </row>
    <row r="139" spans="1:39" s="6" customFormat="1">
      <c r="A139" s="817" t="s">
        <v>60</v>
      </c>
      <c r="B139" s="143">
        <f t="shared" si="40"/>
        <v>33990000</v>
      </c>
      <c r="C139" s="93" t="s">
        <v>36</v>
      </c>
      <c r="D139" s="93" t="s">
        <v>826</v>
      </c>
      <c r="E139" s="93" t="s">
        <v>822</v>
      </c>
      <c r="F139" s="93" t="s">
        <v>822</v>
      </c>
      <c r="G139" s="93" t="s">
        <v>55</v>
      </c>
      <c r="H139" s="2116" t="s">
        <v>1641</v>
      </c>
      <c r="I139" s="2104">
        <v>142</v>
      </c>
      <c r="J139" s="203">
        <v>0</v>
      </c>
      <c r="K139" s="503"/>
      <c r="L139" s="992">
        <v>55</v>
      </c>
      <c r="M139" s="608">
        <v>33990000</v>
      </c>
      <c r="N139" s="498">
        <v>32</v>
      </c>
      <c r="O139" s="163">
        <v>33990000</v>
      </c>
      <c r="P139" s="231">
        <v>28</v>
      </c>
      <c r="Q139" s="234"/>
      <c r="R139" s="153">
        <v>1339000</v>
      </c>
      <c r="S139" s="153">
        <f>2575000+513636</f>
        <v>3088636</v>
      </c>
      <c r="T139" s="153">
        <f>VLOOKUP(N139,[7]Hoja2!N$132:T$199,7,0)</f>
        <v>3090000</v>
      </c>
      <c r="U139" s="153"/>
      <c r="V139" s="153">
        <v>3090000</v>
      </c>
      <c r="W139" s="153">
        <v>3090000</v>
      </c>
      <c r="X139" s="153">
        <v>3090000</v>
      </c>
      <c r="Y139" s="153">
        <f>3090000+3090000</f>
        <v>6180000</v>
      </c>
      <c r="Z139" s="153">
        <v>3090000</v>
      </c>
      <c r="AA139" s="153">
        <v>3090000</v>
      </c>
      <c r="AB139" s="153">
        <f>3090000+1751000</f>
        <v>4841000</v>
      </c>
      <c r="AC139" s="182">
        <f t="shared" si="44"/>
        <v>33988636</v>
      </c>
      <c r="AD139" s="391">
        <f t="shared" si="39"/>
        <v>1364</v>
      </c>
      <c r="AF139" s="878">
        <v>142</v>
      </c>
      <c r="AG139" s="879" t="s">
        <v>365</v>
      </c>
      <c r="AH139" s="268" t="s">
        <v>1609</v>
      </c>
      <c r="AI139" s="799">
        <f t="shared" si="41"/>
        <v>28</v>
      </c>
      <c r="AJ139" s="880">
        <v>33990000</v>
      </c>
      <c r="AK139" s="875">
        <f t="shared" si="42"/>
        <v>0</v>
      </c>
      <c r="AL139" s="820"/>
      <c r="AM139" s="302">
        <f t="shared" si="43"/>
        <v>0</v>
      </c>
    </row>
    <row r="140" spans="1:39" s="6" customFormat="1">
      <c r="A140" s="817" t="s">
        <v>60</v>
      </c>
      <c r="B140" s="143">
        <f t="shared" si="40"/>
        <v>1339000</v>
      </c>
      <c r="C140" s="93" t="s">
        <v>36</v>
      </c>
      <c r="D140" s="93" t="s">
        <v>826</v>
      </c>
      <c r="E140" s="93" t="s">
        <v>822</v>
      </c>
      <c r="F140" s="93" t="s">
        <v>822</v>
      </c>
      <c r="G140" s="93" t="s">
        <v>55</v>
      </c>
      <c r="H140" s="2116" t="s">
        <v>1641</v>
      </c>
      <c r="I140" s="2105" t="s">
        <v>325</v>
      </c>
      <c r="J140" s="203">
        <v>812</v>
      </c>
      <c r="K140" s="503">
        <v>1339000</v>
      </c>
      <c r="L140" s="992">
        <v>922</v>
      </c>
      <c r="M140" s="608">
        <v>1339000</v>
      </c>
      <c r="N140" s="498">
        <v>1088</v>
      </c>
      <c r="O140" s="163">
        <v>1339000</v>
      </c>
      <c r="P140" s="231">
        <v>28</v>
      </c>
      <c r="Q140" s="234"/>
      <c r="R140" s="153"/>
      <c r="S140" s="153"/>
      <c r="T140" s="153"/>
      <c r="U140" s="153"/>
      <c r="V140" s="153"/>
      <c r="W140" s="153"/>
      <c r="X140" s="153"/>
      <c r="Y140" s="153"/>
      <c r="Z140" s="153"/>
      <c r="AA140" s="153"/>
      <c r="AB140" s="153">
        <v>1339000</v>
      </c>
      <c r="AC140" s="182">
        <f>SUM(Q140:AB140)</f>
        <v>1339000</v>
      </c>
      <c r="AD140" s="391">
        <f t="shared" si="39"/>
        <v>0</v>
      </c>
      <c r="AF140" s="1902" t="s">
        <v>325</v>
      </c>
      <c r="AG140" s="879" t="s">
        <v>1451</v>
      </c>
      <c r="AH140" s="268" t="s">
        <v>682</v>
      </c>
      <c r="AI140" s="799">
        <f t="shared" si="41"/>
        <v>28</v>
      </c>
      <c r="AJ140" s="880">
        <v>1339000</v>
      </c>
      <c r="AK140" s="875">
        <f t="shared" si="42"/>
        <v>0</v>
      </c>
      <c r="AL140" s="820"/>
      <c r="AM140" s="302">
        <f t="shared" si="43"/>
        <v>0</v>
      </c>
    </row>
    <row r="141" spans="1:39" s="6" customFormat="1">
      <c r="A141" s="817" t="s">
        <v>60</v>
      </c>
      <c r="B141" s="143">
        <f t="shared" si="40"/>
        <v>60060000</v>
      </c>
      <c r="C141" s="93" t="s">
        <v>36</v>
      </c>
      <c r="D141" s="93" t="s">
        <v>826</v>
      </c>
      <c r="E141" s="93" t="s">
        <v>822</v>
      </c>
      <c r="F141" s="93" t="s">
        <v>822</v>
      </c>
      <c r="G141" s="93" t="s">
        <v>55</v>
      </c>
      <c r="H141" s="2116" t="s">
        <v>1641</v>
      </c>
      <c r="I141" s="2104">
        <v>144</v>
      </c>
      <c r="J141" s="203">
        <v>0</v>
      </c>
      <c r="K141" s="503"/>
      <c r="L141" s="992">
        <v>84</v>
      </c>
      <c r="M141" s="608">
        <v>60060000</v>
      </c>
      <c r="N141" s="498">
        <v>53</v>
      </c>
      <c r="O141" s="163">
        <v>60060000</v>
      </c>
      <c r="P141" s="231">
        <v>58</v>
      </c>
      <c r="Q141" s="234"/>
      <c r="R141" s="153">
        <v>2366000</v>
      </c>
      <c r="S141" s="153">
        <v>5460000</v>
      </c>
      <c r="T141" s="153">
        <f>VLOOKUP(N141,[7]Hoja2!N$132:T$199,7,0)</f>
        <v>5460000</v>
      </c>
      <c r="U141" s="153">
        <v>5460000</v>
      </c>
      <c r="V141" s="153">
        <v>5460000</v>
      </c>
      <c r="W141" s="153">
        <v>5460000</v>
      </c>
      <c r="X141" s="153">
        <v>5460000</v>
      </c>
      <c r="Y141" s="153">
        <v>5460000</v>
      </c>
      <c r="Z141" s="153">
        <v>1638000</v>
      </c>
      <c r="AA141" s="153">
        <v>5460000</v>
      </c>
      <c r="AB141" s="153">
        <f>1092000+4368000+5460000</f>
        <v>10920000</v>
      </c>
      <c r="AC141" s="182">
        <f t="shared" si="44"/>
        <v>58604000</v>
      </c>
      <c r="AD141" s="391">
        <f t="shared" si="39"/>
        <v>1456000</v>
      </c>
      <c r="AF141" s="878">
        <v>144</v>
      </c>
      <c r="AG141" s="879" t="s">
        <v>366</v>
      </c>
      <c r="AH141" s="268" t="s">
        <v>683</v>
      </c>
      <c r="AI141" s="799">
        <f t="shared" si="41"/>
        <v>58</v>
      </c>
      <c r="AJ141" s="880">
        <v>60060000</v>
      </c>
      <c r="AK141" s="875">
        <f t="shared" si="42"/>
        <v>0</v>
      </c>
      <c r="AL141" s="820"/>
      <c r="AM141" s="302">
        <f t="shared" si="43"/>
        <v>0</v>
      </c>
    </row>
    <row r="142" spans="1:39" s="6" customFormat="1">
      <c r="A142" s="817" t="s">
        <v>60</v>
      </c>
      <c r="B142" s="143">
        <f>M142</f>
        <v>55000000</v>
      </c>
      <c r="C142" s="93" t="s">
        <v>36</v>
      </c>
      <c r="D142" s="93" t="s">
        <v>826</v>
      </c>
      <c r="E142" s="93" t="s">
        <v>822</v>
      </c>
      <c r="F142" s="93" t="s">
        <v>822</v>
      </c>
      <c r="G142" s="93" t="s">
        <v>55</v>
      </c>
      <c r="H142" s="2116" t="s">
        <v>1641</v>
      </c>
      <c r="I142" s="2104">
        <v>145</v>
      </c>
      <c r="J142" s="203">
        <v>0</v>
      </c>
      <c r="K142" s="503"/>
      <c r="L142" s="992">
        <v>216</v>
      </c>
      <c r="M142" s="608">
        <f>60060000-5060000</f>
        <v>55000000</v>
      </c>
      <c r="N142" s="498">
        <v>212</v>
      </c>
      <c r="O142" s="154">
        <v>55000000</v>
      </c>
      <c r="P142" s="996">
        <v>182</v>
      </c>
      <c r="Q142" s="234"/>
      <c r="R142" s="153"/>
      <c r="S142" s="153">
        <v>5500000</v>
      </c>
      <c r="T142" s="153"/>
      <c r="U142" s="153">
        <f>5500000+5500000</f>
        <v>11000000</v>
      </c>
      <c r="V142" s="153">
        <v>5500000</v>
      </c>
      <c r="W142" s="153">
        <v>5500000</v>
      </c>
      <c r="X142" s="153">
        <v>5500000</v>
      </c>
      <c r="Y142" s="153">
        <v>5500000</v>
      </c>
      <c r="Z142" s="153">
        <v>5500000</v>
      </c>
      <c r="AA142" s="153">
        <v>5500000</v>
      </c>
      <c r="AB142" s="153">
        <v>5500000</v>
      </c>
      <c r="AC142" s="182">
        <f t="shared" si="44"/>
        <v>55000000</v>
      </c>
      <c r="AD142" s="391">
        <f t="shared" si="39"/>
        <v>0</v>
      </c>
      <c r="AF142" s="878">
        <v>145</v>
      </c>
      <c r="AG142" s="879" t="s">
        <v>367</v>
      </c>
      <c r="AH142" s="833" t="s">
        <v>684</v>
      </c>
      <c r="AI142" s="799">
        <f t="shared" si="41"/>
        <v>182</v>
      </c>
      <c r="AJ142" s="880">
        <f>60060000-5060000</f>
        <v>55000000</v>
      </c>
      <c r="AK142" s="875">
        <f t="shared" si="42"/>
        <v>0</v>
      </c>
      <c r="AL142" s="820"/>
      <c r="AM142" s="302">
        <f t="shared" si="43"/>
        <v>0</v>
      </c>
    </row>
    <row r="143" spans="1:39" s="6" customFormat="1">
      <c r="A143" s="817" t="s">
        <v>60</v>
      </c>
      <c r="B143" s="143">
        <f>M143</f>
        <v>11000000</v>
      </c>
      <c r="C143" s="93" t="s">
        <v>36</v>
      </c>
      <c r="D143" s="93" t="s">
        <v>826</v>
      </c>
      <c r="E143" s="93" t="s">
        <v>822</v>
      </c>
      <c r="F143" s="93" t="s">
        <v>822</v>
      </c>
      <c r="G143" s="93" t="s">
        <v>55</v>
      </c>
      <c r="H143" s="2116" t="s">
        <v>1641</v>
      </c>
      <c r="I143" s="2105" t="s">
        <v>325</v>
      </c>
      <c r="J143" s="203">
        <v>733</v>
      </c>
      <c r="K143" s="503">
        <v>11000000</v>
      </c>
      <c r="L143" s="992">
        <v>842</v>
      </c>
      <c r="M143" s="608">
        <v>11000000</v>
      </c>
      <c r="N143" s="498">
        <v>1006</v>
      </c>
      <c r="O143" s="154">
        <v>11000000</v>
      </c>
      <c r="P143" s="996">
        <v>182</v>
      </c>
      <c r="Q143" s="234"/>
      <c r="R143" s="153"/>
      <c r="S143" s="153"/>
      <c r="T143" s="153"/>
      <c r="U143" s="153"/>
      <c r="V143" s="153"/>
      <c r="W143" s="153"/>
      <c r="X143" s="153"/>
      <c r="Y143" s="153"/>
      <c r="Z143" s="153"/>
      <c r="AA143" s="153"/>
      <c r="AB143" s="153">
        <v>5500000</v>
      </c>
      <c r="AC143" s="182">
        <f>SUM(Q143:AB143)</f>
        <v>5500000</v>
      </c>
      <c r="AD143" s="391">
        <f t="shared" si="39"/>
        <v>5500000</v>
      </c>
      <c r="AF143" s="1902" t="s">
        <v>325</v>
      </c>
      <c r="AG143" s="879" t="s">
        <v>1472</v>
      </c>
      <c r="AH143" s="833" t="s">
        <v>684</v>
      </c>
      <c r="AI143" s="799">
        <f t="shared" si="41"/>
        <v>182</v>
      </c>
      <c r="AJ143" s="880">
        <v>11000000</v>
      </c>
      <c r="AK143" s="875">
        <f t="shared" si="42"/>
        <v>0</v>
      </c>
      <c r="AL143" s="820"/>
      <c r="AM143" s="302">
        <f t="shared" si="43"/>
        <v>0</v>
      </c>
    </row>
    <row r="144" spans="1:39" s="6" customFormat="1">
      <c r="A144" s="817" t="s">
        <v>60</v>
      </c>
      <c r="B144" s="143">
        <f t="shared" si="40"/>
        <v>25520000</v>
      </c>
      <c r="C144" s="93" t="s">
        <v>36</v>
      </c>
      <c r="D144" s="93" t="s">
        <v>826</v>
      </c>
      <c r="E144" s="93" t="s">
        <v>822</v>
      </c>
      <c r="F144" s="93" t="s">
        <v>822</v>
      </c>
      <c r="G144" s="93" t="s">
        <v>55</v>
      </c>
      <c r="H144" s="2116" t="s">
        <v>1641</v>
      </c>
      <c r="I144" s="2104">
        <v>147</v>
      </c>
      <c r="J144" s="203">
        <v>0</v>
      </c>
      <c r="K144" s="503"/>
      <c r="L144" s="992">
        <v>105</v>
      </c>
      <c r="M144" s="608">
        <v>25520000</v>
      </c>
      <c r="N144" s="498">
        <v>128</v>
      </c>
      <c r="O144" s="163">
        <v>25520000</v>
      </c>
      <c r="P144" s="231">
        <v>121</v>
      </c>
      <c r="Q144" s="234"/>
      <c r="R144" s="153">
        <v>618667</v>
      </c>
      <c r="S144" s="153">
        <v>2320000</v>
      </c>
      <c r="T144" s="153">
        <f>VLOOKUP(N144,[7]Hoja2!N$132:T$199,7,0)</f>
        <v>2320000</v>
      </c>
      <c r="U144" s="153">
        <v>2320000</v>
      </c>
      <c r="V144" s="153">
        <v>2320000</v>
      </c>
      <c r="W144" s="153">
        <v>2320000</v>
      </c>
      <c r="X144" s="153">
        <v>2320000</v>
      </c>
      <c r="Y144" s="153">
        <v>2320000</v>
      </c>
      <c r="Z144" s="153">
        <v>2320000</v>
      </c>
      <c r="AA144" s="153">
        <v>2320000</v>
      </c>
      <c r="AB144" s="153">
        <f>2320000+1701333</f>
        <v>4021333</v>
      </c>
      <c r="AC144" s="182">
        <f t="shared" si="44"/>
        <v>25520000</v>
      </c>
      <c r="AD144" s="391">
        <f t="shared" si="39"/>
        <v>0</v>
      </c>
      <c r="AF144" s="878">
        <v>147</v>
      </c>
      <c r="AG144" s="879" t="s">
        <v>368</v>
      </c>
      <c r="AH144" s="268" t="s">
        <v>685</v>
      </c>
      <c r="AI144" s="799">
        <f t="shared" si="41"/>
        <v>121</v>
      </c>
      <c r="AJ144" s="880">
        <f>25542000-22000</f>
        <v>25520000</v>
      </c>
      <c r="AK144" s="875">
        <f t="shared" si="42"/>
        <v>0</v>
      </c>
      <c r="AL144" s="820"/>
      <c r="AM144" s="302">
        <f t="shared" si="43"/>
        <v>0</v>
      </c>
    </row>
    <row r="145" spans="1:39" s="6" customFormat="1">
      <c r="A145" s="817" t="s">
        <v>60</v>
      </c>
      <c r="B145" s="143">
        <f t="shared" si="40"/>
        <v>2938667</v>
      </c>
      <c r="C145" s="93" t="s">
        <v>36</v>
      </c>
      <c r="D145" s="93" t="s">
        <v>826</v>
      </c>
      <c r="E145" s="93" t="s">
        <v>822</v>
      </c>
      <c r="F145" s="93" t="s">
        <v>822</v>
      </c>
      <c r="G145" s="93" t="s">
        <v>55</v>
      </c>
      <c r="H145" s="2116" t="s">
        <v>1641</v>
      </c>
      <c r="I145" s="2105" t="s">
        <v>325</v>
      </c>
      <c r="J145" s="203">
        <v>834</v>
      </c>
      <c r="K145" s="503">
        <v>2938667</v>
      </c>
      <c r="L145" s="992">
        <v>961</v>
      </c>
      <c r="M145" s="608">
        <v>2938667</v>
      </c>
      <c r="N145" s="498">
        <v>1128</v>
      </c>
      <c r="O145" s="163">
        <v>2938667</v>
      </c>
      <c r="P145" s="231">
        <v>121</v>
      </c>
      <c r="Q145" s="234"/>
      <c r="R145" s="153"/>
      <c r="S145" s="153"/>
      <c r="T145" s="153"/>
      <c r="U145" s="153"/>
      <c r="V145" s="153"/>
      <c r="W145" s="153"/>
      <c r="X145" s="153"/>
      <c r="Y145" s="153"/>
      <c r="Z145" s="153"/>
      <c r="AA145" s="153"/>
      <c r="AB145" s="153">
        <v>618667</v>
      </c>
      <c r="AC145" s="182">
        <f>SUM(Q145:AB145)</f>
        <v>618667</v>
      </c>
      <c r="AD145" s="391">
        <f t="shared" si="39"/>
        <v>2320000</v>
      </c>
      <c r="AF145" s="1902" t="s">
        <v>325</v>
      </c>
      <c r="AG145" s="879" t="s">
        <v>1464</v>
      </c>
      <c r="AH145" s="268" t="s">
        <v>685</v>
      </c>
      <c r="AI145" s="799">
        <f t="shared" si="41"/>
        <v>121</v>
      </c>
      <c r="AJ145" s="880">
        <v>2938667</v>
      </c>
      <c r="AK145" s="875">
        <f t="shared" si="42"/>
        <v>0</v>
      </c>
      <c r="AL145" s="820"/>
      <c r="AM145" s="302">
        <f t="shared" si="43"/>
        <v>0</v>
      </c>
    </row>
    <row r="146" spans="1:39" s="6" customFormat="1">
      <c r="A146" s="817" t="s">
        <v>60</v>
      </c>
      <c r="B146" s="143">
        <f t="shared" si="40"/>
        <v>31570000</v>
      </c>
      <c r="C146" s="93" t="s">
        <v>36</v>
      </c>
      <c r="D146" s="93" t="s">
        <v>826</v>
      </c>
      <c r="E146" s="93" t="s">
        <v>822</v>
      </c>
      <c r="F146" s="93" t="s">
        <v>822</v>
      </c>
      <c r="G146" s="93" t="s">
        <v>55</v>
      </c>
      <c r="H146" s="2116" t="s">
        <v>1641</v>
      </c>
      <c r="I146" s="2104">
        <v>148</v>
      </c>
      <c r="J146" s="203">
        <v>0</v>
      </c>
      <c r="K146" s="503"/>
      <c r="L146" s="992">
        <v>86</v>
      </c>
      <c r="M146" s="608">
        <v>31570000</v>
      </c>
      <c r="N146" s="498">
        <v>33</v>
      </c>
      <c r="O146" s="163">
        <v>31570000</v>
      </c>
      <c r="P146" s="231">
        <v>33</v>
      </c>
      <c r="Q146" s="234"/>
      <c r="R146" s="153">
        <v>1243667</v>
      </c>
      <c r="S146" s="153">
        <v>2870000</v>
      </c>
      <c r="T146" s="153">
        <f>VLOOKUP(N146,[7]Hoja2!N$132:T$199,7,0)</f>
        <v>2870000</v>
      </c>
      <c r="U146" s="153">
        <v>2870000</v>
      </c>
      <c r="V146" s="153">
        <v>2870000</v>
      </c>
      <c r="W146" s="153">
        <v>2870000</v>
      </c>
      <c r="X146" s="153">
        <v>2870000</v>
      </c>
      <c r="Y146" s="153">
        <v>2870000</v>
      </c>
      <c r="Z146" s="153">
        <v>2870000</v>
      </c>
      <c r="AA146" s="153">
        <v>2870000</v>
      </c>
      <c r="AB146" s="153">
        <f>2870000+1626333</f>
        <v>4496333</v>
      </c>
      <c r="AC146" s="182">
        <f t="shared" si="44"/>
        <v>31570000</v>
      </c>
      <c r="AD146" s="391">
        <f t="shared" si="39"/>
        <v>0</v>
      </c>
      <c r="AF146" s="878">
        <v>148</v>
      </c>
      <c r="AG146" s="879" t="s">
        <v>369</v>
      </c>
      <c r="AH146" s="268" t="s">
        <v>686</v>
      </c>
      <c r="AI146" s="799">
        <f t="shared" si="41"/>
        <v>33</v>
      </c>
      <c r="AJ146" s="880">
        <v>31570000</v>
      </c>
      <c r="AK146" s="875">
        <f t="shared" si="42"/>
        <v>0</v>
      </c>
      <c r="AL146" s="820"/>
      <c r="AM146" s="302">
        <f t="shared" si="43"/>
        <v>0</v>
      </c>
    </row>
    <row r="147" spans="1:39" s="6" customFormat="1">
      <c r="A147" s="817" t="s">
        <v>60</v>
      </c>
      <c r="B147" s="143">
        <f t="shared" si="40"/>
        <v>4113667</v>
      </c>
      <c r="C147" s="93" t="s">
        <v>36</v>
      </c>
      <c r="D147" s="93" t="s">
        <v>826</v>
      </c>
      <c r="E147" s="93" t="s">
        <v>822</v>
      </c>
      <c r="F147" s="93" t="s">
        <v>822</v>
      </c>
      <c r="G147" s="93" t="s">
        <v>55</v>
      </c>
      <c r="H147" s="2116" t="s">
        <v>1641</v>
      </c>
      <c r="I147" s="2105" t="s">
        <v>325</v>
      </c>
      <c r="J147" s="203">
        <v>818</v>
      </c>
      <c r="K147" s="503">
        <v>4113667</v>
      </c>
      <c r="L147" s="992">
        <v>924</v>
      </c>
      <c r="M147" s="608">
        <v>4113667</v>
      </c>
      <c r="N147" s="498">
        <v>1084</v>
      </c>
      <c r="O147" s="163">
        <v>4113667</v>
      </c>
      <c r="P147" s="231">
        <v>33</v>
      </c>
      <c r="Q147" s="234"/>
      <c r="R147" s="153"/>
      <c r="S147" s="153"/>
      <c r="T147" s="153"/>
      <c r="U147" s="153"/>
      <c r="V147" s="153"/>
      <c r="W147" s="153"/>
      <c r="X147" s="153"/>
      <c r="Y147" s="153"/>
      <c r="Z147" s="153"/>
      <c r="AA147" s="153"/>
      <c r="AB147" s="153">
        <v>1243667</v>
      </c>
      <c r="AC147" s="182">
        <f>SUM(Q147:AB147)</f>
        <v>1243667</v>
      </c>
      <c r="AD147" s="391">
        <f t="shared" si="39"/>
        <v>2870000</v>
      </c>
      <c r="AF147" s="1902" t="s">
        <v>325</v>
      </c>
      <c r="AG147" s="879" t="s">
        <v>1453</v>
      </c>
      <c r="AH147" s="268" t="s">
        <v>686</v>
      </c>
      <c r="AI147" s="799">
        <f t="shared" si="41"/>
        <v>33</v>
      </c>
      <c r="AJ147" s="880">
        <v>4113667</v>
      </c>
      <c r="AK147" s="875">
        <f t="shared" si="42"/>
        <v>0</v>
      </c>
      <c r="AL147" s="820"/>
      <c r="AM147" s="302">
        <f t="shared" si="43"/>
        <v>0</v>
      </c>
    </row>
    <row r="148" spans="1:39" s="6" customFormat="1">
      <c r="A148" s="817" t="s">
        <v>60</v>
      </c>
      <c r="B148" s="143">
        <f t="shared" si="40"/>
        <v>88330000</v>
      </c>
      <c r="C148" s="93" t="s">
        <v>36</v>
      </c>
      <c r="D148" s="93" t="s">
        <v>826</v>
      </c>
      <c r="E148" s="93" t="s">
        <v>822</v>
      </c>
      <c r="F148" s="93" t="s">
        <v>822</v>
      </c>
      <c r="G148" s="93" t="s">
        <v>55</v>
      </c>
      <c r="H148" s="2116" t="s">
        <v>1641</v>
      </c>
      <c r="I148" s="2104">
        <v>149</v>
      </c>
      <c r="J148" s="203">
        <v>0</v>
      </c>
      <c r="K148" s="503"/>
      <c r="L148" s="992">
        <v>144</v>
      </c>
      <c r="M148" s="608">
        <v>88330000</v>
      </c>
      <c r="N148" s="498">
        <v>93</v>
      </c>
      <c r="O148" s="163">
        <v>88330000</v>
      </c>
      <c r="P148" s="231">
        <v>109</v>
      </c>
      <c r="Q148" s="234"/>
      <c r="R148" s="153">
        <v>2141333</v>
      </c>
      <c r="S148" s="153">
        <v>8030000</v>
      </c>
      <c r="T148" s="153">
        <f>VLOOKUP(N148,[7]Hoja2!N$132:T$199,7,0)</f>
        <v>8030000</v>
      </c>
      <c r="U148" s="153">
        <v>8030000</v>
      </c>
      <c r="V148" s="153">
        <v>8030000</v>
      </c>
      <c r="W148" s="153">
        <v>8030000</v>
      </c>
      <c r="X148" s="153">
        <v>8030000</v>
      </c>
      <c r="Y148" s="153">
        <v>8030000</v>
      </c>
      <c r="Z148" s="153">
        <v>8030000</v>
      </c>
      <c r="AA148" s="153">
        <v>8030000</v>
      </c>
      <c r="AB148" s="153">
        <f>8030000+5888667</f>
        <v>13918667</v>
      </c>
      <c r="AC148" s="182">
        <f t="shared" si="44"/>
        <v>88330000</v>
      </c>
      <c r="AD148" s="391">
        <f t="shared" si="39"/>
        <v>0</v>
      </c>
      <c r="AF148" s="878">
        <v>149</v>
      </c>
      <c r="AG148" s="879" t="s">
        <v>370</v>
      </c>
      <c r="AH148" s="268" t="s">
        <v>687</v>
      </c>
      <c r="AI148" s="799">
        <f t="shared" si="41"/>
        <v>109</v>
      </c>
      <c r="AJ148" s="880">
        <v>88330000</v>
      </c>
      <c r="AK148" s="875">
        <f t="shared" si="42"/>
        <v>0</v>
      </c>
      <c r="AL148" s="820"/>
      <c r="AM148" s="302">
        <f t="shared" si="43"/>
        <v>0</v>
      </c>
    </row>
    <row r="149" spans="1:39" s="6" customFormat="1">
      <c r="A149" s="817" t="s">
        <v>60</v>
      </c>
      <c r="B149" s="143">
        <f t="shared" si="40"/>
        <v>10171333</v>
      </c>
      <c r="C149" s="93" t="s">
        <v>36</v>
      </c>
      <c r="D149" s="93" t="s">
        <v>826</v>
      </c>
      <c r="E149" s="93" t="s">
        <v>822</v>
      </c>
      <c r="F149" s="93" t="s">
        <v>822</v>
      </c>
      <c r="G149" s="93" t="s">
        <v>55</v>
      </c>
      <c r="H149" s="2116" t="s">
        <v>1641</v>
      </c>
      <c r="I149" s="2105" t="s">
        <v>325</v>
      </c>
      <c r="J149" s="1954" t="s">
        <v>1565</v>
      </c>
      <c r="K149" s="503">
        <f>2141333+8030000</f>
        <v>10171333</v>
      </c>
      <c r="L149" s="992" t="s">
        <v>1591</v>
      </c>
      <c r="M149" s="608">
        <f>2141333+8030000</f>
        <v>10171333</v>
      </c>
      <c r="N149" s="1235" t="s">
        <v>1613</v>
      </c>
      <c r="O149" s="163">
        <f>2141333+8030000</f>
        <v>10171333</v>
      </c>
      <c r="P149" s="231">
        <v>109</v>
      </c>
      <c r="Q149" s="234"/>
      <c r="R149" s="153"/>
      <c r="S149" s="153"/>
      <c r="T149" s="153"/>
      <c r="U149" s="153"/>
      <c r="V149" s="153"/>
      <c r="W149" s="153"/>
      <c r="X149" s="153"/>
      <c r="Y149" s="153"/>
      <c r="Z149" s="153"/>
      <c r="AA149" s="153"/>
      <c r="AB149" s="153">
        <v>2141333</v>
      </c>
      <c r="AC149" s="182">
        <f>SUM(Q149:AB149)</f>
        <v>2141333</v>
      </c>
      <c r="AD149" s="391">
        <f t="shared" si="39"/>
        <v>8030000</v>
      </c>
      <c r="AF149" s="1902" t="s">
        <v>325</v>
      </c>
      <c r="AG149" s="879" t="s">
        <v>1458</v>
      </c>
      <c r="AH149" s="268" t="s">
        <v>687</v>
      </c>
      <c r="AI149" s="799">
        <f t="shared" si="41"/>
        <v>109</v>
      </c>
      <c r="AJ149" s="880">
        <f>2141333+8030000</f>
        <v>10171333</v>
      </c>
      <c r="AK149" s="875">
        <f t="shared" si="42"/>
        <v>0</v>
      </c>
      <c r="AL149" s="820"/>
      <c r="AM149" s="302">
        <f t="shared" si="43"/>
        <v>0</v>
      </c>
    </row>
    <row r="150" spans="1:39" s="6" customFormat="1">
      <c r="A150" s="817" t="s">
        <v>60</v>
      </c>
      <c r="B150" s="143">
        <f t="shared" si="40"/>
        <v>37000000</v>
      </c>
      <c r="C150" s="93" t="s">
        <v>36</v>
      </c>
      <c r="D150" s="93" t="s">
        <v>826</v>
      </c>
      <c r="E150" s="93" t="s">
        <v>822</v>
      </c>
      <c r="F150" s="93" t="s">
        <v>822</v>
      </c>
      <c r="G150" s="93" t="s">
        <v>55</v>
      </c>
      <c r="H150" s="2116" t="s">
        <v>1641</v>
      </c>
      <c r="I150" s="2104">
        <v>150</v>
      </c>
      <c r="J150" s="203">
        <v>0</v>
      </c>
      <c r="K150" s="503"/>
      <c r="L150" s="992">
        <v>267</v>
      </c>
      <c r="M150" s="608">
        <v>37000000</v>
      </c>
      <c r="N150" s="498">
        <v>267</v>
      </c>
      <c r="O150" s="154">
        <v>37000000</v>
      </c>
      <c r="P150" s="996">
        <v>234</v>
      </c>
      <c r="Q150" s="234"/>
      <c r="R150" s="153"/>
      <c r="S150" s="153">
        <v>2466667</v>
      </c>
      <c r="T150" s="153">
        <f>VLOOKUP(N150,[7]Hoja2!N$132:T$199,7,0)</f>
        <v>3700000</v>
      </c>
      <c r="U150" s="153">
        <v>3700000</v>
      </c>
      <c r="V150" s="153">
        <v>3700000</v>
      </c>
      <c r="W150" s="153">
        <v>3700000</v>
      </c>
      <c r="X150" s="153">
        <v>3700000</v>
      </c>
      <c r="Y150" s="153">
        <v>3700000</v>
      </c>
      <c r="Z150" s="153">
        <v>3700000</v>
      </c>
      <c r="AA150" s="153">
        <v>3700000</v>
      </c>
      <c r="AB150" s="153">
        <f>3700000+1233333</f>
        <v>4933333</v>
      </c>
      <c r="AC150" s="182">
        <f t="shared" si="44"/>
        <v>37000000</v>
      </c>
      <c r="AD150" s="391">
        <f t="shared" ref="AD150:AD181" si="46">O150-AC150</f>
        <v>0</v>
      </c>
      <c r="AF150" s="878">
        <v>150</v>
      </c>
      <c r="AG150" s="879" t="s">
        <v>371</v>
      </c>
      <c r="AH150" s="833" t="s">
        <v>688</v>
      </c>
      <c r="AI150" s="799">
        <f t="shared" si="41"/>
        <v>234</v>
      </c>
      <c r="AJ150" s="880">
        <f>38280000-1280000</f>
        <v>37000000</v>
      </c>
      <c r="AK150" s="875">
        <f t="shared" si="42"/>
        <v>0</v>
      </c>
      <c r="AL150" s="820"/>
      <c r="AM150" s="302">
        <f t="shared" si="43"/>
        <v>0</v>
      </c>
    </row>
    <row r="151" spans="1:39" s="6" customFormat="1">
      <c r="A151" s="817" t="s">
        <v>60</v>
      </c>
      <c r="B151" s="143">
        <f t="shared" si="40"/>
        <v>6166667</v>
      </c>
      <c r="C151" s="93" t="s">
        <v>36</v>
      </c>
      <c r="D151" s="93" t="s">
        <v>826</v>
      </c>
      <c r="E151" s="93" t="s">
        <v>822</v>
      </c>
      <c r="F151" s="93" t="s">
        <v>822</v>
      </c>
      <c r="G151" s="93" t="s">
        <v>55</v>
      </c>
      <c r="H151" s="2116" t="s">
        <v>1641</v>
      </c>
      <c r="I151" s="2105" t="s">
        <v>325</v>
      </c>
      <c r="J151" s="203">
        <v>762</v>
      </c>
      <c r="K151" s="503">
        <v>6166667</v>
      </c>
      <c r="L151" s="992">
        <v>870</v>
      </c>
      <c r="M151" s="608">
        <v>6166667</v>
      </c>
      <c r="N151" s="498">
        <v>1033</v>
      </c>
      <c r="O151" s="154">
        <v>6166667</v>
      </c>
      <c r="P151" s="996">
        <v>234</v>
      </c>
      <c r="Q151" s="234"/>
      <c r="R151" s="153"/>
      <c r="S151" s="153"/>
      <c r="T151" s="153"/>
      <c r="U151" s="153"/>
      <c r="V151" s="153"/>
      <c r="W151" s="153"/>
      <c r="X151" s="153"/>
      <c r="Y151" s="153"/>
      <c r="Z151" s="153"/>
      <c r="AA151" s="153"/>
      <c r="AB151" s="153">
        <v>2466667</v>
      </c>
      <c r="AC151" s="182">
        <f>SUM(Q151:AB151)</f>
        <v>2466667</v>
      </c>
      <c r="AD151" s="391">
        <f t="shared" si="46"/>
        <v>3700000</v>
      </c>
      <c r="AF151" s="1902" t="s">
        <v>325</v>
      </c>
      <c r="AG151" s="879" t="s">
        <v>1475</v>
      </c>
      <c r="AH151" s="833" t="s">
        <v>688</v>
      </c>
      <c r="AI151" s="799">
        <f t="shared" si="41"/>
        <v>234</v>
      </c>
      <c r="AJ151" s="880">
        <v>6166667</v>
      </c>
      <c r="AK151" s="875">
        <f t="shared" ref="AK151:AK182" si="47">AJ151-O151</f>
        <v>0</v>
      </c>
      <c r="AL151" s="820"/>
      <c r="AM151" s="302">
        <f t="shared" ref="AM151:AM182" si="48">AJ151-M151</f>
        <v>0</v>
      </c>
    </row>
    <row r="152" spans="1:39" s="6" customFormat="1">
      <c r="A152" s="817" t="s">
        <v>60</v>
      </c>
      <c r="B152" s="143">
        <f t="shared" si="40"/>
        <v>70000000</v>
      </c>
      <c r="C152" s="93" t="s">
        <v>36</v>
      </c>
      <c r="D152" s="93" t="s">
        <v>826</v>
      </c>
      <c r="E152" s="93" t="s">
        <v>822</v>
      </c>
      <c r="F152" s="93" t="s">
        <v>822</v>
      </c>
      <c r="G152" s="93" t="s">
        <v>55</v>
      </c>
      <c r="H152" s="2116" t="s">
        <v>1641</v>
      </c>
      <c r="I152" s="2104">
        <v>152</v>
      </c>
      <c r="J152" s="203">
        <v>0</v>
      </c>
      <c r="K152" s="503"/>
      <c r="L152" s="992">
        <v>57</v>
      </c>
      <c r="M152" s="608">
        <f>74800000-4800000</f>
        <v>70000000</v>
      </c>
      <c r="N152" s="498">
        <v>215</v>
      </c>
      <c r="O152" s="154">
        <v>70000000</v>
      </c>
      <c r="P152" s="996">
        <v>186</v>
      </c>
      <c r="Q152" s="234"/>
      <c r="R152" s="153"/>
      <c r="S152" s="153">
        <v>6300000</v>
      </c>
      <c r="T152" s="153">
        <f>VLOOKUP(N152,[7]Hoja2!N$132:T$199,7,0)</f>
        <v>7000000</v>
      </c>
      <c r="U152" s="153">
        <f>3266667+3733333</f>
        <v>7000000</v>
      </c>
      <c r="V152" s="153">
        <v>7000000</v>
      </c>
      <c r="W152" s="153">
        <v>4200000</v>
      </c>
      <c r="X152" s="153">
        <v>6766667</v>
      </c>
      <c r="Y152" s="153">
        <v>7000000</v>
      </c>
      <c r="Z152" s="153">
        <f>1866667+5133333</f>
        <v>7000000</v>
      </c>
      <c r="AA152" s="153">
        <v>7000000</v>
      </c>
      <c r="AB152" s="153">
        <f>7000000+3733333</f>
        <v>10733333</v>
      </c>
      <c r="AC152" s="182">
        <f t="shared" si="44"/>
        <v>70000000</v>
      </c>
      <c r="AD152" s="391">
        <f t="shared" si="46"/>
        <v>0</v>
      </c>
      <c r="AF152" s="878" t="s">
        <v>879</v>
      </c>
      <c r="AG152" s="879" t="s">
        <v>372</v>
      </c>
      <c r="AH152" s="833" t="s">
        <v>1362</v>
      </c>
      <c r="AI152" s="799">
        <f t="shared" si="41"/>
        <v>186</v>
      </c>
      <c r="AJ152" s="880">
        <f>74800000-4800000</f>
        <v>70000000</v>
      </c>
      <c r="AK152" s="875">
        <f t="shared" si="47"/>
        <v>0</v>
      </c>
      <c r="AL152" s="820"/>
      <c r="AM152" s="302">
        <f t="shared" si="48"/>
        <v>0</v>
      </c>
    </row>
    <row r="153" spans="1:39" s="6" customFormat="1">
      <c r="A153" s="817" t="s">
        <v>60</v>
      </c>
      <c r="B153" s="143">
        <f t="shared" si="40"/>
        <v>10266667</v>
      </c>
      <c r="C153" s="93" t="s">
        <v>36</v>
      </c>
      <c r="D153" s="93" t="s">
        <v>826</v>
      </c>
      <c r="E153" s="93" t="s">
        <v>822</v>
      </c>
      <c r="F153" s="93" t="s">
        <v>822</v>
      </c>
      <c r="G153" s="93" t="s">
        <v>55</v>
      </c>
      <c r="H153" s="2116" t="s">
        <v>1641</v>
      </c>
      <c r="I153" s="2105" t="s">
        <v>325</v>
      </c>
      <c r="J153" s="203">
        <v>825</v>
      </c>
      <c r="K153" s="503">
        <v>10266667</v>
      </c>
      <c r="L153" s="992">
        <v>939</v>
      </c>
      <c r="M153" s="608">
        <v>10266667</v>
      </c>
      <c r="N153" s="498">
        <v>1076</v>
      </c>
      <c r="O153" s="154">
        <v>10266667</v>
      </c>
      <c r="P153" s="996">
        <v>186</v>
      </c>
      <c r="Q153" s="234"/>
      <c r="R153" s="153"/>
      <c r="S153" s="153"/>
      <c r="T153" s="153"/>
      <c r="U153" s="153"/>
      <c r="V153" s="153"/>
      <c r="W153" s="153"/>
      <c r="X153" s="153"/>
      <c r="Y153" s="153"/>
      <c r="Z153" s="153"/>
      <c r="AA153" s="153"/>
      <c r="AB153" s="153">
        <v>3266667</v>
      </c>
      <c r="AC153" s="182">
        <f>SUM(Q153:AB153)</f>
        <v>3266667</v>
      </c>
      <c r="AD153" s="391">
        <f t="shared" si="46"/>
        <v>7000000</v>
      </c>
      <c r="AF153" s="1902" t="s">
        <v>325</v>
      </c>
      <c r="AG153" s="879" t="s">
        <v>1483</v>
      </c>
      <c r="AH153" s="833" t="s">
        <v>1362</v>
      </c>
      <c r="AI153" s="799">
        <f t="shared" si="41"/>
        <v>186</v>
      </c>
      <c r="AJ153" s="880">
        <v>10266667</v>
      </c>
      <c r="AK153" s="875">
        <f t="shared" si="47"/>
        <v>0</v>
      </c>
      <c r="AL153" s="820"/>
      <c r="AM153" s="302">
        <f t="shared" si="48"/>
        <v>0</v>
      </c>
    </row>
    <row r="154" spans="1:39" s="6" customFormat="1">
      <c r="A154" s="817" t="s">
        <v>60</v>
      </c>
      <c r="B154" s="143">
        <f t="shared" si="40"/>
        <v>41030000</v>
      </c>
      <c r="C154" s="93" t="s">
        <v>36</v>
      </c>
      <c r="D154" s="93" t="s">
        <v>826</v>
      </c>
      <c r="E154" s="93" t="s">
        <v>822</v>
      </c>
      <c r="F154" s="93" t="s">
        <v>822</v>
      </c>
      <c r="G154" s="93" t="s">
        <v>55</v>
      </c>
      <c r="H154" s="2116" t="s">
        <v>1641</v>
      </c>
      <c r="I154" s="2104">
        <v>153</v>
      </c>
      <c r="J154" s="203">
        <v>0</v>
      </c>
      <c r="K154" s="503"/>
      <c r="L154" s="992">
        <v>28</v>
      </c>
      <c r="M154" s="608">
        <v>41030000</v>
      </c>
      <c r="N154" s="498">
        <v>6</v>
      </c>
      <c r="O154" s="163">
        <v>41030000</v>
      </c>
      <c r="P154" s="231">
        <v>6</v>
      </c>
      <c r="Q154" s="234"/>
      <c r="R154" s="153">
        <v>1865000</v>
      </c>
      <c r="S154" s="153">
        <v>3730000</v>
      </c>
      <c r="T154" s="153">
        <f>VLOOKUP(N154,[7]Hoja2!N$132:T$199,7,0)</f>
        <v>3730000</v>
      </c>
      <c r="U154" s="153">
        <v>3730000</v>
      </c>
      <c r="V154" s="153">
        <v>3730000</v>
      </c>
      <c r="W154" s="153">
        <v>3730000</v>
      </c>
      <c r="X154" s="153">
        <v>3730000</v>
      </c>
      <c r="Y154" s="153">
        <v>3730000</v>
      </c>
      <c r="Z154" s="153">
        <v>3730000</v>
      </c>
      <c r="AA154" s="153">
        <f>746000+2611000+248667</f>
        <v>3605667</v>
      </c>
      <c r="AB154" s="153">
        <f>3730000+1989333</f>
        <v>5719333</v>
      </c>
      <c r="AC154" s="182">
        <f t="shared" si="44"/>
        <v>41030000</v>
      </c>
      <c r="AD154" s="391">
        <f t="shared" si="46"/>
        <v>0</v>
      </c>
      <c r="AF154" s="878">
        <v>153</v>
      </c>
      <c r="AG154" s="879" t="s">
        <v>373</v>
      </c>
      <c r="AH154" s="268" t="s">
        <v>689</v>
      </c>
      <c r="AI154" s="799">
        <f t="shared" si="41"/>
        <v>6</v>
      </c>
      <c r="AJ154" s="880">
        <v>41030000</v>
      </c>
      <c r="AK154" s="875">
        <f t="shared" si="47"/>
        <v>0</v>
      </c>
      <c r="AL154" s="820"/>
      <c r="AM154" s="302">
        <f t="shared" si="48"/>
        <v>0</v>
      </c>
    </row>
    <row r="155" spans="1:39" s="6" customFormat="1">
      <c r="A155" s="817" t="s">
        <v>60</v>
      </c>
      <c r="B155" s="143">
        <f t="shared" si="40"/>
        <v>1865000</v>
      </c>
      <c r="C155" s="93" t="s">
        <v>36</v>
      </c>
      <c r="D155" s="93" t="s">
        <v>826</v>
      </c>
      <c r="E155" s="93" t="s">
        <v>822</v>
      </c>
      <c r="F155" s="93" t="s">
        <v>822</v>
      </c>
      <c r="G155" s="93" t="s">
        <v>55</v>
      </c>
      <c r="H155" s="2116" t="s">
        <v>1641</v>
      </c>
      <c r="I155" s="2105" t="s">
        <v>325</v>
      </c>
      <c r="J155" s="203">
        <v>816</v>
      </c>
      <c r="K155" s="503">
        <v>1865000</v>
      </c>
      <c r="L155" s="992">
        <v>918</v>
      </c>
      <c r="M155" s="608">
        <v>1865000</v>
      </c>
      <c r="N155" s="498">
        <v>1053</v>
      </c>
      <c r="O155" s="163">
        <v>1865000</v>
      </c>
      <c r="P155" s="231">
        <v>6</v>
      </c>
      <c r="Q155" s="234"/>
      <c r="R155" s="153"/>
      <c r="S155" s="153"/>
      <c r="T155" s="153"/>
      <c r="U155" s="153"/>
      <c r="V155" s="153"/>
      <c r="W155" s="153"/>
      <c r="X155" s="153"/>
      <c r="Y155" s="153"/>
      <c r="Z155" s="153"/>
      <c r="AA155" s="153"/>
      <c r="AB155" s="153">
        <v>746000</v>
      </c>
      <c r="AC155" s="182">
        <f>SUM(Q155:AB155)</f>
        <v>746000</v>
      </c>
      <c r="AD155" s="391">
        <f t="shared" si="46"/>
        <v>1119000</v>
      </c>
      <c r="AF155" s="1902" t="s">
        <v>325</v>
      </c>
      <c r="AG155" s="879" t="s">
        <v>1480</v>
      </c>
      <c r="AH155" s="268" t="s">
        <v>1562</v>
      </c>
      <c r="AI155" s="799">
        <f t="shared" si="41"/>
        <v>6</v>
      </c>
      <c r="AJ155" s="880">
        <v>1865000</v>
      </c>
      <c r="AK155" s="875">
        <f t="shared" si="47"/>
        <v>0</v>
      </c>
      <c r="AL155" s="820"/>
      <c r="AM155" s="302">
        <f t="shared" si="48"/>
        <v>0</v>
      </c>
    </row>
    <row r="156" spans="1:39" s="6" customFormat="1">
      <c r="A156" s="817" t="s">
        <v>60</v>
      </c>
      <c r="B156" s="143">
        <f t="shared" si="40"/>
        <v>3730000</v>
      </c>
      <c r="C156" s="93" t="s">
        <v>36</v>
      </c>
      <c r="D156" s="93" t="s">
        <v>826</v>
      </c>
      <c r="E156" s="93" t="s">
        <v>822</v>
      </c>
      <c r="F156" s="93" t="s">
        <v>822</v>
      </c>
      <c r="G156" s="93" t="s">
        <v>55</v>
      </c>
      <c r="H156" s="2116" t="s">
        <v>1641</v>
      </c>
      <c r="I156" s="2105" t="s">
        <v>325</v>
      </c>
      <c r="J156" s="203">
        <v>876</v>
      </c>
      <c r="K156" s="503">
        <v>3730000</v>
      </c>
      <c r="L156" s="992">
        <v>998</v>
      </c>
      <c r="M156" s="608">
        <v>3730000</v>
      </c>
      <c r="N156" s="498">
        <v>1217</v>
      </c>
      <c r="O156" s="163">
        <v>3730000</v>
      </c>
      <c r="P156" s="231">
        <v>6</v>
      </c>
      <c r="Q156" s="234"/>
      <c r="R156" s="153"/>
      <c r="S156" s="153"/>
      <c r="T156" s="153"/>
      <c r="U156" s="153"/>
      <c r="V156" s="153"/>
      <c r="W156" s="153"/>
      <c r="X156" s="153"/>
      <c r="Y156" s="153"/>
      <c r="Z156" s="153"/>
      <c r="AA156" s="153"/>
      <c r="AB156" s="153"/>
      <c r="AC156" s="182">
        <f>SUM(Q156:AB156)</f>
        <v>0</v>
      </c>
      <c r="AD156" s="391">
        <f t="shared" si="46"/>
        <v>3730000</v>
      </c>
      <c r="AF156" s="1952" t="s">
        <v>325</v>
      </c>
      <c r="AG156" s="879" t="s">
        <v>1579</v>
      </c>
      <c r="AH156" s="268" t="s">
        <v>907</v>
      </c>
      <c r="AI156" s="799">
        <f t="shared" si="41"/>
        <v>6</v>
      </c>
      <c r="AJ156" s="1953">
        <v>3730000</v>
      </c>
      <c r="AK156" s="875">
        <f t="shared" si="47"/>
        <v>0</v>
      </c>
      <c r="AL156" s="820"/>
      <c r="AM156" s="302">
        <f t="shared" si="48"/>
        <v>0</v>
      </c>
    </row>
    <row r="157" spans="1:39" s="6" customFormat="1">
      <c r="A157" s="817" t="s">
        <v>60</v>
      </c>
      <c r="B157" s="143">
        <f t="shared" si="40"/>
        <v>40700000</v>
      </c>
      <c r="C157" s="93" t="s">
        <v>36</v>
      </c>
      <c r="D157" s="93" t="s">
        <v>826</v>
      </c>
      <c r="E157" s="93" t="s">
        <v>822</v>
      </c>
      <c r="F157" s="93" t="s">
        <v>822</v>
      </c>
      <c r="G157" s="93" t="s">
        <v>55</v>
      </c>
      <c r="H157" s="2116" t="s">
        <v>1641</v>
      </c>
      <c r="I157" s="2104">
        <v>154</v>
      </c>
      <c r="J157" s="203">
        <v>0</v>
      </c>
      <c r="K157" s="503"/>
      <c r="L157" s="992">
        <v>24</v>
      </c>
      <c r="M157" s="608">
        <v>40700000</v>
      </c>
      <c r="N157" s="498">
        <v>7</v>
      </c>
      <c r="O157" s="163">
        <v>40700000</v>
      </c>
      <c r="P157" s="231">
        <v>7</v>
      </c>
      <c r="Q157" s="234"/>
      <c r="R157" s="153">
        <v>1850000</v>
      </c>
      <c r="S157" s="153">
        <v>3700000</v>
      </c>
      <c r="T157" s="153">
        <f>VLOOKUP(N157,[7]Hoja2!N$132:T$199,7,0)</f>
        <v>3700000</v>
      </c>
      <c r="U157" s="153">
        <v>3700000</v>
      </c>
      <c r="V157" s="153">
        <v>3700000</v>
      </c>
      <c r="W157" s="153">
        <v>3700000</v>
      </c>
      <c r="X157" s="153">
        <v>3700000</v>
      </c>
      <c r="Y157" s="153">
        <v>3700000</v>
      </c>
      <c r="Z157" s="153">
        <v>3700000</v>
      </c>
      <c r="AA157" s="153">
        <v>3700000</v>
      </c>
      <c r="AB157" s="153">
        <f>3700000+1850000</f>
        <v>5550000</v>
      </c>
      <c r="AC157" s="182">
        <f t="shared" si="44"/>
        <v>40700000</v>
      </c>
      <c r="AD157" s="391">
        <f t="shared" si="46"/>
        <v>0</v>
      </c>
      <c r="AF157" s="878">
        <v>154</v>
      </c>
      <c r="AG157" s="879" t="s">
        <v>374</v>
      </c>
      <c r="AH157" s="268" t="s">
        <v>690</v>
      </c>
      <c r="AI157" s="799">
        <f t="shared" si="41"/>
        <v>7</v>
      </c>
      <c r="AJ157" s="880">
        <v>40700000</v>
      </c>
      <c r="AK157" s="875">
        <f t="shared" si="47"/>
        <v>0</v>
      </c>
      <c r="AL157" s="820"/>
      <c r="AM157" s="302">
        <f t="shared" si="48"/>
        <v>0</v>
      </c>
    </row>
    <row r="158" spans="1:39" s="6" customFormat="1">
      <c r="A158" s="817" t="s">
        <v>60</v>
      </c>
      <c r="B158" s="143">
        <f t="shared" si="40"/>
        <v>5550000</v>
      </c>
      <c r="C158" s="93" t="s">
        <v>36</v>
      </c>
      <c r="D158" s="93" t="s">
        <v>826</v>
      </c>
      <c r="E158" s="93" t="s">
        <v>822</v>
      </c>
      <c r="F158" s="93" t="s">
        <v>822</v>
      </c>
      <c r="G158" s="93" t="s">
        <v>55</v>
      </c>
      <c r="H158" s="2116" t="s">
        <v>1641</v>
      </c>
      <c r="I158" s="2105" t="s">
        <v>325</v>
      </c>
      <c r="J158" s="203">
        <v>822</v>
      </c>
      <c r="K158" s="503">
        <v>5550000</v>
      </c>
      <c r="L158" s="992">
        <v>919</v>
      </c>
      <c r="M158" s="608">
        <v>5550000</v>
      </c>
      <c r="N158" s="498">
        <v>1059</v>
      </c>
      <c r="O158" s="448">
        <v>5550000</v>
      </c>
      <c r="P158" s="231">
        <v>7</v>
      </c>
      <c r="Q158" s="234"/>
      <c r="R158" s="153"/>
      <c r="S158" s="153"/>
      <c r="T158" s="153"/>
      <c r="U158" s="153"/>
      <c r="V158" s="153"/>
      <c r="W158" s="153"/>
      <c r="X158" s="153"/>
      <c r="Y158" s="153"/>
      <c r="Z158" s="153"/>
      <c r="AA158" s="153"/>
      <c r="AB158" s="153">
        <v>1850000</v>
      </c>
      <c r="AC158" s="182">
        <f>SUM(Q158:AB158)</f>
        <v>1850000</v>
      </c>
      <c r="AD158" s="391">
        <f t="shared" si="46"/>
        <v>3700000</v>
      </c>
      <c r="AF158" s="1902" t="s">
        <v>325</v>
      </c>
      <c r="AG158" s="879" t="s">
        <v>1448</v>
      </c>
      <c r="AH158" s="268" t="s">
        <v>690</v>
      </c>
      <c r="AI158" s="799">
        <f t="shared" si="41"/>
        <v>7</v>
      </c>
      <c r="AJ158" s="880">
        <v>5550000</v>
      </c>
      <c r="AK158" s="875">
        <f t="shared" si="47"/>
        <v>0</v>
      </c>
      <c r="AL158" s="820"/>
      <c r="AM158" s="302">
        <f t="shared" si="48"/>
        <v>0</v>
      </c>
    </row>
    <row r="159" spans="1:39" s="6" customFormat="1">
      <c r="A159" s="817" t="s">
        <v>60</v>
      </c>
      <c r="B159" s="143">
        <f t="shared" si="40"/>
        <v>50000000</v>
      </c>
      <c r="C159" s="93" t="s">
        <v>36</v>
      </c>
      <c r="D159" s="93" t="s">
        <v>826</v>
      </c>
      <c r="E159" s="93" t="s">
        <v>822</v>
      </c>
      <c r="F159" s="93" t="s">
        <v>822</v>
      </c>
      <c r="G159" s="93" t="s">
        <v>55</v>
      </c>
      <c r="H159" s="2116" t="s">
        <v>1641</v>
      </c>
      <c r="I159" s="2104">
        <v>155</v>
      </c>
      <c r="J159" s="203">
        <v>0</v>
      </c>
      <c r="K159" s="503"/>
      <c r="L159" s="992">
        <v>314</v>
      </c>
      <c r="M159" s="608">
        <v>50000000</v>
      </c>
      <c r="N159" s="498">
        <v>323</v>
      </c>
      <c r="O159" s="816">
        <v>50000000</v>
      </c>
      <c r="P159" s="238">
        <v>273</v>
      </c>
      <c r="Q159" s="234"/>
      <c r="R159" s="153"/>
      <c r="S159" s="153"/>
      <c r="T159" s="153"/>
      <c r="U159" s="153"/>
      <c r="V159" s="153">
        <f>4500000+5000000</f>
        <v>9500000</v>
      </c>
      <c r="W159" s="153">
        <f>5000000+5000000</f>
        <v>10000000</v>
      </c>
      <c r="X159" s="153"/>
      <c r="Y159" s="153">
        <v>5000000</v>
      </c>
      <c r="Z159" s="153">
        <f>5000000+5000000</f>
        <v>10000000</v>
      </c>
      <c r="AA159" s="153">
        <v>5000000</v>
      </c>
      <c r="AB159" s="153">
        <v>5000000</v>
      </c>
      <c r="AC159" s="182">
        <f t="shared" si="44"/>
        <v>44500000</v>
      </c>
      <c r="AD159" s="391">
        <f t="shared" si="46"/>
        <v>5500000</v>
      </c>
      <c r="AF159" s="878">
        <v>155</v>
      </c>
      <c r="AG159" s="879" t="s">
        <v>375</v>
      </c>
      <c r="AH159" s="879" t="s">
        <v>780</v>
      </c>
      <c r="AI159" s="799">
        <f t="shared" si="41"/>
        <v>273</v>
      </c>
      <c r="AJ159" s="880">
        <f>55000000-5000000</f>
        <v>50000000</v>
      </c>
      <c r="AK159" s="875">
        <f t="shared" si="47"/>
        <v>0</v>
      </c>
      <c r="AL159" s="820"/>
      <c r="AM159" s="302">
        <f t="shared" si="48"/>
        <v>0</v>
      </c>
    </row>
    <row r="160" spans="1:39" s="6" customFormat="1">
      <c r="A160" s="817" t="s">
        <v>60</v>
      </c>
      <c r="B160" s="143">
        <f t="shared" si="40"/>
        <v>55220000</v>
      </c>
      <c r="C160" s="93" t="s">
        <v>36</v>
      </c>
      <c r="D160" s="93" t="s">
        <v>826</v>
      </c>
      <c r="E160" s="93" t="s">
        <v>822</v>
      </c>
      <c r="F160" s="93" t="s">
        <v>822</v>
      </c>
      <c r="G160" s="93" t="s">
        <v>55</v>
      </c>
      <c r="H160" s="2116" t="s">
        <v>1641</v>
      </c>
      <c r="I160" s="2104">
        <v>156</v>
      </c>
      <c r="J160" s="203">
        <v>0</v>
      </c>
      <c r="K160" s="503"/>
      <c r="L160" s="992">
        <v>68</v>
      </c>
      <c r="M160" s="608">
        <v>55220000</v>
      </c>
      <c r="N160" s="498">
        <v>51</v>
      </c>
      <c r="O160" s="163">
        <v>55220000</v>
      </c>
      <c r="P160" s="231">
        <v>50</v>
      </c>
      <c r="Q160" s="234"/>
      <c r="R160" s="153">
        <v>2175333</v>
      </c>
      <c r="S160" s="153">
        <v>5020000</v>
      </c>
      <c r="T160" s="153">
        <f>VLOOKUP(N160,[7]Hoja2!N$132:T$199,7,0)</f>
        <v>5020000</v>
      </c>
      <c r="U160" s="153">
        <v>5020000</v>
      </c>
      <c r="V160" s="153">
        <v>5020000</v>
      </c>
      <c r="W160" s="153">
        <v>5020000</v>
      </c>
      <c r="X160" s="153">
        <v>5020000</v>
      </c>
      <c r="Y160" s="153">
        <v>5020000</v>
      </c>
      <c r="Z160" s="153">
        <v>5020000</v>
      </c>
      <c r="AA160" s="153">
        <v>5020000</v>
      </c>
      <c r="AB160" s="153">
        <f>5020000+2844667</f>
        <v>7864667</v>
      </c>
      <c r="AC160" s="182">
        <f t="shared" si="44"/>
        <v>55220000</v>
      </c>
      <c r="AD160" s="391">
        <f t="shared" si="46"/>
        <v>0</v>
      </c>
      <c r="AF160" s="878">
        <v>156</v>
      </c>
      <c r="AG160" s="879" t="s">
        <v>376</v>
      </c>
      <c r="AH160" s="268" t="s">
        <v>691</v>
      </c>
      <c r="AI160" s="799">
        <f t="shared" si="41"/>
        <v>50</v>
      </c>
      <c r="AJ160" s="880">
        <v>55220000</v>
      </c>
      <c r="AK160" s="875">
        <f t="shared" si="47"/>
        <v>0</v>
      </c>
      <c r="AL160" s="820"/>
      <c r="AM160" s="302">
        <f t="shared" si="48"/>
        <v>0</v>
      </c>
    </row>
    <row r="161" spans="1:39" s="6" customFormat="1">
      <c r="A161" s="817" t="s">
        <v>60</v>
      </c>
      <c r="B161" s="143">
        <f t="shared" si="40"/>
        <v>7195333</v>
      </c>
      <c r="C161" s="93" t="s">
        <v>36</v>
      </c>
      <c r="D161" s="93" t="s">
        <v>826</v>
      </c>
      <c r="E161" s="93" t="s">
        <v>822</v>
      </c>
      <c r="F161" s="93" t="s">
        <v>822</v>
      </c>
      <c r="G161" s="93" t="s">
        <v>55</v>
      </c>
      <c r="H161" s="2116" t="s">
        <v>1641</v>
      </c>
      <c r="I161" s="2105" t="s">
        <v>325</v>
      </c>
      <c r="J161" s="203">
        <v>821</v>
      </c>
      <c r="K161" s="503">
        <v>7195333</v>
      </c>
      <c r="L161" s="992">
        <v>925</v>
      </c>
      <c r="M161" s="608">
        <v>7195333</v>
      </c>
      <c r="N161" s="498">
        <v>1090</v>
      </c>
      <c r="O161" s="163">
        <v>7195333</v>
      </c>
      <c r="P161" s="231">
        <v>50</v>
      </c>
      <c r="Q161" s="234"/>
      <c r="R161" s="153"/>
      <c r="S161" s="153"/>
      <c r="T161" s="153"/>
      <c r="U161" s="153"/>
      <c r="V161" s="153"/>
      <c r="W161" s="153"/>
      <c r="X161" s="153"/>
      <c r="Y161" s="153"/>
      <c r="Z161" s="153"/>
      <c r="AA161" s="153"/>
      <c r="AB161" s="153">
        <v>2175333</v>
      </c>
      <c r="AC161" s="182">
        <f>SUM(Q161:AB161)</f>
        <v>2175333</v>
      </c>
      <c r="AD161" s="391">
        <f t="shared" si="46"/>
        <v>5020000</v>
      </c>
      <c r="AF161" s="1902" t="s">
        <v>325</v>
      </c>
      <c r="AG161" s="879" t="s">
        <v>1454</v>
      </c>
      <c r="AH161" s="268" t="s">
        <v>691</v>
      </c>
      <c r="AI161" s="799">
        <f t="shared" si="41"/>
        <v>50</v>
      </c>
      <c r="AJ161" s="880">
        <v>7195333</v>
      </c>
      <c r="AK161" s="875">
        <f t="shared" si="47"/>
        <v>0</v>
      </c>
      <c r="AL161" s="820"/>
      <c r="AM161" s="302">
        <f t="shared" si="48"/>
        <v>0</v>
      </c>
    </row>
    <row r="162" spans="1:39" s="6" customFormat="1">
      <c r="A162" s="817" t="s">
        <v>60</v>
      </c>
      <c r="B162" s="143">
        <f t="shared" si="40"/>
        <v>40700000</v>
      </c>
      <c r="C162" s="93" t="s">
        <v>36</v>
      </c>
      <c r="D162" s="93" t="s">
        <v>826</v>
      </c>
      <c r="E162" s="93" t="s">
        <v>822</v>
      </c>
      <c r="F162" s="93" t="s">
        <v>822</v>
      </c>
      <c r="G162" s="93" t="s">
        <v>55</v>
      </c>
      <c r="H162" s="2116" t="s">
        <v>1641</v>
      </c>
      <c r="I162" s="2104">
        <v>158</v>
      </c>
      <c r="J162" s="203">
        <v>0</v>
      </c>
      <c r="K162" s="503"/>
      <c r="L162" s="992">
        <v>69</v>
      </c>
      <c r="M162" s="608">
        <v>40700000</v>
      </c>
      <c r="N162" s="498">
        <v>55</v>
      </c>
      <c r="O162" s="163">
        <v>40700000</v>
      </c>
      <c r="P162" s="231">
        <v>87</v>
      </c>
      <c r="Q162" s="234"/>
      <c r="R162" s="153">
        <v>1603333</v>
      </c>
      <c r="S162" s="153">
        <v>3700000</v>
      </c>
      <c r="T162" s="153">
        <f>VLOOKUP(N162,[7]Hoja2!N$132:T$199,7,0)</f>
        <v>3700000</v>
      </c>
      <c r="U162" s="153">
        <v>3700000</v>
      </c>
      <c r="V162" s="153">
        <v>3700000</v>
      </c>
      <c r="W162" s="153">
        <v>3700000</v>
      </c>
      <c r="X162" s="153">
        <v>3700000</v>
      </c>
      <c r="Y162" s="153">
        <v>3700000</v>
      </c>
      <c r="Z162" s="153">
        <v>3700000</v>
      </c>
      <c r="AA162" s="153">
        <f>1726667+1973333</f>
        <v>3700000</v>
      </c>
      <c r="AB162" s="153">
        <v>3700000</v>
      </c>
      <c r="AC162" s="182">
        <f t="shared" si="44"/>
        <v>38603333</v>
      </c>
      <c r="AD162" s="391">
        <f t="shared" si="46"/>
        <v>2096667</v>
      </c>
      <c r="AF162" s="878">
        <v>158</v>
      </c>
      <c r="AG162" s="879" t="s">
        <v>377</v>
      </c>
      <c r="AH162" s="268" t="s">
        <v>692</v>
      </c>
      <c r="AI162" s="799">
        <f t="shared" si="41"/>
        <v>87</v>
      </c>
      <c r="AJ162" s="880">
        <v>40700000</v>
      </c>
      <c r="AK162" s="875">
        <f t="shared" si="47"/>
        <v>0</v>
      </c>
      <c r="AL162" s="820"/>
      <c r="AM162" s="302">
        <f t="shared" si="48"/>
        <v>0</v>
      </c>
    </row>
    <row r="163" spans="1:39" s="6" customFormat="1">
      <c r="A163" s="817" t="s">
        <v>60</v>
      </c>
      <c r="B163" s="143">
        <f t="shared" si="40"/>
        <v>49500000</v>
      </c>
      <c r="C163" s="93" t="s">
        <v>36</v>
      </c>
      <c r="D163" s="93" t="s">
        <v>826</v>
      </c>
      <c r="E163" s="93" t="s">
        <v>822</v>
      </c>
      <c r="F163" s="93" t="s">
        <v>822</v>
      </c>
      <c r="G163" s="93" t="s">
        <v>55</v>
      </c>
      <c r="H163" s="2116" t="s">
        <v>1641</v>
      </c>
      <c r="I163" s="2104">
        <v>159</v>
      </c>
      <c r="J163" s="203">
        <v>0</v>
      </c>
      <c r="K163" s="503"/>
      <c r="L163" s="992">
        <v>150</v>
      </c>
      <c r="M163" s="608">
        <v>49500000</v>
      </c>
      <c r="N163" s="498">
        <v>79</v>
      </c>
      <c r="O163" s="163">
        <v>49500000</v>
      </c>
      <c r="P163" s="231">
        <v>133</v>
      </c>
      <c r="Q163" s="234"/>
      <c r="R163" s="153">
        <v>1350000</v>
      </c>
      <c r="S163" s="153">
        <v>4500000</v>
      </c>
      <c r="T163" s="153">
        <f>VLOOKUP(N163,[7]Hoja2!N$132:T$199,7,0)</f>
        <v>4500000</v>
      </c>
      <c r="U163" s="153">
        <v>4500000</v>
      </c>
      <c r="V163" s="153">
        <v>4500000</v>
      </c>
      <c r="W163" s="153">
        <v>3450000</v>
      </c>
      <c r="X163" s="153">
        <v>4500000</v>
      </c>
      <c r="Y163" s="153">
        <v>4500000</v>
      </c>
      <c r="Z163" s="153">
        <v>3900000</v>
      </c>
      <c r="AA163" s="153">
        <f>1350000+3150000</f>
        <v>4500000</v>
      </c>
      <c r="AB163" s="153">
        <f>4500000+150000+3300000+900000</f>
        <v>8850000</v>
      </c>
      <c r="AC163" s="182">
        <f t="shared" si="44"/>
        <v>49050000</v>
      </c>
      <c r="AD163" s="391">
        <f t="shared" si="46"/>
        <v>450000</v>
      </c>
      <c r="AF163" s="878">
        <v>159</v>
      </c>
      <c r="AG163" s="879" t="s">
        <v>378</v>
      </c>
      <c r="AH163" s="268" t="s">
        <v>1611</v>
      </c>
      <c r="AI163" s="799">
        <f t="shared" si="41"/>
        <v>133</v>
      </c>
      <c r="AJ163" s="880">
        <v>49500000</v>
      </c>
      <c r="AK163" s="875">
        <f t="shared" si="47"/>
        <v>0</v>
      </c>
      <c r="AL163" s="820"/>
      <c r="AM163" s="302">
        <f t="shared" si="48"/>
        <v>0</v>
      </c>
    </row>
    <row r="164" spans="1:39" s="6" customFormat="1">
      <c r="A164" s="817" t="s">
        <v>60</v>
      </c>
      <c r="B164" s="143">
        <f t="shared" si="40"/>
        <v>4800000</v>
      </c>
      <c r="C164" s="93" t="s">
        <v>36</v>
      </c>
      <c r="D164" s="93" t="s">
        <v>826</v>
      </c>
      <c r="E164" s="93" t="s">
        <v>822</v>
      </c>
      <c r="F164" s="93" t="s">
        <v>822</v>
      </c>
      <c r="G164" s="93" t="s">
        <v>55</v>
      </c>
      <c r="H164" s="2116" t="s">
        <v>1641</v>
      </c>
      <c r="I164" s="2105" t="s">
        <v>325</v>
      </c>
      <c r="J164" s="203">
        <v>841</v>
      </c>
      <c r="K164" s="503">
        <v>4800000</v>
      </c>
      <c r="L164" s="992">
        <v>963</v>
      </c>
      <c r="M164" s="608">
        <v>4800000</v>
      </c>
      <c r="N164" s="498">
        <v>1165</v>
      </c>
      <c r="O164" s="163">
        <v>4800000</v>
      </c>
      <c r="P164" s="231">
        <v>133</v>
      </c>
      <c r="Q164" s="234"/>
      <c r="R164" s="153"/>
      <c r="S164" s="153"/>
      <c r="T164" s="153"/>
      <c r="U164" s="153"/>
      <c r="V164" s="153"/>
      <c r="W164" s="153"/>
      <c r="X164" s="153"/>
      <c r="Y164" s="153"/>
      <c r="Z164" s="153"/>
      <c r="AA164" s="153"/>
      <c r="AB164" s="153">
        <v>300000</v>
      </c>
      <c r="AC164" s="182">
        <f t="shared" ref="AC164" si="49">SUM(Q164:AB164)</f>
        <v>300000</v>
      </c>
      <c r="AD164" s="391">
        <f t="shared" si="46"/>
        <v>4500000</v>
      </c>
      <c r="AF164" s="1902" t="s">
        <v>325</v>
      </c>
      <c r="AG164" s="879" t="s">
        <v>1555</v>
      </c>
      <c r="AH164" s="268" t="s">
        <v>1610</v>
      </c>
      <c r="AI164" s="799">
        <f t="shared" si="41"/>
        <v>133</v>
      </c>
      <c r="AJ164" s="880">
        <v>4800000</v>
      </c>
      <c r="AK164" s="875">
        <f t="shared" si="47"/>
        <v>0</v>
      </c>
      <c r="AL164" s="820"/>
      <c r="AM164" s="302">
        <f t="shared" si="48"/>
        <v>0</v>
      </c>
    </row>
    <row r="165" spans="1:39" s="6" customFormat="1">
      <c r="A165" s="817" t="s">
        <v>60</v>
      </c>
      <c r="B165" s="143">
        <f t="shared" si="40"/>
        <v>66000000</v>
      </c>
      <c r="C165" s="93" t="s">
        <v>36</v>
      </c>
      <c r="D165" s="93" t="s">
        <v>826</v>
      </c>
      <c r="E165" s="93" t="s">
        <v>822</v>
      </c>
      <c r="F165" s="93" t="s">
        <v>822</v>
      </c>
      <c r="G165" s="93" t="s">
        <v>55</v>
      </c>
      <c r="H165" s="2116" t="s">
        <v>1641</v>
      </c>
      <c r="I165" s="2104">
        <v>160</v>
      </c>
      <c r="J165" s="203">
        <v>0</v>
      </c>
      <c r="K165" s="503"/>
      <c r="L165" s="992">
        <v>92</v>
      </c>
      <c r="M165" s="608">
        <v>66000000</v>
      </c>
      <c r="N165" s="498">
        <v>84</v>
      </c>
      <c r="O165" s="163">
        <v>66000000</v>
      </c>
      <c r="P165" s="231">
        <v>86</v>
      </c>
      <c r="Q165" s="234"/>
      <c r="R165" s="153">
        <v>1600000</v>
      </c>
      <c r="S165" s="153">
        <v>6000000</v>
      </c>
      <c r="T165" s="153">
        <f>VLOOKUP(N165,[7]Hoja2!N$132:T$199,7,0)</f>
        <v>6000000</v>
      </c>
      <c r="U165" s="153">
        <v>6000000</v>
      </c>
      <c r="V165" s="153">
        <v>6000000</v>
      </c>
      <c r="W165" s="153">
        <v>6000000</v>
      </c>
      <c r="X165" s="153">
        <v>6000000</v>
      </c>
      <c r="Y165" s="153">
        <v>6000000</v>
      </c>
      <c r="Z165" s="153">
        <v>6000000</v>
      </c>
      <c r="AA165" s="153">
        <v>6000000</v>
      </c>
      <c r="AB165" s="153">
        <f>6000000+4400000</f>
        <v>10400000</v>
      </c>
      <c r="AC165" s="182">
        <f t="shared" si="44"/>
        <v>66000000</v>
      </c>
      <c r="AD165" s="391">
        <f t="shared" si="46"/>
        <v>0</v>
      </c>
      <c r="AF165" s="878">
        <v>160</v>
      </c>
      <c r="AG165" s="879" t="s">
        <v>379</v>
      </c>
      <c r="AH165" s="268" t="s">
        <v>693</v>
      </c>
      <c r="AI165" s="799">
        <f t="shared" si="41"/>
        <v>86</v>
      </c>
      <c r="AJ165" s="880">
        <v>66000000</v>
      </c>
      <c r="AK165" s="875">
        <f t="shared" si="47"/>
        <v>0</v>
      </c>
      <c r="AL165" s="820"/>
      <c r="AM165" s="302">
        <f t="shared" si="48"/>
        <v>0</v>
      </c>
    </row>
    <row r="166" spans="1:39" s="6" customFormat="1">
      <c r="A166" s="817" t="s">
        <v>60</v>
      </c>
      <c r="B166" s="143">
        <f t="shared" si="40"/>
        <v>7600000</v>
      </c>
      <c r="C166" s="93" t="s">
        <v>36</v>
      </c>
      <c r="D166" s="93" t="s">
        <v>826</v>
      </c>
      <c r="E166" s="93" t="s">
        <v>822</v>
      </c>
      <c r="F166" s="93" t="s">
        <v>822</v>
      </c>
      <c r="G166" s="93" t="s">
        <v>55</v>
      </c>
      <c r="H166" s="2116" t="s">
        <v>1641</v>
      </c>
      <c r="I166" s="2105" t="s">
        <v>325</v>
      </c>
      <c r="J166" s="203">
        <v>842</v>
      </c>
      <c r="K166" s="503">
        <v>7600000</v>
      </c>
      <c r="L166" s="992">
        <v>956</v>
      </c>
      <c r="M166" s="608">
        <v>7600000</v>
      </c>
      <c r="N166" s="498">
        <v>1135</v>
      </c>
      <c r="O166" s="448">
        <v>7600000</v>
      </c>
      <c r="P166" s="231">
        <v>86</v>
      </c>
      <c r="Q166" s="234"/>
      <c r="R166" s="153"/>
      <c r="S166" s="153"/>
      <c r="T166" s="153"/>
      <c r="U166" s="153"/>
      <c r="V166" s="153"/>
      <c r="W166" s="153"/>
      <c r="X166" s="153"/>
      <c r="Y166" s="153"/>
      <c r="Z166" s="153"/>
      <c r="AA166" s="153"/>
      <c r="AB166" s="153">
        <v>1600000</v>
      </c>
      <c r="AC166" s="182">
        <f t="shared" ref="AC166" si="50">SUM(Q166:AB166)</f>
        <v>1600000</v>
      </c>
      <c r="AD166" s="391">
        <f t="shared" si="46"/>
        <v>6000000</v>
      </c>
      <c r="AF166" s="1902" t="s">
        <v>325</v>
      </c>
      <c r="AG166" s="879" t="s">
        <v>1554</v>
      </c>
      <c r="AH166" s="268" t="s">
        <v>693</v>
      </c>
      <c r="AI166" s="799">
        <f t="shared" si="41"/>
        <v>86</v>
      </c>
      <c r="AJ166" s="880">
        <v>7600000</v>
      </c>
      <c r="AK166" s="875">
        <f t="shared" si="47"/>
        <v>0</v>
      </c>
      <c r="AL166" s="820"/>
      <c r="AM166" s="302">
        <f t="shared" si="48"/>
        <v>0</v>
      </c>
    </row>
    <row r="167" spans="1:39" s="6" customFormat="1">
      <c r="A167" s="817" t="s">
        <v>60</v>
      </c>
      <c r="B167" s="143">
        <f t="shared" si="40"/>
        <v>0</v>
      </c>
      <c r="C167" s="93" t="s">
        <v>36</v>
      </c>
      <c r="D167" s="93" t="s">
        <v>826</v>
      </c>
      <c r="E167" s="93" t="s">
        <v>822</v>
      </c>
      <c r="F167" s="93" t="s">
        <v>822</v>
      </c>
      <c r="G167" s="93" t="s">
        <v>55</v>
      </c>
      <c r="H167" s="2116" t="s">
        <v>1641</v>
      </c>
      <c r="I167" s="2104">
        <v>161</v>
      </c>
      <c r="J167" s="203">
        <v>0</v>
      </c>
      <c r="K167" s="503"/>
      <c r="L167" s="992"/>
      <c r="M167" s="608"/>
      <c r="N167" s="270"/>
      <c r="O167" s="816"/>
      <c r="P167" s="238"/>
      <c r="Q167" s="234"/>
      <c r="R167" s="153"/>
      <c r="S167" s="153"/>
      <c r="T167" s="153"/>
      <c r="U167" s="153"/>
      <c r="V167" s="153"/>
      <c r="W167" s="153"/>
      <c r="X167" s="153"/>
      <c r="Y167" s="153"/>
      <c r="Z167" s="153"/>
      <c r="AA167" s="153"/>
      <c r="AB167" s="153"/>
      <c r="AC167" s="182">
        <f t="shared" si="44"/>
        <v>0</v>
      </c>
      <c r="AD167" s="391">
        <f t="shared" si="46"/>
        <v>0</v>
      </c>
      <c r="AF167" s="878">
        <v>161</v>
      </c>
      <c r="AG167" s="879" t="s">
        <v>380</v>
      </c>
      <c r="AH167" s="879" t="s">
        <v>173</v>
      </c>
      <c r="AI167" s="799">
        <f t="shared" si="41"/>
        <v>0</v>
      </c>
      <c r="AJ167" s="880">
        <f>12000000-12000000</f>
        <v>0</v>
      </c>
      <c r="AK167" s="875">
        <f t="shared" si="47"/>
        <v>0</v>
      </c>
      <c r="AL167" s="820"/>
      <c r="AM167" s="302">
        <f t="shared" si="48"/>
        <v>0</v>
      </c>
    </row>
    <row r="168" spans="1:39" s="6" customFormat="1">
      <c r="A168" s="817" t="s">
        <v>60</v>
      </c>
      <c r="B168" s="143">
        <f t="shared" si="40"/>
        <v>33990000</v>
      </c>
      <c r="C168" s="93" t="s">
        <v>36</v>
      </c>
      <c r="D168" s="93" t="s">
        <v>826</v>
      </c>
      <c r="E168" s="93" t="s">
        <v>822</v>
      </c>
      <c r="F168" s="93" t="s">
        <v>822</v>
      </c>
      <c r="G168" s="93" t="s">
        <v>55</v>
      </c>
      <c r="H168" s="2116" t="s">
        <v>1641</v>
      </c>
      <c r="I168" s="2104">
        <v>162</v>
      </c>
      <c r="J168" s="203">
        <v>0</v>
      </c>
      <c r="K168" s="503"/>
      <c r="L168" s="992">
        <v>87</v>
      </c>
      <c r="M168" s="608">
        <v>33990000</v>
      </c>
      <c r="N168" s="498">
        <v>112</v>
      </c>
      <c r="O168" s="163">
        <v>33990000</v>
      </c>
      <c r="P168" s="231">
        <v>88</v>
      </c>
      <c r="Q168" s="234"/>
      <c r="R168" s="153">
        <v>824000</v>
      </c>
      <c r="S168" s="153">
        <v>3090000</v>
      </c>
      <c r="T168" s="153">
        <f>VLOOKUP(N168,[7]Hoja2!N$132:T$199,7,0)</f>
        <v>3090000</v>
      </c>
      <c r="U168" s="153">
        <v>3090000</v>
      </c>
      <c r="V168" s="153">
        <v>3090000</v>
      </c>
      <c r="W168" s="153">
        <v>3090000</v>
      </c>
      <c r="X168" s="153">
        <v>3090000</v>
      </c>
      <c r="Y168" s="153">
        <v>3090000</v>
      </c>
      <c r="Z168" s="153">
        <v>3090000</v>
      </c>
      <c r="AA168" s="153">
        <v>3090000</v>
      </c>
      <c r="AB168" s="153">
        <v>3090000</v>
      </c>
      <c r="AC168" s="182">
        <f t="shared" si="44"/>
        <v>31724000</v>
      </c>
      <c r="AD168" s="391">
        <f t="shared" si="46"/>
        <v>2266000</v>
      </c>
      <c r="AF168" s="878">
        <v>162</v>
      </c>
      <c r="AG168" s="879" t="s">
        <v>381</v>
      </c>
      <c r="AH168" s="268" t="s">
        <v>694</v>
      </c>
      <c r="AI168" s="799">
        <f t="shared" si="41"/>
        <v>88</v>
      </c>
      <c r="AJ168" s="880">
        <v>33990000</v>
      </c>
      <c r="AK168" s="875">
        <f t="shared" si="47"/>
        <v>0</v>
      </c>
      <c r="AL168" s="820"/>
      <c r="AM168" s="302">
        <f t="shared" si="48"/>
        <v>0</v>
      </c>
    </row>
    <row r="169" spans="1:39" s="6" customFormat="1">
      <c r="A169" s="817" t="s">
        <v>60</v>
      </c>
      <c r="B169" s="143">
        <f t="shared" si="40"/>
        <v>3914000</v>
      </c>
      <c r="C169" s="93" t="s">
        <v>36</v>
      </c>
      <c r="D169" s="93" t="s">
        <v>826</v>
      </c>
      <c r="E169" s="93" t="s">
        <v>822</v>
      </c>
      <c r="F169" s="93" t="s">
        <v>822</v>
      </c>
      <c r="G169" s="93" t="s">
        <v>55</v>
      </c>
      <c r="H169" s="2116" t="s">
        <v>1641</v>
      </c>
      <c r="I169" s="2105" t="s">
        <v>325</v>
      </c>
      <c r="J169" s="203">
        <v>839</v>
      </c>
      <c r="K169" s="503">
        <v>3914000</v>
      </c>
      <c r="L169" s="992">
        <v>957</v>
      </c>
      <c r="M169" s="608">
        <v>3914000</v>
      </c>
      <c r="N169" s="498">
        <v>1126</v>
      </c>
      <c r="O169" s="448">
        <v>3914000</v>
      </c>
      <c r="P169" s="231">
        <v>88</v>
      </c>
      <c r="Q169" s="234"/>
      <c r="R169" s="153"/>
      <c r="S169" s="153"/>
      <c r="T169" s="153"/>
      <c r="U169" s="153"/>
      <c r="V169" s="153"/>
      <c r="W169" s="153"/>
      <c r="X169" s="153"/>
      <c r="Y169" s="153"/>
      <c r="Z169" s="153"/>
      <c r="AA169" s="153"/>
      <c r="AB169" s="153">
        <v>3090000</v>
      </c>
      <c r="AC169" s="182">
        <f>SUM(Q169:AB169)</f>
        <v>3090000</v>
      </c>
      <c r="AD169" s="391">
        <f t="shared" si="46"/>
        <v>824000</v>
      </c>
      <c r="AF169" s="1902" t="s">
        <v>325</v>
      </c>
      <c r="AG169" s="1905" t="s">
        <v>1457</v>
      </c>
      <c r="AH169" s="268" t="s">
        <v>694</v>
      </c>
      <c r="AI169" s="799">
        <f t="shared" si="41"/>
        <v>88</v>
      </c>
      <c r="AJ169" s="880">
        <v>3914000</v>
      </c>
      <c r="AK169" s="875">
        <f t="shared" si="47"/>
        <v>0</v>
      </c>
      <c r="AL169" s="820"/>
      <c r="AM169" s="302">
        <f t="shared" si="48"/>
        <v>0</v>
      </c>
    </row>
    <row r="170" spans="1:39" s="6" customFormat="1">
      <c r="A170" s="817" t="s">
        <v>60</v>
      </c>
      <c r="B170" s="143">
        <f t="shared" si="40"/>
        <v>0</v>
      </c>
      <c r="C170" s="93" t="s">
        <v>36</v>
      </c>
      <c r="D170" s="93" t="s">
        <v>826</v>
      </c>
      <c r="E170" s="93" t="s">
        <v>822</v>
      </c>
      <c r="F170" s="93" t="s">
        <v>822</v>
      </c>
      <c r="G170" s="93" t="s">
        <v>55</v>
      </c>
      <c r="H170" s="2116" t="s">
        <v>1641</v>
      </c>
      <c r="I170" s="2104">
        <v>163</v>
      </c>
      <c r="J170" s="203">
        <v>0</v>
      </c>
      <c r="K170" s="503"/>
      <c r="L170" s="992"/>
      <c r="M170" s="608"/>
      <c r="N170" s="270"/>
      <c r="O170" s="816"/>
      <c r="P170" s="238"/>
      <c r="Q170" s="234"/>
      <c r="R170" s="153"/>
      <c r="S170" s="153"/>
      <c r="T170" s="153"/>
      <c r="U170" s="153"/>
      <c r="V170" s="153"/>
      <c r="W170" s="153"/>
      <c r="X170" s="153"/>
      <c r="Y170" s="153"/>
      <c r="Z170" s="153"/>
      <c r="AA170" s="153"/>
      <c r="AB170" s="153"/>
      <c r="AC170" s="182">
        <f t="shared" si="44"/>
        <v>0</v>
      </c>
      <c r="AD170" s="391">
        <f t="shared" si="46"/>
        <v>0</v>
      </c>
      <c r="AF170" s="878">
        <v>163</v>
      </c>
      <c r="AG170" s="879" t="s">
        <v>382</v>
      </c>
      <c r="AH170" s="879" t="s">
        <v>173</v>
      </c>
      <c r="AI170" s="799">
        <f t="shared" si="41"/>
        <v>0</v>
      </c>
      <c r="AJ170" s="880">
        <f>12000000-12000000</f>
        <v>0</v>
      </c>
      <c r="AK170" s="875">
        <f t="shared" si="47"/>
        <v>0</v>
      </c>
      <c r="AL170" s="820"/>
      <c r="AM170" s="302">
        <f t="shared" si="48"/>
        <v>0</v>
      </c>
    </row>
    <row r="171" spans="1:39" s="6" customFormat="1">
      <c r="A171" s="817" t="s">
        <v>60</v>
      </c>
      <c r="B171" s="143">
        <f t="shared" si="40"/>
        <v>25520000</v>
      </c>
      <c r="C171" s="93" t="s">
        <v>36</v>
      </c>
      <c r="D171" s="93" t="s">
        <v>826</v>
      </c>
      <c r="E171" s="93" t="s">
        <v>822</v>
      </c>
      <c r="F171" s="93" t="s">
        <v>822</v>
      </c>
      <c r="G171" s="93" t="s">
        <v>55</v>
      </c>
      <c r="H171" s="2116" t="s">
        <v>1641</v>
      </c>
      <c r="I171" s="2104">
        <v>165</v>
      </c>
      <c r="J171" s="203">
        <v>0</v>
      </c>
      <c r="K171" s="503"/>
      <c r="L171" s="992">
        <v>22</v>
      </c>
      <c r="M171" s="608">
        <v>25520000</v>
      </c>
      <c r="N171" s="498">
        <v>11</v>
      </c>
      <c r="O171" s="163">
        <v>25520000</v>
      </c>
      <c r="P171" s="231">
        <v>13</v>
      </c>
      <c r="Q171" s="234"/>
      <c r="R171" s="153">
        <v>1082667</v>
      </c>
      <c r="S171" s="153">
        <v>2320000</v>
      </c>
      <c r="T171" s="153">
        <f>VLOOKUP(N171,[7]Hoja2!N$132:T$199,7,0)</f>
        <v>2320000</v>
      </c>
      <c r="U171" s="153">
        <v>2320000</v>
      </c>
      <c r="V171" s="153">
        <v>2320000</v>
      </c>
      <c r="W171" s="153">
        <v>2320000</v>
      </c>
      <c r="X171" s="153">
        <v>2320000</v>
      </c>
      <c r="Y171" s="153">
        <v>2320000</v>
      </c>
      <c r="Z171" s="153">
        <v>2320000</v>
      </c>
      <c r="AA171" s="153">
        <v>2320000</v>
      </c>
      <c r="AB171" s="153">
        <v>2320000</v>
      </c>
      <c r="AC171" s="182">
        <f t="shared" si="44"/>
        <v>24282667</v>
      </c>
      <c r="AD171" s="391">
        <f t="shared" si="46"/>
        <v>1237333</v>
      </c>
      <c r="AF171" s="878">
        <v>165</v>
      </c>
      <c r="AG171" s="879" t="s">
        <v>383</v>
      </c>
      <c r="AH171" s="268" t="s">
        <v>695</v>
      </c>
      <c r="AI171" s="799">
        <f t="shared" si="41"/>
        <v>13</v>
      </c>
      <c r="AJ171" s="880">
        <v>25520000</v>
      </c>
      <c r="AK171" s="875">
        <f t="shared" si="47"/>
        <v>0</v>
      </c>
      <c r="AL171" s="820"/>
      <c r="AM171" s="302">
        <f t="shared" si="48"/>
        <v>0</v>
      </c>
    </row>
    <row r="172" spans="1:39" s="6" customFormat="1">
      <c r="A172" s="817" t="s">
        <v>60</v>
      </c>
      <c r="B172" s="143">
        <f t="shared" si="40"/>
        <v>3402667</v>
      </c>
      <c r="C172" s="93" t="s">
        <v>36</v>
      </c>
      <c r="D172" s="93" t="s">
        <v>826</v>
      </c>
      <c r="E172" s="93" t="s">
        <v>822</v>
      </c>
      <c r="F172" s="93" t="s">
        <v>822</v>
      </c>
      <c r="G172" s="93" t="s">
        <v>55</v>
      </c>
      <c r="H172" s="2116" t="s">
        <v>1641</v>
      </c>
      <c r="I172" s="2105" t="s">
        <v>325</v>
      </c>
      <c r="J172" s="203">
        <v>749</v>
      </c>
      <c r="K172" s="503">
        <v>3402667</v>
      </c>
      <c r="L172" s="992">
        <v>863</v>
      </c>
      <c r="M172" s="608">
        <v>3402667</v>
      </c>
      <c r="N172" s="498">
        <v>1064</v>
      </c>
      <c r="O172" s="163">
        <v>3402667</v>
      </c>
      <c r="P172" s="231">
        <v>13</v>
      </c>
      <c r="Q172" s="234"/>
      <c r="R172" s="153"/>
      <c r="S172" s="153"/>
      <c r="T172" s="153"/>
      <c r="U172" s="153"/>
      <c r="V172" s="153"/>
      <c r="W172" s="153"/>
      <c r="X172" s="153"/>
      <c r="Y172" s="153"/>
      <c r="Z172" s="153"/>
      <c r="AA172" s="153"/>
      <c r="AB172" s="153">
        <v>2320000</v>
      </c>
      <c r="AC172" s="182">
        <f>SUM(Q172:AB172)</f>
        <v>2320000</v>
      </c>
      <c r="AD172" s="391">
        <f t="shared" si="46"/>
        <v>1082667</v>
      </c>
      <c r="AF172" s="1902" t="s">
        <v>325</v>
      </c>
      <c r="AG172" s="879" t="s">
        <v>1439</v>
      </c>
      <c r="AH172" s="268" t="s">
        <v>695</v>
      </c>
      <c r="AI172" s="799">
        <f>P172</f>
        <v>13</v>
      </c>
      <c r="AJ172" s="880">
        <v>3402667</v>
      </c>
      <c r="AK172" s="875">
        <f t="shared" si="47"/>
        <v>0</v>
      </c>
      <c r="AL172" s="820"/>
      <c r="AM172" s="302">
        <f t="shared" si="48"/>
        <v>0</v>
      </c>
    </row>
    <row r="173" spans="1:39" s="6" customFormat="1">
      <c r="A173" s="817" t="s">
        <v>60</v>
      </c>
      <c r="B173" s="143">
        <f t="shared" si="40"/>
        <v>90666667</v>
      </c>
      <c r="C173" s="93" t="s">
        <v>36</v>
      </c>
      <c r="D173" s="93" t="s">
        <v>826</v>
      </c>
      <c r="E173" s="93" t="s">
        <v>822</v>
      </c>
      <c r="F173" s="93" t="s">
        <v>822</v>
      </c>
      <c r="G173" s="93" t="s">
        <v>55</v>
      </c>
      <c r="H173" s="2116" t="s">
        <v>1641</v>
      </c>
      <c r="I173" s="2104">
        <v>166</v>
      </c>
      <c r="J173" s="203">
        <v>0</v>
      </c>
      <c r="K173" s="503"/>
      <c r="L173" s="992">
        <v>260</v>
      </c>
      <c r="M173" s="608">
        <v>90666667</v>
      </c>
      <c r="N173" s="498">
        <f>VLOOKUP(L173,[6]RP!I$249:J$307,2,0)</f>
        <v>263</v>
      </c>
      <c r="O173" s="154">
        <v>90666667</v>
      </c>
      <c r="P173" s="996">
        <v>236</v>
      </c>
      <c r="Q173" s="234"/>
      <c r="R173" s="153"/>
      <c r="S173" s="153">
        <v>6516667</v>
      </c>
      <c r="T173" s="153">
        <f>VLOOKUP(N173,[7]Hoja2!N$132:T$199,7,0)</f>
        <v>8500000</v>
      </c>
      <c r="U173" s="153">
        <v>8500000</v>
      </c>
      <c r="V173" s="153">
        <v>8500000</v>
      </c>
      <c r="W173" s="153">
        <v>8500000</v>
      </c>
      <c r="X173" s="153">
        <v>8500000</v>
      </c>
      <c r="Y173" s="153">
        <v>5383333</v>
      </c>
      <c r="Z173" s="153">
        <v>7933333</v>
      </c>
      <c r="AA173" s="153">
        <v>8500000</v>
      </c>
      <c r="AB173" s="153">
        <f>8500000+8500000</f>
        <v>17000000</v>
      </c>
      <c r="AC173" s="182">
        <f t="shared" si="44"/>
        <v>87833333</v>
      </c>
      <c r="AD173" s="391">
        <f t="shared" si="46"/>
        <v>2833334</v>
      </c>
      <c r="AF173" s="878">
        <v>166</v>
      </c>
      <c r="AG173" s="879" t="s">
        <v>384</v>
      </c>
      <c r="AH173" s="833" t="s">
        <v>696</v>
      </c>
      <c r="AI173" s="799">
        <f t="shared" si="41"/>
        <v>236</v>
      </c>
      <c r="AJ173" s="880">
        <f>93500000-2833333</f>
        <v>90666667</v>
      </c>
      <c r="AK173" s="875">
        <f t="shared" si="47"/>
        <v>0</v>
      </c>
      <c r="AL173" s="820"/>
      <c r="AM173" s="302">
        <f t="shared" si="48"/>
        <v>0</v>
      </c>
    </row>
    <row r="174" spans="1:39" s="6" customFormat="1">
      <c r="A174" s="817" t="s">
        <v>60</v>
      </c>
      <c r="B174" s="143">
        <f t="shared" si="40"/>
        <v>0</v>
      </c>
      <c r="C174" s="93" t="s">
        <v>36</v>
      </c>
      <c r="D174" s="93" t="s">
        <v>826</v>
      </c>
      <c r="E174" s="93" t="s">
        <v>822</v>
      </c>
      <c r="F174" s="93" t="s">
        <v>822</v>
      </c>
      <c r="G174" s="93" t="s">
        <v>55</v>
      </c>
      <c r="H174" s="2116" t="s">
        <v>1641</v>
      </c>
      <c r="I174" s="2104">
        <v>168</v>
      </c>
      <c r="J174" s="203">
        <v>0</v>
      </c>
      <c r="K174" s="503"/>
      <c r="L174" s="992"/>
      <c r="M174" s="608"/>
      <c r="N174" s="270"/>
      <c r="O174" s="816"/>
      <c r="P174" s="238"/>
      <c r="Q174" s="234"/>
      <c r="R174" s="153"/>
      <c r="S174" s="153"/>
      <c r="T174" s="153"/>
      <c r="U174" s="153"/>
      <c r="V174" s="153"/>
      <c r="W174" s="153"/>
      <c r="X174" s="153"/>
      <c r="Y174" s="153"/>
      <c r="Z174" s="153"/>
      <c r="AA174" s="153"/>
      <c r="AB174" s="153"/>
      <c r="AC174" s="182">
        <f t="shared" si="44"/>
        <v>0</v>
      </c>
      <c r="AD174" s="391">
        <f t="shared" si="46"/>
        <v>0</v>
      </c>
      <c r="AF174" s="878">
        <v>168</v>
      </c>
      <c r="AG174" s="879" t="s">
        <v>385</v>
      </c>
      <c r="AH174" s="879" t="s">
        <v>173</v>
      </c>
      <c r="AI174" s="799">
        <f t="shared" si="41"/>
        <v>0</v>
      </c>
      <c r="AJ174" s="880">
        <f>94820000-40000000-54820000</f>
        <v>0</v>
      </c>
      <c r="AK174" s="875">
        <f t="shared" si="47"/>
        <v>0</v>
      </c>
      <c r="AL174" s="820"/>
      <c r="AM174" s="302">
        <f t="shared" si="48"/>
        <v>0</v>
      </c>
    </row>
    <row r="175" spans="1:39" s="6" customFormat="1">
      <c r="A175" s="817" t="s">
        <v>60</v>
      </c>
      <c r="B175" s="143">
        <f t="shared" si="40"/>
        <v>0</v>
      </c>
      <c r="C175" s="93" t="s">
        <v>36</v>
      </c>
      <c r="D175" s="93" t="s">
        <v>826</v>
      </c>
      <c r="E175" s="93" t="s">
        <v>822</v>
      </c>
      <c r="F175" s="93" t="s">
        <v>822</v>
      </c>
      <c r="G175" s="93" t="s">
        <v>55</v>
      </c>
      <c r="H175" s="2116" t="s">
        <v>1641</v>
      </c>
      <c r="I175" s="2104">
        <v>170</v>
      </c>
      <c r="J175" s="203">
        <v>0</v>
      </c>
      <c r="K175" s="503"/>
      <c r="L175" s="992"/>
      <c r="M175" s="608"/>
      <c r="N175" s="270"/>
      <c r="O175" s="816"/>
      <c r="P175" s="238"/>
      <c r="Q175" s="234"/>
      <c r="R175" s="153"/>
      <c r="S175" s="153"/>
      <c r="T175" s="153"/>
      <c r="U175" s="153"/>
      <c r="V175" s="153"/>
      <c r="W175" s="153"/>
      <c r="X175" s="153"/>
      <c r="Y175" s="153"/>
      <c r="Z175" s="153"/>
      <c r="AA175" s="153"/>
      <c r="AB175" s="153"/>
      <c r="AC175" s="182">
        <f t="shared" si="44"/>
        <v>0</v>
      </c>
      <c r="AD175" s="391">
        <f t="shared" si="46"/>
        <v>0</v>
      </c>
      <c r="AF175" s="878">
        <v>170</v>
      </c>
      <c r="AG175" s="879" t="s">
        <v>386</v>
      </c>
      <c r="AH175" s="879" t="s">
        <v>173</v>
      </c>
      <c r="AI175" s="799">
        <f t="shared" si="41"/>
        <v>0</v>
      </c>
      <c r="AJ175" s="880">
        <f>18540000-18540000</f>
        <v>0</v>
      </c>
      <c r="AK175" s="875">
        <f t="shared" si="47"/>
        <v>0</v>
      </c>
      <c r="AL175" s="820"/>
      <c r="AM175" s="302">
        <f t="shared" si="48"/>
        <v>0</v>
      </c>
    </row>
    <row r="176" spans="1:39" s="6" customFormat="1">
      <c r="A176" s="817" t="s">
        <v>60</v>
      </c>
      <c r="B176" s="143">
        <f t="shared" si="40"/>
        <v>33990000</v>
      </c>
      <c r="C176" s="93" t="s">
        <v>36</v>
      </c>
      <c r="D176" s="93" t="s">
        <v>826</v>
      </c>
      <c r="E176" s="93" t="s">
        <v>822</v>
      </c>
      <c r="F176" s="93" t="s">
        <v>822</v>
      </c>
      <c r="G176" s="93" t="s">
        <v>55</v>
      </c>
      <c r="H176" s="2116" t="s">
        <v>1641</v>
      </c>
      <c r="I176" s="2104">
        <v>171</v>
      </c>
      <c r="J176" s="203">
        <v>0</v>
      </c>
      <c r="K176" s="503"/>
      <c r="L176" s="992">
        <v>56</v>
      </c>
      <c r="M176" s="608">
        <v>33990000</v>
      </c>
      <c r="N176" s="498">
        <v>34</v>
      </c>
      <c r="O176" s="163">
        <v>33990000</v>
      </c>
      <c r="P176" s="231">
        <v>29</v>
      </c>
      <c r="Q176" s="234"/>
      <c r="R176" s="153">
        <v>1339000</v>
      </c>
      <c r="S176" s="153">
        <v>3090000</v>
      </c>
      <c r="T176" s="153">
        <f>VLOOKUP(N176,[7]Hoja2!N$132:T$199,7,0)</f>
        <v>3090000</v>
      </c>
      <c r="U176" s="153">
        <v>3090000</v>
      </c>
      <c r="V176" s="153">
        <v>3090000</v>
      </c>
      <c r="W176" s="153">
        <v>3090000</v>
      </c>
      <c r="X176" s="153">
        <v>3090000</v>
      </c>
      <c r="Y176" s="153">
        <v>3090000</v>
      </c>
      <c r="Z176" s="153">
        <v>3090000</v>
      </c>
      <c r="AA176" s="153">
        <v>3090000</v>
      </c>
      <c r="AB176" s="153">
        <f>3090000+1339000</f>
        <v>4429000</v>
      </c>
      <c r="AC176" s="182">
        <f t="shared" si="44"/>
        <v>33578000</v>
      </c>
      <c r="AD176" s="391">
        <f t="shared" si="46"/>
        <v>412000</v>
      </c>
      <c r="AF176" s="878">
        <v>171</v>
      </c>
      <c r="AG176" s="879" t="s">
        <v>365</v>
      </c>
      <c r="AH176" s="268" t="s">
        <v>697</v>
      </c>
      <c r="AI176" s="799">
        <f t="shared" si="41"/>
        <v>29</v>
      </c>
      <c r="AJ176" s="880">
        <v>33990000</v>
      </c>
      <c r="AK176" s="875">
        <f t="shared" si="47"/>
        <v>0</v>
      </c>
      <c r="AL176" s="820"/>
      <c r="AM176" s="302">
        <f t="shared" si="48"/>
        <v>0</v>
      </c>
    </row>
    <row r="177" spans="1:39" s="6" customFormat="1">
      <c r="A177" s="817" t="s">
        <v>60</v>
      </c>
      <c r="B177" s="143">
        <f t="shared" si="40"/>
        <v>4429000</v>
      </c>
      <c r="C177" s="93" t="s">
        <v>36</v>
      </c>
      <c r="D177" s="93" t="s">
        <v>826</v>
      </c>
      <c r="E177" s="93" t="s">
        <v>822</v>
      </c>
      <c r="F177" s="93" t="s">
        <v>822</v>
      </c>
      <c r="G177" s="93" t="s">
        <v>55</v>
      </c>
      <c r="H177" s="2116" t="s">
        <v>1641</v>
      </c>
      <c r="I177" s="2105" t="s">
        <v>325</v>
      </c>
      <c r="J177" s="203">
        <v>815</v>
      </c>
      <c r="K177" s="503">
        <v>4429000</v>
      </c>
      <c r="L177" s="992">
        <v>923</v>
      </c>
      <c r="M177" s="608">
        <v>4429000</v>
      </c>
      <c r="N177" s="498">
        <v>1085</v>
      </c>
      <c r="O177" s="163">
        <v>4429000</v>
      </c>
      <c r="P177" s="231">
        <v>29</v>
      </c>
      <c r="Q177" s="234"/>
      <c r="R177" s="153"/>
      <c r="S177" s="153"/>
      <c r="T177" s="153"/>
      <c r="U177" s="153"/>
      <c r="V177" s="153"/>
      <c r="W177" s="153"/>
      <c r="X177" s="153"/>
      <c r="Y177" s="153"/>
      <c r="Z177" s="153"/>
      <c r="AA177" s="153"/>
      <c r="AB177" s="153">
        <v>1751000</v>
      </c>
      <c r="AC177" s="182">
        <f>SUM(Q177:AB177)</f>
        <v>1751000</v>
      </c>
      <c r="AD177" s="391">
        <f t="shared" si="46"/>
        <v>2678000</v>
      </c>
      <c r="AF177" s="1902" t="s">
        <v>325</v>
      </c>
      <c r="AG177" s="879" t="s">
        <v>1452</v>
      </c>
      <c r="AH177" s="268" t="s">
        <v>697</v>
      </c>
      <c r="AI177" s="799">
        <f t="shared" si="41"/>
        <v>29</v>
      </c>
      <c r="AJ177" s="880">
        <v>4429000</v>
      </c>
      <c r="AK177" s="875">
        <f t="shared" si="47"/>
        <v>0</v>
      </c>
      <c r="AL177" s="820"/>
      <c r="AM177" s="302">
        <f t="shared" si="48"/>
        <v>0</v>
      </c>
    </row>
    <row r="178" spans="1:39" s="6" customFormat="1">
      <c r="A178" s="817" t="s">
        <v>60</v>
      </c>
      <c r="B178" s="143">
        <f t="shared" si="40"/>
        <v>44000000</v>
      </c>
      <c r="C178" s="93" t="s">
        <v>36</v>
      </c>
      <c r="D178" s="93" t="s">
        <v>826</v>
      </c>
      <c r="E178" s="93" t="s">
        <v>822</v>
      </c>
      <c r="F178" s="93" t="s">
        <v>822</v>
      </c>
      <c r="G178" s="93" t="s">
        <v>55</v>
      </c>
      <c r="H178" s="2116" t="s">
        <v>1641</v>
      </c>
      <c r="I178" s="2104">
        <v>172</v>
      </c>
      <c r="J178" s="203">
        <v>0</v>
      </c>
      <c r="K178" s="503"/>
      <c r="L178" s="992">
        <v>27</v>
      </c>
      <c r="M178" s="608">
        <v>44000000</v>
      </c>
      <c r="N178" s="498">
        <v>9</v>
      </c>
      <c r="O178" s="163">
        <v>44000000</v>
      </c>
      <c r="P178" s="231">
        <v>9</v>
      </c>
      <c r="Q178" s="234"/>
      <c r="R178" s="153">
        <v>2000000</v>
      </c>
      <c r="S178" s="153">
        <v>4000000</v>
      </c>
      <c r="T178" s="153">
        <f>VLOOKUP(N178,[7]Hoja2!N$132:T$199,7,0)</f>
        <v>4000000</v>
      </c>
      <c r="U178" s="153">
        <v>4000000</v>
      </c>
      <c r="V178" s="153">
        <v>4000000</v>
      </c>
      <c r="W178" s="153">
        <v>4000000</v>
      </c>
      <c r="X178" s="153">
        <v>4000000</v>
      </c>
      <c r="Y178" s="153">
        <v>4000000</v>
      </c>
      <c r="Z178" s="153">
        <v>4000000</v>
      </c>
      <c r="AA178" s="153">
        <v>4000000</v>
      </c>
      <c r="AB178" s="153">
        <f>4000000+2000000</f>
        <v>6000000</v>
      </c>
      <c r="AC178" s="182">
        <f t="shared" si="44"/>
        <v>44000000</v>
      </c>
      <c r="AD178" s="391">
        <f t="shared" si="46"/>
        <v>0</v>
      </c>
      <c r="AF178" s="878">
        <v>172</v>
      </c>
      <c r="AG178" s="879" t="s">
        <v>387</v>
      </c>
      <c r="AH178" s="268" t="s">
        <v>698</v>
      </c>
      <c r="AI178" s="799">
        <f t="shared" si="41"/>
        <v>9</v>
      </c>
      <c r="AJ178" s="880">
        <v>44000000</v>
      </c>
      <c r="AK178" s="875">
        <f t="shared" si="47"/>
        <v>0</v>
      </c>
      <c r="AL178" s="820"/>
      <c r="AM178" s="302">
        <f t="shared" si="48"/>
        <v>0</v>
      </c>
    </row>
    <row r="179" spans="1:39" s="6" customFormat="1">
      <c r="A179" s="817" t="s">
        <v>60</v>
      </c>
      <c r="B179" s="143">
        <f t="shared" ref="B179" si="51">M179</f>
        <v>0</v>
      </c>
      <c r="C179" s="93" t="s">
        <v>36</v>
      </c>
      <c r="D179" s="93" t="s">
        <v>826</v>
      </c>
      <c r="E179" s="93" t="s">
        <v>822</v>
      </c>
      <c r="F179" s="93" t="s">
        <v>822</v>
      </c>
      <c r="G179" s="93" t="s">
        <v>55</v>
      </c>
      <c r="H179" s="2116" t="s">
        <v>1641</v>
      </c>
      <c r="I179" s="2105" t="s">
        <v>325</v>
      </c>
      <c r="J179" s="203">
        <v>827</v>
      </c>
      <c r="K179" s="503">
        <f>2000000-2000000</f>
        <v>0</v>
      </c>
      <c r="L179" s="992"/>
      <c r="M179" s="608"/>
      <c r="N179" s="498"/>
      <c r="O179" s="163"/>
      <c r="P179" s="231">
        <v>9</v>
      </c>
      <c r="Q179" s="234"/>
      <c r="R179" s="153"/>
      <c r="S179" s="153"/>
      <c r="T179" s="153"/>
      <c r="U179" s="153"/>
      <c r="V179" s="153"/>
      <c r="W179" s="153"/>
      <c r="X179" s="153"/>
      <c r="Y179" s="153"/>
      <c r="Z179" s="153"/>
      <c r="AA179" s="153"/>
      <c r="AB179" s="153"/>
      <c r="AC179" s="182">
        <f t="shared" ref="AC179" si="52">SUM(Q179:AB179)</f>
        <v>0</v>
      </c>
      <c r="AD179" s="391">
        <f t="shared" si="46"/>
        <v>0</v>
      </c>
      <c r="AF179" s="1952" t="s">
        <v>325</v>
      </c>
      <c r="AG179" s="879" t="s">
        <v>1556</v>
      </c>
      <c r="AH179" s="268" t="s">
        <v>698</v>
      </c>
      <c r="AI179" s="799">
        <f t="shared" si="41"/>
        <v>9</v>
      </c>
      <c r="AJ179" s="1953">
        <f>2000000-2000000</f>
        <v>0</v>
      </c>
      <c r="AK179" s="875">
        <f t="shared" si="47"/>
        <v>0</v>
      </c>
      <c r="AL179" s="820"/>
      <c r="AM179" s="302">
        <f t="shared" si="48"/>
        <v>0</v>
      </c>
    </row>
    <row r="180" spans="1:39" s="6" customFormat="1">
      <c r="A180" s="817" t="s">
        <v>60</v>
      </c>
      <c r="B180" s="143">
        <f t="shared" si="40"/>
        <v>38280000</v>
      </c>
      <c r="C180" s="93" t="s">
        <v>36</v>
      </c>
      <c r="D180" s="93" t="s">
        <v>826</v>
      </c>
      <c r="E180" s="93" t="s">
        <v>822</v>
      </c>
      <c r="F180" s="93" t="s">
        <v>822</v>
      </c>
      <c r="G180" s="93" t="s">
        <v>55</v>
      </c>
      <c r="H180" s="2116" t="s">
        <v>1641</v>
      </c>
      <c r="I180" s="2104">
        <v>174</v>
      </c>
      <c r="J180" s="203">
        <v>0</v>
      </c>
      <c r="K180" s="503"/>
      <c r="L180" s="992">
        <v>126</v>
      </c>
      <c r="M180" s="608">
        <v>38280000</v>
      </c>
      <c r="N180" s="498">
        <v>94</v>
      </c>
      <c r="O180" s="163">
        <v>38280000</v>
      </c>
      <c r="P180" s="231">
        <v>114</v>
      </c>
      <c r="Q180" s="234"/>
      <c r="R180" s="153">
        <v>1044000</v>
      </c>
      <c r="S180" s="153">
        <v>3480000</v>
      </c>
      <c r="T180" s="153">
        <f>VLOOKUP(N180,[7]Hoja2!N$132:T$199,7,0)</f>
        <v>3480000</v>
      </c>
      <c r="U180" s="153">
        <v>3480000</v>
      </c>
      <c r="V180" s="153">
        <v>3480000</v>
      </c>
      <c r="W180" s="153">
        <v>3480000</v>
      </c>
      <c r="X180" s="153">
        <v>3480000</v>
      </c>
      <c r="Y180" s="153">
        <v>3480000</v>
      </c>
      <c r="Z180" s="153">
        <v>3480000</v>
      </c>
      <c r="AA180" s="153">
        <v>3480000</v>
      </c>
      <c r="AB180" s="153">
        <f>3480000+2436000</f>
        <v>5916000</v>
      </c>
      <c r="AC180" s="182">
        <f t="shared" si="44"/>
        <v>38280000</v>
      </c>
      <c r="AD180" s="391">
        <f t="shared" si="46"/>
        <v>0</v>
      </c>
      <c r="AF180" s="878">
        <v>174</v>
      </c>
      <c r="AG180" s="879" t="s">
        <v>388</v>
      </c>
      <c r="AH180" s="268" t="s">
        <v>699</v>
      </c>
      <c r="AI180" s="799">
        <f t="shared" si="41"/>
        <v>114</v>
      </c>
      <c r="AJ180" s="880">
        <v>38280000</v>
      </c>
      <c r="AK180" s="875">
        <f t="shared" si="47"/>
        <v>0</v>
      </c>
      <c r="AL180" s="820"/>
      <c r="AM180" s="302">
        <f t="shared" si="48"/>
        <v>0</v>
      </c>
    </row>
    <row r="181" spans="1:39" s="6" customFormat="1">
      <c r="A181" s="817" t="s">
        <v>60</v>
      </c>
      <c r="B181" s="143">
        <f t="shared" si="40"/>
        <v>4524000</v>
      </c>
      <c r="C181" s="93" t="s">
        <v>36</v>
      </c>
      <c r="D181" s="93" t="s">
        <v>826</v>
      </c>
      <c r="E181" s="93" t="s">
        <v>822</v>
      </c>
      <c r="F181" s="93" t="s">
        <v>822</v>
      </c>
      <c r="G181" s="93" t="s">
        <v>55</v>
      </c>
      <c r="H181" s="2116" t="s">
        <v>1641</v>
      </c>
      <c r="I181" s="2105" t="s">
        <v>325</v>
      </c>
      <c r="J181" s="203">
        <v>838</v>
      </c>
      <c r="K181" s="503">
        <v>4524000</v>
      </c>
      <c r="L181" s="992">
        <v>960</v>
      </c>
      <c r="M181" s="608">
        <v>4524000</v>
      </c>
      <c r="N181" s="498">
        <v>1122</v>
      </c>
      <c r="O181" s="163">
        <v>4524000</v>
      </c>
      <c r="P181" s="231">
        <v>114</v>
      </c>
      <c r="Q181" s="234"/>
      <c r="R181" s="153"/>
      <c r="S181" s="153"/>
      <c r="T181" s="153"/>
      <c r="U181" s="153"/>
      <c r="V181" s="153"/>
      <c r="W181" s="153"/>
      <c r="X181" s="153"/>
      <c r="Y181" s="153"/>
      <c r="Z181" s="153"/>
      <c r="AA181" s="153"/>
      <c r="AB181" s="153">
        <v>1044000</v>
      </c>
      <c r="AC181" s="182">
        <f>SUM(Q181:AB181)</f>
        <v>1044000</v>
      </c>
      <c r="AD181" s="391">
        <f t="shared" si="46"/>
        <v>3480000</v>
      </c>
      <c r="AF181" s="1902" t="s">
        <v>325</v>
      </c>
      <c r="AG181" s="879" t="s">
        <v>1463</v>
      </c>
      <c r="AH181" s="268" t="s">
        <v>699</v>
      </c>
      <c r="AI181" s="799">
        <f t="shared" si="41"/>
        <v>114</v>
      </c>
      <c r="AJ181" s="880">
        <v>4524000</v>
      </c>
      <c r="AK181" s="875">
        <f t="shared" si="47"/>
        <v>0</v>
      </c>
      <c r="AL181" s="820"/>
      <c r="AM181" s="302">
        <f t="shared" si="48"/>
        <v>0</v>
      </c>
    </row>
    <row r="182" spans="1:39" s="6" customFormat="1">
      <c r="A182" s="817" t="s">
        <v>60</v>
      </c>
      <c r="B182" s="143">
        <f t="shared" si="40"/>
        <v>40700000</v>
      </c>
      <c r="C182" s="93" t="s">
        <v>36</v>
      </c>
      <c r="D182" s="93" t="s">
        <v>826</v>
      </c>
      <c r="E182" s="93" t="s">
        <v>822</v>
      </c>
      <c r="F182" s="93" t="s">
        <v>822</v>
      </c>
      <c r="G182" s="93" t="s">
        <v>55</v>
      </c>
      <c r="H182" s="2116" t="s">
        <v>1641</v>
      </c>
      <c r="I182" s="2104">
        <v>180</v>
      </c>
      <c r="J182" s="203">
        <v>0</v>
      </c>
      <c r="K182" s="503"/>
      <c r="L182" s="992">
        <v>151</v>
      </c>
      <c r="M182" s="608">
        <v>40700000</v>
      </c>
      <c r="N182" s="498">
        <v>70</v>
      </c>
      <c r="O182" s="163">
        <v>40700000</v>
      </c>
      <c r="P182" s="231">
        <v>130</v>
      </c>
      <c r="Q182" s="234"/>
      <c r="R182" s="153">
        <v>1233333</v>
      </c>
      <c r="S182" s="153">
        <v>3700000</v>
      </c>
      <c r="T182" s="153">
        <f>VLOOKUP(N182,[7]Hoja2!N$132:T$199,7,0)</f>
        <v>3700000</v>
      </c>
      <c r="U182" s="153">
        <v>3700000</v>
      </c>
      <c r="V182" s="153">
        <v>3700000</v>
      </c>
      <c r="W182" s="153">
        <v>3700000</v>
      </c>
      <c r="X182" s="153">
        <v>3700000</v>
      </c>
      <c r="Y182" s="153">
        <v>3700000</v>
      </c>
      <c r="Z182" s="153">
        <v>3700000</v>
      </c>
      <c r="AA182" s="153">
        <v>3700000</v>
      </c>
      <c r="AB182" s="153">
        <f>3700000+2466667</f>
        <v>6166667</v>
      </c>
      <c r="AC182" s="182">
        <f t="shared" si="44"/>
        <v>40700000</v>
      </c>
      <c r="AD182" s="391">
        <f t="shared" ref="AD182:AD213" si="53">O182-AC182</f>
        <v>0</v>
      </c>
      <c r="AF182" s="878">
        <v>180</v>
      </c>
      <c r="AG182" s="879" t="s">
        <v>389</v>
      </c>
      <c r="AH182" s="268" t="s">
        <v>700</v>
      </c>
      <c r="AI182" s="799">
        <f t="shared" si="41"/>
        <v>130</v>
      </c>
      <c r="AJ182" s="880">
        <v>40700000</v>
      </c>
      <c r="AK182" s="875">
        <f t="shared" si="47"/>
        <v>0</v>
      </c>
      <c r="AL182" s="820"/>
      <c r="AM182" s="302">
        <f t="shared" si="48"/>
        <v>0</v>
      </c>
    </row>
    <row r="183" spans="1:39" s="6" customFormat="1">
      <c r="A183" s="817" t="s">
        <v>60</v>
      </c>
      <c r="B183" s="143">
        <f t="shared" si="40"/>
        <v>4933333</v>
      </c>
      <c r="C183" s="93" t="s">
        <v>36</v>
      </c>
      <c r="D183" s="93" t="s">
        <v>826</v>
      </c>
      <c r="E183" s="93" t="s">
        <v>822</v>
      </c>
      <c r="F183" s="93" t="s">
        <v>822</v>
      </c>
      <c r="G183" s="93" t="s">
        <v>55</v>
      </c>
      <c r="H183" s="2116" t="s">
        <v>1641</v>
      </c>
      <c r="I183" s="2105" t="s">
        <v>325</v>
      </c>
      <c r="J183" s="203">
        <v>817</v>
      </c>
      <c r="K183" s="503">
        <v>4933333</v>
      </c>
      <c r="L183" s="992">
        <v>928</v>
      </c>
      <c r="M183" s="608">
        <v>4933333</v>
      </c>
      <c r="N183" s="498">
        <v>1121</v>
      </c>
      <c r="O183" s="163">
        <v>4933333</v>
      </c>
      <c r="P183" s="231">
        <v>130</v>
      </c>
      <c r="Q183" s="234"/>
      <c r="R183" s="153"/>
      <c r="S183" s="153"/>
      <c r="T183" s="153"/>
      <c r="U183" s="153"/>
      <c r="V183" s="153"/>
      <c r="W183" s="153"/>
      <c r="X183" s="153"/>
      <c r="Y183" s="153"/>
      <c r="Z183" s="153"/>
      <c r="AA183" s="153"/>
      <c r="AB183" s="153">
        <v>1233333</v>
      </c>
      <c r="AC183" s="182">
        <f>SUM(Q183:AB183)</f>
        <v>1233333</v>
      </c>
      <c r="AD183" s="391">
        <f t="shared" si="53"/>
        <v>3700000</v>
      </c>
      <c r="AF183" s="1902" t="s">
        <v>325</v>
      </c>
      <c r="AG183" s="879" t="s">
        <v>1465</v>
      </c>
      <c r="AH183" s="268" t="s">
        <v>700</v>
      </c>
      <c r="AI183" s="799">
        <f t="shared" si="41"/>
        <v>130</v>
      </c>
      <c r="AJ183" s="880">
        <v>4933333</v>
      </c>
      <c r="AK183" s="875">
        <f t="shared" ref="AK183:AK214" si="54">AJ183-O183</f>
        <v>0</v>
      </c>
      <c r="AL183" s="820"/>
      <c r="AM183" s="302">
        <f t="shared" ref="AM183:AM214" si="55">AJ183-M183</f>
        <v>0</v>
      </c>
    </row>
    <row r="184" spans="1:39" s="6" customFormat="1">
      <c r="A184" s="817" t="s">
        <v>60</v>
      </c>
      <c r="B184" s="143">
        <f t="shared" si="40"/>
        <v>40700000</v>
      </c>
      <c r="C184" s="93" t="s">
        <v>36</v>
      </c>
      <c r="D184" s="93" t="s">
        <v>826</v>
      </c>
      <c r="E184" s="93" t="s">
        <v>822</v>
      </c>
      <c r="F184" s="93" t="s">
        <v>822</v>
      </c>
      <c r="G184" s="93" t="s">
        <v>55</v>
      </c>
      <c r="H184" s="2116" t="s">
        <v>1641</v>
      </c>
      <c r="I184" s="2104">
        <v>181</v>
      </c>
      <c r="J184" s="203">
        <v>0</v>
      </c>
      <c r="K184" s="503"/>
      <c r="L184" s="992">
        <v>147</v>
      </c>
      <c r="M184" s="608">
        <v>40700000</v>
      </c>
      <c r="N184" s="498">
        <v>153</v>
      </c>
      <c r="O184" s="163">
        <v>40700000</v>
      </c>
      <c r="P184" s="231">
        <v>137</v>
      </c>
      <c r="Q184" s="234"/>
      <c r="R184" s="153">
        <v>740000</v>
      </c>
      <c r="S184" s="153">
        <v>3700000</v>
      </c>
      <c r="T184" s="153">
        <f>VLOOKUP(N184,[7]Hoja2!N$132:T$199,7,0)</f>
        <v>3700000</v>
      </c>
      <c r="U184" s="153">
        <v>3700000</v>
      </c>
      <c r="V184" s="153">
        <v>3700000</v>
      </c>
      <c r="W184" s="153">
        <v>3700000</v>
      </c>
      <c r="X184" s="153">
        <v>3700000</v>
      </c>
      <c r="Y184" s="153">
        <v>3700000</v>
      </c>
      <c r="Z184" s="153">
        <v>3700000</v>
      </c>
      <c r="AA184" s="153">
        <v>3700000</v>
      </c>
      <c r="AB184" s="153">
        <f>3700000+2960000</f>
        <v>6660000</v>
      </c>
      <c r="AC184" s="182">
        <f t="shared" si="44"/>
        <v>40700000</v>
      </c>
      <c r="AD184" s="391">
        <f t="shared" si="53"/>
        <v>0</v>
      </c>
      <c r="AF184" s="878">
        <v>181</v>
      </c>
      <c r="AG184" s="879" t="s">
        <v>390</v>
      </c>
      <c r="AH184" s="268" t="s">
        <v>701</v>
      </c>
      <c r="AI184" s="799">
        <f t="shared" si="41"/>
        <v>137</v>
      </c>
      <c r="AJ184" s="880">
        <v>40700000</v>
      </c>
      <c r="AK184" s="875">
        <f t="shared" si="54"/>
        <v>0</v>
      </c>
      <c r="AL184" s="820"/>
      <c r="AM184" s="302">
        <f t="shared" si="55"/>
        <v>0</v>
      </c>
    </row>
    <row r="185" spans="1:39" s="6" customFormat="1">
      <c r="A185" s="817" t="s">
        <v>60</v>
      </c>
      <c r="B185" s="143">
        <f t="shared" si="40"/>
        <v>4440000</v>
      </c>
      <c r="C185" s="93" t="s">
        <v>36</v>
      </c>
      <c r="D185" s="93" t="s">
        <v>826</v>
      </c>
      <c r="E185" s="93" t="s">
        <v>822</v>
      </c>
      <c r="F185" s="93" t="s">
        <v>822</v>
      </c>
      <c r="G185" s="93" t="s">
        <v>55</v>
      </c>
      <c r="H185" s="2116" t="s">
        <v>1641</v>
      </c>
      <c r="I185" s="2105" t="s">
        <v>325</v>
      </c>
      <c r="J185" s="203">
        <v>837</v>
      </c>
      <c r="K185" s="503">
        <v>4440000</v>
      </c>
      <c r="L185" s="992">
        <v>965</v>
      </c>
      <c r="M185" s="608">
        <v>4440000</v>
      </c>
      <c r="N185" s="498">
        <v>1160</v>
      </c>
      <c r="O185" s="163">
        <v>4440000</v>
      </c>
      <c r="P185" s="231">
        <v>137</v>
      </c>
      <c r="Q185" s="234"/>
      <c r="R185" s="153"/>
      <c r="S185" s="153"/>
      <c r="T185" s="153"/>
      <c r="U185" s="153"/>
      <c r="V185" s="153"/>
      <c r="W185" s="153"/>
      <c r="X185" s="153"/>
      <c r="Y185" s="153"/>
      <c r="Z185" s="153"/>
      <c r="AA185" s="153"/>
      <c r="AB185" s="153">
        <v>740000</v>
      </c>
      <c r="AC185" s="182">
        <f>SUM(Q185:AB185)</f>
        <v>740000</v>
      </c>
      <c r="AD185" s="391">
        <f t="shared" si="53"/>
        <v>3700000</v>
      </c>
      <c r="AF185" s="1902" t="s">
        <v>325</v>
      </c>
      <c r="AG185" s="879" t="s">
        <v>1469</v>
      </c>
      <c r="AH185" s="268" t="s">
        <v>701</v>
      </c>
      <c r="AI185" s="799">
        <f t="shared" si="41"/>
        <v>137</v>
      </c>
      <c r="AJ185" s="880">
        <v>4440000</v>
      </c>
      <c r="AK185" s="875">
        <f t="shared" si="54"/>
        <v>0</v>
      </c>
      <c r="AL185" s="820"/>
      <c r="AM185" s="302">
        <f t="shared" si="55"/>
        <v>0</v>
      </c>
    </row>
    <row r="186" spans="1:39" s="6" customFormat="1">
      <c r="A186" s="817" t="s">
        <v>60</v>
      </c>
      <c r="B186" s="143">
        <f t="shared" si="40"/>
        <v>47520000</v>
      </c>
      <c r="C186" s="93" t="s">
        <v>36</v>
      </c>
      <c r="D186" s="93" t="s">
        <v>826</v>
      </c>
      <c r="E186" s="93" t="s">
        <v>822</v>
      </c>
      <c r="F186" s="93" t="s">
        <v>822</v>
      </c>
      <c r="G186" s="93" t="s">
        <v>55</v>
      </c>
      <c r="H186" s="2116" t="s">
        <v>1641</v>
      </c>
      <c r="I186" s="2104">
        <v>182</v>
      </c>
      <c r="J186" s="203">
        <v>0</v>
      </c>
      <c r="K186" s="503"/>
      <c r="L186" s="992">
        <v>21</v>
      </c>
      <c r="M186" s="608">
        <v>47520000</v>
      </c>
      <c r="N186" s="498">
        <v>20</v>
      </c>
      <c r="O186" s="163">
        <v>47520000</v>
      </c>
      <c r="P186" s="231">
        <v>12</v>
      </c>
      <c r="Q186" s="234"/>
      <c r="R186" s="153">
        <v>2016000</v>
      </c>
      <c r="S186" s="153">
        <v>4320000</v>
      </c>
      <c r="T186" s="153">
        <f>VLOOKUP(N186,[7]Hoja2!N$132:T$199,7,0)</f>
        <v>4320000</v>
      </c>
      <c r="U186" s="153">
        <v>4320000</v>
      </c>
      <c r="V186" s="153">
        <v>4320000</v>
      </c>
      <c r="W186" s="153">
        <v>4320000</v>
      </c>
      <c r="X186" s="153">
        <v>4320000</v>
      </c>
      <c r="Y186" s="153">
        <v>4320000</v>
      </c>
      <c r="Z186" s="153">
        <v>4320000</v>
      </c>
      <c r="AA186" s="153">
        <v>4320000</v>
      </c>
      <c r="AB186" s="153">
        <f>4320000+2304000</f>
        <v>6624000</v>
      </c>
      <c r="AC186" s="182">
        <f t="shared" si="44"/>
        <v>47520000</v>
      </c>
      <c r="AD186" s="391">
        <f t="shared" si="53"/>
        <v>0</v>
      </c>
      <c r="AF186" s="878">
        <v>182</v>
      </c>
      <c r="AG186" s="879" t="s">
        <v>391</v>
      </c>
      <c r="AH186" s="268" t="s">
        <v>702</v>
      </c>
      <c r="AI186" s="799">
        <f t="shared" si="41"/>
        <v>12</v>
      </c>
      <c r="AJ186" s="880">
        <v>47520000</v>
      </c>
      <c r="AK186" s="875">
        <f t="shared" si="54"/>
        <v>0</v>
      </c>
      <c r="AL186" s="820"/>
      <c r="AM186" s="302">
        <f t="shared" si="55"/>
        <v>0</v>
      </c>
    </row>
    <row r="187" spans="1:39" s="6" customFormat="1">
      <c r="A187" s="817" t="s">
        <v>60</v>
      </c>
      <c r="B187" s="143">
        <f t="shared" si="40"/>
        <v>6336000</v>
      </c>
      <c r="C187" s="93" t="s">
        <v>36</v>
      </c>
      <c r="D187" s="93" t="s">
        <v>826</v>
      </c>
      <c r="E187" s="93" t="s">
        <v>822</v>
      </c>
      <c r="F187" s="93" t="s">
        <v>822</v>
      </c>
      <c r="G187" s="93" t="s">
        <v>55</v>
      </c>
      <c r="H187" s="2116" t="s">
        <v>1641</v>
      </c>
      <c r="I187" s="2105" t="s">
        <v>325</v>
      </c>
      <c r="J187" s="203">
        <v>754</v>
      </c>
      <c r="K187" s="503">
        <v>6336000</v>
      </c>
      <c r="L187" s="992">
        <v>862</v>
      </c>
      <c r="M187" s="608">
        <v>6336000</v>
      </c>
      <c r="N187" s="498">
        <v>1063</v>
      </c>
      <c r="O187" s="163">
        <v>6336000</v>
      </c>
      <c r="P187" s="231">
        <v>12</v>
      </c>
      <c r="Q187" s="234"/>
      <c r="R187" s="153"/>
      <c r="S187" s="153"/>
      <c r="T187" s="153"/>
      <c r="U187" s="153"/>
      <c r="V187" s="153"/>
      <c r="W187" s="153"/>
      <c r="X187" s="153"/>
      <c r="Y187" s="153"/>
      <c r="Z187" s="153"/>
      <c r="AA187" s="153"/>
      <c r="AB187" s="153">
        <v>2016000</v>
      </c>
      <c r="AC187" s="182">
        <f>SUM(Q187:AB187)</f>
        <v>2016000</v>
      </c>
      <c r="AD187" s="391">
        <f t="shared" si="53"/>
        <v>4320000</v>
      </c>
      <c r="AF187" s="1902" t="s">
        <v>325</v>
      </c>
      <c r="AG187" s="879" t="s">
        <v>1438</v>
      </c>
      <c r="AH187" s="268" t="s">
        <v>702</v>
      </c>
      <c r="AI187" s="799">
        <f>P187</f>
        <v>12</v>
      </c>
      <c r="AJ187" s="880">
        <v>6336000</v>
      </c>
      <c r="AK187" s="875">
        <f t="shared" si="54"/>
        <v>0</v>
      </c>
      <c r="AL187" s="820"/>
      <c r="AM187" s="302">
        <f t="shared" si="55"/>
        <v>0</v>
      </c>
    </row>
    <row r="188" spans="1:39" s="6" customFormat="1">
      <c r="A188" s="817" t="s">
        <v>60</v>
      </c>
      <c r="B188" s="143">
        <f t="shared" si="40"/>
        <v>46200000</v>
      </c>
      <c r="C188" s="93" t="s">
        <v>36</v>
      </c>
      <c r="D188" s="93" t="s">
        <v>826</v>
      </c>
      <c r="E188" s="93" t="s">
        <v>822</v>
      </c>
      <c r="F188" s="93" t="s">
        <v>822</v>
      </c>
      <c r="G188" s="93" t="s">
        <v>55</v>
      </c>
      <c r="H188" s="2116" t="s">
        <v>1641</v>
      </c>
      <c r="I188" s="2104">
        <v>184</v>
      </c>
      <c r="J188" s="203">
        <v>0</v>
      </c>
      <c r="K188" s="503"/>
      <c r="L188" s="992">
        <v>20</v>
      </c>
      <c r="M188" s="608">
        <v>46200000</v>
      </c>
      <c r="N188" s="498">
        <v>30</v>
      </c>
      <c r="O188" s="163">
        <v>46200000</v>
      </c>
      <c r="P188" s="231">
        <v>11</v>
      </c>
      <c r="Q188" s="234"/>
      <c r="R188" s="153">
        <v>1820000</v>
      </c>
      <c r="S188" s="153">
        <v>4200000</v>
      </c>
      <c r="T188" s="153">
        <f>VLOOKUP(N188,[7]Hoja2!N$132:T$199,7,0)</f>
        <v>4200000</v>
      </c>
      <c r="U188" s="153">
        <v>4200000</v>
      </c>
      <c r="V188" s="153">
        <v>4200000</v>
      </c>
      <c r="W188" s="153">
        <v>4200000</v>
      </c>
      <c r="X188" s="153">
        <v>4200000</v>
      </c>
      <c r="Y188" s="153">
        <v>4200000</v>
      </c>
      <c r="Z188" s="153">
        <v>4200000</v>
      </c>
      <c r="AA188" s="153">
        <v>4200000</v>
      </c>
      <c r="AB188" s="153">
        <f>4200000+2380000</f>
        <v>6580000</v>
      </c>
      <c r="AC188" s="182">
        <f t="shared" si="44"/>
        <v>46200000</v>
      </c>
      <c r="AD188" s="391">
        <f t="shared" si="53"/>
        <v>0</v>
      </c>
      <c r="AF188" s="878">
        <v>184</v>
      </c>
      <c r="AG188" s="879" t="s">
        <v>392</v>
      </c>
      <c r="AH188" s="268" t="s">
        <v>703</v>
      </c>
      <c r="AI188" s="799">
        <f t="shared" si="41"/>
        <v>11</v>
      </c>
      <c r="AJ188" s="880">
        <v>46200000</v>
      </c>
      <c r="AK188" s="875">
        <f t="shared" si="54"/>
        <v>0</v>
      </c>
      <c r="AL188" s="820"/>
      <c r="AM188" s="302">
        <f t="shared" si="55"/>
        <v>0</v>
      </c>
    </row>
    <row r="189" spans="1:39" s="6" customFormat="1">
      <c r="A189" s="817" t="s">
        <v>60</v>
      </c>
      <c r="B189" s="143">
        <f t="shared" si="40"/>
        <v>6020000</v>
      </c>
      <c r="C189" s="93" t="s">
        <v>36</v>
      </c>
      <c r="D189" s="93" t="s">
        <v>826</v>
      </c>
      <c r="E189" s="93" t="s">
        <v>822</v>
      </c>
      <c r="F189" s="93" t="s">
        <v>822</v>
      </c>
      <c r="G189" s="93" t="s">
        <v>55</v>
      </c>
      <c r="H189" s="2116" t="s">
        <v>1641</v>
      </c>
      <c r="I189" s="2105" t="s">
        <v>325</v>
      </c>
      <c r="J189" s="203">
        <v>748</v>
      </c>
      <c r="K189" s="503">
        <v>6020000</v>
      </c>
      <c r="L189" s="992">
        <v>861</v>
      </c>
      <c r="M189" s="608">
        <v>6020000</v>
      </c>
      <c r="N189" s="498">
        <v>1050</v>
      </c>
      <c r="O189" s="163">
        <v>6020000</v>
      </c>
      <c r="P189" s="231">
        <v>11</v>
      </c>
      <c r="Q189" s="234"/>
      <c r="R189" s="153"/>
      <c r="S189" s="153"/>
      <c r="T189" s="153"/>
      <c r="U189" s="153"/>
      <c r="V189" s="153"/>
      <c r="W189" s="153"/>
      <c r="X189" s="153"/>
      <c r="Y189" s="153"/>
      <c r="Z189" s="153"/>
      <c r="AA189" s="153"/>
      <c r="AB189" s="153">
        <v>1820000</v>
      </c>
      <c r="AC189" s="182">
        <f>SUM(Q189:AB189)</f>
        <v>1820000</v>
      </c>
      <c r="AD189" s="391">
        <f t="shared" si="53"/>
        <v>4200000</v>
      </c>
      <c r="AF189" s="1902" t="s">
        <v>325</v>
      </c>
      <c r="AG189" s="1905" t="s">
        <v>1442</v>
      </c>
      <c r="AH189" s="268" t="s">
        <v>703</v>
      </c>
      <c r="AI189" s="799">
        <f t="shared" si="41"/>
        <v>11</v>
      </c>
      <c r="AJ189" s="880">
        <v>6020000</v>
      </c>
      <c r="AK189" s="875">
        <f t="shared" si="54"/>
        <v>0</v>
      </c>
      <c r="AL189" s="820"/>
      <c r="AM189" s="302">
        <f t="shared" si="55"/>
        <v>0</v>
      </c>
    </row>
    <row r="190" spans="1:39" s="6" customFormat="1">
      <c r="A190" s="817" t="s">
        <v>60</v>
      </c>
      <c r="B190" s="143">
        <f t="shared" si="40"/>
        <v>31570000</v>
      </c>
      <c r="C190" s="93" t="s">
        <v>36</v>
      </c>
      <c r="D190" s="93" t="s">
        <v>826</v>
      </c>
      <c r="E190" s="93" t="s">
        <v>822</v>
      </c>
      <c r="F190" s="93" t="s">
        <v>822</v>
      </c>
      <c r="G190" s="93" t="s">
        <v>55</v>
      </c>
      <c r="H190" s="2116" t="s">
        <v>1641</v>
      </c>
      <c r="I190" s="2104">
        <v>186</v>
      </c>
      <c r="J190" s="203">
        <v>0</v>
      </c>
      <c r="K190" s="503"/>
      <c r="L190" s="606">
        <v>240</v>
      </c>
      <c r="M190" s="193">
        <v>31570000</v>
      </c>
      <c r="N190" s="498">
        <f>VLOOKUP(L190,[6]RP!I$249:J$307,2,0)</f>
        <v>222</v>
      </c>
      <c r="O190" s="154">
        <v>31570000</v>
      </c>
      <c r="P190" s="996">
        <v>189</v>
      </c>
      <c r="Q190" s="234"/>
      <c r="R190" s="153"/>
      <c r="S190" s="153">
        <v>2583000</v>
      </c>
      <c r="T190" s="153">
        <f>VLOOKUP(N190,[7]Hoja2!N$132:T$199,7,0)</f>
        <v>2870000</v>
      </c>
      <c r="U190" s="153">
        <v>2870000</v>
      </c>
      <c r="V190" s="153">
        <v>2870000</v>
      </c>
      <c r="W190" s="153">
        <v>2870000</v>
      </c>
      <c r="X190" s="153">
        <v>2870000</v>
      </c>
      <c r="Y190" s="153">
        <v>2870000</v>
      </c>
      <c r="Z190" s="153">
        <v>2870000</v>
      </c>
      <c r="AA190" s="153">
        <v>2870000</v>
      </c>
      <c r="AB190" s="153">
        <f>2870000+2870000</f>
        <v>5740000</v>
      </c>
      <c r="AC190" s="182">
        <f t="shared" si="44"/>
        <v>31283000</v>
      </c>
      <c r="AD190" s="391">
        <f t="shared" si="53"/>
        <v>287000</v>
      </c>
      <c r="AF190" s="878">
        <v>186</v>
      </c>
      <c r="AG190" s="879" t="s">
        <v>393</v>
      </c>
      <c r="AH190" s="833" t="s">
        <v>704</v>
      </c>
      <c r="AI190" s="799">
        <f t="shared" si="41"/>
        <v>189</v>
      </c>
      <c r="AJ190" s="880">
        <v>31570000</v>
      </c>
      <c r="AK190" s="875">
        <f t="shared" si="54"/>
        <v>0</v>
      </c>
      <c r="AL190" s="820"/>
      <c r="AM190" s="302">
        <f t="shared" si="55"/>
        <v>0</v>
      </c>
    </row>
    <row r="191" spans="1:39" s="6" customFormat="1">
      <c r="A191" s="817" t="s">
        <v>60</v>
      </c>
      <c r="B191" s="143">
        <f t="shared" si="40"/>
        <v>57000000</v>
      </c>
      <c r="C191" s="93" t="s">
        <v>36</v>
      </c>
      <c r="D191" s="93" t="s">
        <v>826</v>
      </c>
      <c r="E191" s="93" t="s">
        <v>822</v>
      </c>
      <c r="F191" s="93" t="s">
        <v>822</v>
      </c>
      <c r="G191" s="93" t="s">
        <v>55</v>
      </c>
      <c r="H191" s="2116" t="s">
        <v>1641</v>
      </c>
      <c r="I191" s="2104">
        <v>187</v>
      </c>
      <c r="J191" s="203">
        <v>0</v>
      </c>
      <c r="K191" s="503"/>
      <c r="L191" s="992">
        <v>322</v>
      </c>
      <c r="M191" s="193">
        <v>57000000</v>
      </c>
      <c r="N191" s="270">
        <v>332</v>
      </c>
      <c r="O191" s="816">
        <v>57000000</v>
      </c>
      <c r="P191" s="238">
        <v>277</v>
      </c>
      <c r="Q191" s="234"/>
      <c r="R191" s="153"/>
      <c r="S191" s="153"/>
      <c r="T191" s="153">
        <f>VLOOKUP(N191,[7]Hoja2!N$132:T$199,7,0)</f>
        <v>4940000</v>
      </c>
      <c r="U191" s="153">
        <v>5700000</v>
      </c>
      <c r="V191" s="153">
        <v>5700000</v>
      </c>
      <c r="W191" s="153">
        <v>5700000</v>
      </c>
      <c r="X191" s="153">
        <v>5700000</v>
      </c>
      <c r="Y191" s="153">
        <v>5700000</v>
      </c>
      <c r="Z191" s="153">
        <v>2280000</v>
      </c>
      <c r="AA191" s="153">
        <v>5700000</v>
      </c>
      <c r="AB191" s="153">
        <f>5700000+5700000</f>
        <v>11400000</v>
      </c>
      <c r="AC191" s="182">
        <f t="shared" si="44"/>
        <v>52820000</v>
      </c>
      <c r="AD191" s="391">
        <f t="shared" si="53"/>
        <v>4180000</v>
      </c>
      <c r="AF191" s="878">
        <v>187</v>
      </c>
      <c r="AG191" s="879" t="s">
        <v>394</v>
      </c>
      <c r="AH191" s="879" t="s">
        <v>790</v>
      </c>
      <c r="AI191" s="799">
        <f t="shared" si="41"/>
        <v>277</v>
      </c>
      <c r="AJ191" s="880">
        <f>45000000+12000000</f>
        <v>57000000</v>
      </c>
      <c r="AK191" s="875">
        <f t="shared" si="54"/>
        <v>0</v>
      </c>
      <c r="AL191" s="820"/>
      <c r="AM191" s="302">
        <f t="shared" si="55"/>
        <v>0</v>
      </c>
    </row>
    <row r="192" spans="1:39" s="6" customFormat="1">
      <c r="A192" s="817" t="s">
        <v>60</v>
      </c>
      <c r="B192" s="143">
        <f t="shared" si="40"/>
        <v>57000000</v>
      </c>
      <c r="C192" s="93" t="s">
        <v>36</v>
      </c>
      <c r="D192" s="93" t="s">
        <v>826</v>
      </c>
      <c r="E192" s="93" t="s">
        <v>822</v>
      </c>
      <c r="F192" s="93" t="s">
        <v>822</v>
      </c>
      <c r="G192" s="93" t="s">
        <v>55</v>
      </c>
      <c r="H192" s="2116" t="s">
        <v>1641</v>
      </c>
      <c r="I192" s="2104">
        <v>188</v>
      </c>
      <c r="J192" s="203">
        <v>0</v>
      </c>
      <c r="K192" s="503"/>
      <c r="L192" s="992">
        <v>323</v>
      </c>
      <c r="M192" s="193">
        <v>57000000</v>
      </c>
      <c r="N192" s="270">
        <v>339</v>
      </c>
      <c r="O192" s="816">
        <v>57000000</v>
      </c>
      <c r="P192" s="238">
        <v>278</v>
      </c>
      <c r="Q192" s="234"/>
      <c r="R192" s="153"/>
      <c r="S192" s="153"/>
      <c r="T192" s="153">
        <f>VLOOKUP(N192,[7]Hoja2!N$132:T$199,7,0)</f>
        <v>4940000</v>
      </c>
      <c r="U192" s="153">
        <v>5700000</v>
      </c>
      <c r="V192" s="153">
        <v>5700000</v>
      </c>
      <c r="W192" s="153">
        <v>5700000</v>
      </c>
      <c r="X192" s="153">
        <v>5700000</v>
      </c>
      <c r="Y192" s="153">
        <v>5700000</v>
      </c>
      <c r="Z192" s="153">
        <v>5700000</v>
      </c>
      <c r="AA192" s="153">
        <v>5700000</v>
      </c>
      <c r="AB192" s="153">
        <f>5700000+5700000</f>
        <v>11400000</v>
      </c>
      <c r="AC192" s="182">
        <f t="shared" si="44"/>
        <v>56240000</v>
      </c>
      <c r="AD192" s="391">
        <f t="shared" si="53"/>
        <v>760000</v>
      </c>
      <c r="AF192" s="878">
        <v>188</v>
      </c>
      <c r="AG192" s="879" t="s">
        <v>395</v>
      </c>
      <c r="AH192" s="879" t="s">
        <v>791</v>
      </c>
      <c r="AI192" s="799">
        <f t="shared" si="41"/>
        <v>278</v>
      </c>
      <c r="AJ192" s="880">
        <f>56000000+1000000</f>
        <v>57000000</v>
      </c>
      <c r="AK192" s="875">
        <f t="shared" si="54"/>
        <v>0</v>
      </c>
      <c r="AL192" s="820"/>
      <c r="AM192" s="302">
        <f t="shared" si="55"/>
        <v>0</v>
      </c>
    </row>
    <row r="193" spans="1:39" s="6" customFormat="1">
      <c r="A193" s="817" t="s">
        <v>60</v>
      </c>
      <c r="B193" s="143">
        <f t="shared" si="40"/>
        <v>33990000</v>
      </c>
      <c r="C193" s="93" t="s">
        <v>36</v>
      </c>
      <c r="D193" s="93" t="s">
        <v>826</v>
      </c>
      <c r="E193" s="93" t="s">
        <v>822</v>
      </c>
      <c r="F193" s="93" t="s">
        <v>822</v>
      </c>
      <c r="G193" s="93" t="s">
        <v>55</v>
      </c>
      <c r="H193" s="2116" t="s">
        <v>1641</v>
      </c>
      <c r="I193" s="2104">
        <v>189</v>
      </c>
      <c r="J193" s="203">
        <v>0</v>
      </c>
      <c r="K193" s="503"/>
      <c r="L193" s="992">
        <v>54</v>
      </c>
      <c r="M193" s="608">
        <v>33990000</v>
      </c>
      <c r="N193" s="498">
        <v>31</v>
      </c>
      <c r="O193" s="163">
        <v>33990000</v>
      </c>
      <c r="P193" s="231">
        <v>27</v>
      </c>
      <c r="Q193" s="234"/>
      <c r="R193" s="153">
        <v>1339000</v>
      </c>
      <c r="S193" s="153">
        <v>3090000</v>
      </c>
      <c r="T193" s="153">
        <f>VLOOKUP(N193,[7]Hoja2!N$132:T$199,7,0)</f>
        <v>3090000</v>
      </c>
      <c r="U193" s="153">
        <v>3090000</v>
      </c>
      <c r="V193" s="153">
        <v>3090000</v>
      </c>
      <c r="W193" s="153">
        <v>3090000</v>
      </c>
      <c r="X193" s="153">
        <v>3090000</v>
      </c>
      <c r="Y193" s="153">
        <v>3090000</v>
      </c>
      <c r="Z193" s="153">
        <v>3090000</v>
      </c>
      <c r="AA193" s="153">
        <v>3090000</v>
      </c>
      <c r="AB193" s="153">
        <f>3090000+1751000</f>
        <v>4841000</v>
      </c>
      <c r="AC193" s="182">
        <f t="shared" si="44"/>
        <v>33990000</v>
      </c>
      <c r="AD193" s="391">
        <f t="shared" si="53"/>
        <v>0</v>
      </c>
      <c r="AF193" s="878">
        <v>189</v>
      </c>
      <c r="AG193" s="879" t="s">
        <v>365</v>
      </c>
      <c r="AH193" s="268" t="s">
        <v>705</v>
      </c>
      <c r="AI193" s="799">
        <f t="shared" si="41"/>
        <v>27</v>
      </c>
      <c r="AJ193" s="880">
        <v>33990000</v>
      </c>
      <c r="AK193" s="875">
        <f t="shared" si="54"/>
        <v>0</v>
      </c>
      <c r="AL193" s="820"/>
      <c r="AM193" s="302">
        <f t="shared" si="55"/>
        <v>0</v>
      </c>
    </row>
    <row r="194" spans="1:39" s="6" customFormat="1">
      <c r="A194" s="817" t="s">
        <v>60</v>
      </c>
      <c r="B194" s="143">
        <f t="shared" si="40"/>
        <v>1339000</v>
      </c>
      <c r="C194" s="93" t="s">
        <v>36</v>
      </c>
      <c r="D194" s="93" t="s">
        <v>826</v>
      </c>
      <c r="E194" s="93" t="s">
        <v>822</v>
      </c>
      <c r="F194" s="93" t="s">
        <v>822</v>
      </c>
      <c r="G194" s="93" t="s">
        <v>55</v>
      </c>
      <c r="H194" s="2116" t="s">
        <v>1641</v>
      </c>
      <c r="I194" s="2105" t="s">
        <v>325</v>
      </c>
      <c r="J194" s="203">
        <v>813</v>
      </c>
      <c r="K194" s="503">
        <v>1339000</v>
      </c>
      <c r="L194" s="992">
        <v>921</v>
      </c>
      <c r="M194" s="608">
        <v>1339000</v>
      </c>
      <c r="N194" s="498">
        <v>1087</v>
      </c>
      <c r="O194" s="448">
        <v>1339000</v>
      </c>
      <c r="P194" s="231">
        <v>27</v>
      </c>
      <c r="Q194" s="234"/>
      <c r="R194" s="153"/>
      <c r="S194" s="153"/>
      <c r="T194" s="153"/>
      <c r="U194" s="153"/>
      <c r="V194" s="153"/>
      <c r="W194" s="153"/>
      <c r="X194" s="153"/>
      <c r="Y194" s="153"/>
      <c r="Z194" s="153"/>
      <c r="AA194" s="153"/>
      <c r="AB194" s="153">
        <v>1339000</v>
      </c>
      <c r="AC194" s="182">
        <f>SUM(Q194:AB194)</f>
        <v>1339000</v>
      </c>
      <c r="AD194" s="391">
        <f t="shared" si="53"/>
        <v>0</v>
      </c>
      <c r="AF194" s="1902" t="s">
        <v>325</v>
      </c>
      <c r="AG194" s="879" t="s">
        <v>1450</v>
      </c>
      <c r="AH194" s="268" t="s">
        <v>705</v>
      </c>
      <c r="AI194" s="799">
        <f t="shared" si="41"/>
        <v>27</v>
      </c>
      <c r="AJ194" s="880">
        <v>1339000</v>
      </c>
      <c r="AK194" s="875">
        <f t="shared" si="54"/>
        <v>0</v>
      </c>
      <c r="AL194" s="820"/>
      <c r="AM194" s="302">
        <f t="shared" si="55"/>
        <v>0</v>
      </c>
    </row>
    <row r="195" spans="1:39" s="6" customFormat="1">
      <c r="A195" s="817" t="s">
        <v>60</v>
      </c>
      <c r="B195" s="143">
        <f t="shared" si="40"/>
        <v>33300000</v>
      </c>
      <c r="C195" s="93" t="s">
        <v>36</v>
      </c>
      <c r="D195" s="93" t="s">
        <v>826</v>
      </c>
      <c r="E195" s="93" t="s">
        <v>822</v>
      </c>
      <c r="F195" s="93" t="s">
        <v>822</v>
      </c>
      <c r="G195" s="93" t="s">
        <v>55</v>
      </c>
      <c r="H195" s="2116" t="s">
        <v>1641</v>
      </c>
      <c r="I195" s="2104">
        <v>190</v>
      </c>
      <c r="J195" s="203">
        <v>0</v>
      </c>
      <c r="K195" s="503"/>
      <c r="L195" s="992">
        <v>360</v>
      </c>
      <c r="M195" s="193">
        <v>33300000</v>
      </c>
      <c r="N195" s="270">
        <v>365</v>
      </c>
      <c r="O195" s="816">
        <v>33300000</v>
      </c>
      <c r="P195" s="238">
        <v>290</v>
      </c>
      <c r="Q195" s="234"/>
      <c r="R195" s="153"/>
      <c r="S195" s="153"/>
      <c r="T195" s="153">
        <f>VLOOKUP(N195,[7]Hoja2!N$132:T$199,7,0)</f>
        <v>2096667</v>
      </c>
      <c r="U195" s="153">
        <v>3700000</v>
      </c>
      <c r="V195" s="153">
        <v>3700000</v>
      </c>
      <c r="W195" s="153">
        <v>3700000</v>
      </c>
      <c r="X195" s="153">
        <v>3700000</v>
      </c>
      <c r="Y195" s="153"/>
      <c r="Z195" s="153">
        <f>1973333+3700000</f>
        <v>5673333</v>
      </c>
      <c r="AA195" s="153">
        <f>3700000+1726667</f>
        <v>5426667</v>
      </c>
      <c r="AB195" s="153">
        <f>3700000+1603333</f>
        <v>5303333</v>
      </c>
      <c r="AC195" s="182">
        <f t="shared" si="44"/>
        <v>33300000</v>
      </c>
      <c r="AD195" s="391">
        <f t="shared" si="53"/>
        <v>0</v>
      </c>
      <c r="AF195" s="878">
        <v>190</v>
      </c>
      <c r="AG195" s="879" t="s">
        <v>396</v>
      </c>
      <c r="AH195" s="879" t="s">
        <v>1363</v>
      </c>
      <c r="AI195" s="799">
        <f t="shared" si="41"/>
        <v>290</v>
      </c>
      <c r="AJ195" s="880">
        <v>33300000</v>
      </c>
      <c r="AK195" s="875">
        <f t="shared" si="54"/>
        <v>0</v>
      </c>
      <c r="AL195" s="820"/>
      <c r="AM195" s="302">
        <f t="shared" si="55"/>
        <v>0</v>
      </c>
    </row>
    <row r="196" spans="1:39" s="6" customFormat="1">
      <c r="A196" s="817" t="s">
        <v>60</v>
      </c>
      <c r="B196" s="143">
        <f t="shared" si="40"/>
        <v>54600000</v>
      </c>
      <c r="C196" s="93" t="s">
        <v>36</v>
      </c>
      <c r="D196" s="93" t="s">
        <v>826</v>
      </c>
      <c r="E196" s="93" t="s">
        <v>822</v>
      </c>
      <c r="F196" s="93" t="s">
        <v>822</v>
      </c>
      <c r="G196" s="93" t="s">
        <v>55</v>
      </c>
      <c r="H196" s="2116" t="s">
        <v>1641</v>
      </c>
      <c r="I196" s="2104">
        <v>191</v>
      </c>
      <c r="J196" s="203">
        <v>0</v>
      </c>
      <c r="K196" s="503"/>
      <c r="L196" s="992">
        <v>297</v>
      </c>
      <c r="M196" s="193">
        <v>54600000</v>
      </c>
      <c r="N196" s="498">
        <v>322</v>
      </c>
      <c r="O196" s="816">
        <v>54600000</v>
      </c>
      <c r="P196" s="238">
        <v>257</v>
      </c>
      <c r="Q196" s="234"/>
      <c r="R196" s="153"/>
      <c r="S196" s="153">
        <v>866667</v>
      </c>
      <c r="T196" s="153">
        <f>VLOOKUP(N196,[7]Hoja2!N$132:T$199,7,0)</f>
        <v>5200000</v>
      </c>
      <c r="U196" s="153">
        <v>5200000</v>
      </c>
      <c r="V196" s="153">
        <v>5200000</v>
      </c>
      <c r="W196" s="153">
        <v>5200000</v>
      </c>
      <c r="X196" s="153">
        <v>5200000</v>
      </c>
      <c r="Y196" s="153">
        <v>5200000</v>
      </c>
      <c r="Z196" s="153">
        <v>5200000</v>
      </c>
      <c r="AA196" s="153">
        <v>5200000</v>
      </c>
      <c r="AB196" s="153">
        <f>5200000+5200000</f>
        <v>10400000</v>
      </c>
      <c r="AC196" s="182">
        <f t="shared" si="44"/>
        <v>52866667</v>
      </c>
      <c r="AD196" s="391">
        <f t="shared" si="53"/>
        <v>1733333</v>
      </c>
      <c r="AF196" s="878">
        <v>191</v>
      </c>
      <c r="AG196" s="879" t="s">
        <v>487</v>
      </c>
      <c r="AH196" s="879" t="s">
        <v>779</v>
      </c>
      <c r="AI196" s="799">
        <f t="shared" si="41"/>
        <v>257</v>
      </c>
      <c r="AJ196" s="880">
        <f>57200000-2600000</f>
        <v>54600000</v>
      </c>
      <c r="AK196" s="875">
        <f t="shared" si="54"/>
        <v>0</v>
      </c>
      <c r="AL196" s="820"/>
      <c r="AM196" s="302">
        <f t="shared" si="55"/>
        <v>0</v>
      </c>
    </row>
    <row r="197" spans="1:39" s="6" customFormat="1">
      <c r="A197" s="817" t="s">
        <v>60</v>
      </c>
      <c r="B197" s="143">
        <f t="shared" si="40"/>
        <v>38729000</v>
      </c>
      <c r="C197" s="93" t="s">
        <v>36</v>
      </c>
      <c r="D197" s="93" t="s">
        <v>826</v>
      </c>
      <c r="E197" s="93" t="s">
        <v>822</v>
      </c>
      <c r="F197" s="93" t="s">
        <v>822</v>
      </c>
      <c r="G197" s="93" t="s">
        <v>55</v>
      </c>
      <c r="H197" s="2116" t="s">
        <v>1641</v>
      </c>
      <c r="I197" s="2104">
        <v>192</v>
      </c>
      <c r="J197" s="203">
        <v>0</v>
      </c>
      <c r="K197" s="503"/>
      <c r="L197" s="992">
        <v>152</v>
      </c>
      <c r="M197" s="193">
        <v>38729000</v>
      </c>
      <c r="N197" s="498">
        <v>186</v>
      </c>
      <c r="O197" s="765">
        <v>38729000</v>
      </c>
      <c r="P197" s="231">
        <v>139</v>
      </c>
      <c r="Q197" s="234"/>
      <c r="R197" s="153"/>
      <c r="S197" s="153">
        <f>3700000-S226</f>
        <v>1729000</v>
      </c>
      <c r="T197" s="153">
        <f>VLOOKUP(N197,[7]Hoja2!N$132:T$199,7,0)</f>
        <v>3700000</v>
      </c>
      <c r="U197" s="153">
        <v>3700000</v>
      </c>
      <c r="V197" s="153">
        <v>3700000</v>
      </c>
      <c r="W197" s="153">
        <v>3700000</v>
      </c>
      <c r="X197" s="153">
        <v>3700000</v>
      </c>
      <c r="Y197" s="153">
        <v>3700000</v>
      </c>
      <c r="Z197" s="153">
        <v>3700000</v>
      </c>
      <c r="AA197" s="153">
        <v>3700000</v>
      </c>
      <c r="AB197" s="153">
        <f>3700000+1729000+1971000</f>
        <v>7400000</v>
      </c>
      <c r="AC197" s="182">
        <f t="shared" si="44"/>
        <v>38729000</v>
      </c>
      <c r="AD197" s="391">
        <f t="shared" si="53"/>
        <v>0</v>
      </c>
      <c r="AF197" s="878">
        <v>192</v>
      </c>
      <c r="AG197" s="879" t="s">
        <v>397</v>
      </c>
      <c r="AH197" s="268" t="s">
        <v>706</v>
      </c>
      <c r="AI197" s="799">
        <f t="shared" si="41"/>
        <v>139</v>
      </c>
      <c r="AJ197" s="880">
        <v>38729000</v>
      </c>
      <c r="AK197" s="875">
        <f t="shared" si="54"/>
        <v>0</v>
      </c>
      <c r="AL197" s="820"/>
      <c r="AM197" s="302">
        <f t="shared" si="55"/>
        <v>0</v>
      </c>
    </row>
    <row r="198" spans="1:39" s="6" customFormat="1">
      <c r="A198" s="817" t="s">
        <v>60</v>
      </c>
      <c r="B198" s="143">
        <f t="shared" si="40"/>
        <v>3700000</v>
      </c>
      <c r="C198" s="93" t="s">
        <v>36</v>
      </c>
      <c r="D198" s="93" t="s">
        <v>826</v>
      </c>
      <c r="E198" s="93" t="s">
        <v>822</v>
      </c>
      <c r="F198" s="93" t="s">
        <v>822</v>
      </c>
      <c r="G198" s="93" t="s">
        <v>55</v>
      </c>
      <c r="H198" s="2116" t="s">
        <v>1641</v>
      </c>
      <c r="I198" s="2105" t="s">
        <v>325</v>
      </c>
      <c r="J198" s="203">
        <v>855</v>
      </c>
      <c r="K198" s="503">
        <v>3700000</v>
      </c>
      <c r="L198" s="992">
        <v>976</v>
      </c>
      <c r="M198" s="193">
        <v>3700000</v>
      </c>
      <c r="N198" s="498">
        <v>1185</v>
      </c>
      <c r="O198" s="765">
        <v>3700000</v>
      </c>
      <c r="P198" s="231">
        <v>139</v>
      </c>
      <c r="Q198" s="234"/>
      <c r="R198" s="153"/>
      <c r="S198" s="153"/>
      <c r="T198" s="153"/>
      <c r="U198" s="153"/>
      <c r="V198" s="153"/>
      <c r="W198" s="153"/>
      <c r="X198" s="153"/>
      <c r="Y198" s="153"/>
      <c r="Z198" s="153"/>
      <c r="AA198" s="153"/>
      <c r="AB198" s="153"/>
      <c r="AC198" s="182">
        <f t="shared" ref="AC198" si="56">SUM(Q198:AB198)</f>
        <v>0</v>
      </c>
      <c r="AD198" s="391">
        <f t="shared" si="53"/>
        <v>3700000</v>
      </c>
      <c r="AF198" s="1902" t="s">
        <v>325</v>
      </c>
      <c r="AG198" s="879" t="s">
        <v>1557</v>
      </c>
      <c r="AH198" s="268" t="s">
        <v>706</v>
      </c>
      <c r="AI198" s="799">
        <f t="shared" si="41"/>
        <v>139</v>
      </c>
      <c r="AJ198" s="880">
        <v>3700000</v>
      </c>
      <c r="AK198" s="875">
        <f t="shared" si="54"/>
        <v>0</v>
      </c>
      <c r="AL198" s="820"/>
      <c r="AM198" s="302">
        <f t="shared" si="55"/>
        <v>0</v>
      </c>
    </row>
    <row r="199" spans="1:39" s="6" customFormat="1">
      <c r="A199" s="817" t="s">
        <v>60</v>
      </c>
      <c r="B199" s="143">
        <f t="shared" si="40"/>
        <v>70290000</v>
      </c>
      <c r="C199" s="93" t="s">
        <v>36</v>
      </c>
      <c r="D199" s="93" t="s">
        <v>826</v>
      </c>
      <c r="E199" s="93" t="s">
        <v>822</v>
      </c>
      <c r="F199" s="93" t="s">
        <v>822</v>
      </c>
      <c r="G199" s="93" t="s">
        <v>55</v>
      </c>
      <c r="H199" s="2116" t="s">
        <v>1641</v>
      </c>
      <c r="I199" s="2104">
        <v>194</v>
      </c>
      <c r="J199" s="203">
        <v>0</v>
      </c>
      <c r="K199" s="503"/>
      <c r="L199" s="992">
        <v>26</v>
      </c>
      <c r="M199" s="608">
        <v>70290000</v>
      </c>
      <c r="N199" s="498">
        <v>10</v>
      </c>
      <c r="O199" s="163">
        <v>70290000</v>
      </c>
      <c r="P199" s="231">
        <v>8</v>
      </c>
      <c r="Q199" s="234"/>
      <c r="R199" s="153">
        <v>3195000</v>
      </c>
      <c r="S199" s="153">
        <v>6390000</v>
      </c>
      <c r="T199" s="153">
        <f>VLOOKUP(N199,[7]Hoja2!N$132:T$199,7,0)</f>
        <v>6390000</v>
      </c>
      <c r="U199" s="153">
        <v>6390000</v>
      </c>
      <c r="V199" s="153">
        <v>6390000</v>
      </c>
      <c r="W199" s="153">
        <v>6390000</v>
      </c>
      <c r="X199" s="153">
        <v>6390000</v>
      </c>
      <c r="Y199" s="153">
        <v>6390000</v>
      </c>
      <c r="Z199" s="153">
        <v>5325000</v>
      </c>
      <c r="AA199" s="153">
        <v>6390000</v>
      </c>
      <c r="AB199" s="153">
        <f>6390000+4260000</f>
        <v>10650000</v>
      </c>
      <c r="AC199" s="182">
        <f t="shared" si="44"/>
        <v>70290000</v>
      </c>
      <c r="AD199" s="391">
        <f t="shared" si="53"/>
        <v>0</v>
      </c>
      <c r="AF199" s="878">
        <v>194</v>
      </c>
      <c r="AG199" s="879" t="s">
        <v>398</v>
      </c>
      <c r="AH199" s="268" t="s">
        <v>1434</v>
      </c>
      <c r="AI199" s="799">
        <f t="shared" si="41"/>
        <v>8</v>
      </c>
      <c r="AJ199" s="880">
        <v>70290000</v>
      </c>
      <c r="AK199" s="875">
        <f t="shared" si="54"/>
        <v>0</v>
      </c>
      <c r="AL199" s="820"/>
      <c r="AM199" s="302">
        <f t="shared" si="55"/>
        <v>0</v>
      </c>
    </row>
    <row r="200" spans="1:39" s="6" customFormat="1">
      <c r="A200" s="817" t="s">
        <v>60</v>
      </c>
      <c r="B200" s="143">
        <f t="shared" si="40"/>
        <v>9585000</v>
      </c>
      <c r="C200" s="93" t="s">
        <v>36</v>
      </c>
      <c r="D200" s="93" t="s">
        <v>826</v>
      </c>
      <c r="E200" s="93" t="s">
        <v>822</v>
      </c>
      <c r="F200" s="93" t="s">
        <v>822</v>
      </c>
      <c r="G200" s="93" t="s">
        <v>55</v>
      </c>
      <c r="H200" s="2116" t="s">
        <v>1641</v>
      </c>
      <c r="I200" s="2105" t="s">
        <v>325</v>
      </c>
      <c r="J200" s="203">
        <v>820</v>
      </c>
      <c r="K200" s="503">
        <v>9585000</v>
      </c>
      <c r="L200" s="992">
        <v>920</v>
      </c>
      <c r="M200" s="608">
        <v>9585000</v>
      </c>
      <c r="N200" s="498">
        <v>1054</v>
      </c>
      <c r="O200" s="163">
        <v>9585000</v>
      </c>
      <c r="P200" s="231">
        <v>8</v>
      </c>
      <c r="Q200" s="234"/>
      <c r="R200" s="153"/>
      <c r="S200" s="153"/>
      <c r="T200" s="153"/>
      <c r="U200" s="153"/>
      <c r="V200" s="153"/>
      <c r="W200" s="153"/>
      <c r="X200" s="153"/>
      <c r="Y200" s="153"/>
      <c r="Z200" s="153"/>
      <c r="AA200" s="153"/>
      <c r="AB200" s="153">
        <v>2130000</v>
      </c>
      <c r="AC200" s="182">
        <f>SUM(Q200:AB200)</f>
        <v>2130000</v>
      </c>
      <c r="AD200" s="391">
        <f t="shared" si="53"/>
        <v>7455000</v>
      </c>
      <c r="AF200" s="1902" t="s">
        <v>325</v>
      </c>
      <c r="AG200" s="879" t="s">
        <v>1449</v>
      </c>
      <c r="AH200" s="268" t="s">
        <v>1434</v>
      </c>
      <c r="AI200" s="799">
        <f t="shared" si="41"/>
        <v>8</v>
      </c>
      <c r="AJ200" s="880">
        <v>9585000</v>
      </c>
      <c r="AK200" s="875">
        <f t="shared" si="54"/>
        <v>0</v>
      </c>
      <c r="AL200" s="820"/>
      <c r="AM200" s="302">
        <f t="shared" si="55"/>
        <v>0</v>
      </c>
    </row>
    <row r="201" spans="1:39" s="6" customFormat="1">
      <c r="A201" s="817" t="s">
        <v>60</v>
      </c>
      <c r="B201" s="143">
        <f t="shared" si="40"/>
        <v>38280000</v>
      </c>
      <c r="C201" s="93" t="s">
        <v>36</v>
      </c>
      <c r="D201" s="93" t="s">
        <v>826</v>
      </c>
      <c r="E201" s="93" t="s">
        <v>822</v>
      </c>
      <c r="F201" s="93" t="s">
        <v>822</v>
      </c>
      <c r="G201" s="93" t="s">
        <v>55</v>
      </c>
      <c r="H201" s="2116" t="s">
        <v>1641</v>
      </c>
      <c r="I201" s="2104">
        <v>196</v>
      </c>
      <c r="J201" s="203">
        <v>0</v>
      </c>
      <c r="K201" s="503"/>
      <c r="L201" s="992">
        <v>64</v>
      </c>
      <c r="M201" s="608">
        <v>38280000</v>
      </c>
      <c r="N201" s="498">
        <v>13</v>
      </c>
      <c r="O201" s="163">
        <v>38280000</v>
      </c>
      <c r="P201" s="231">
        <v>5</v>
      </c>
      <c r="Q201" s="234"/>
      <c r="R201" s="153">
        <v>1740000</v>
      </c>
      <c r="S201" s="153">
        <v>3480000</v>
      </c>
      <c r="T201" s="153">
        <f>VLOOKUP(N201,[7]Hoja2!N$132:T$199,7,0)</f>
        <v>3480000</v>
      </c>
      <c r="U201" s="153">
        <v>3480000</v>
      </c>
      <c r="V201" s="153">
        <v>3480000</v>
      </c>
      <c r="W201" s="153">
        <v>3480000</v>
      </c>
      <c r="X201" s="153">
        <v>3480000</v>
      </c>
      <c r="Y201" s="153">
        <v>3480000</v>
      </c>
      <c r="Z201" s="153">
        <v>3480000</v>
      </c>
      <c r="AA201" s="153">
        <v>3480000</v>
      </c>
      <c r="AB201" s="153">
        <f>3480000+1740000</f>
        <v>5220000</v>
      </c>
      <c r="AC201" s="182">
        <f t="shared" si="44"/>
        <v>38280000</v>
      </c>
      <c r="AD201" s="391">
        <f t="shared" si="53"/>
        <v>0</v>
      </c>
      <c r="AF201" s="878">
        <v>196</v>
      </c>
      <c r="AG201" s="879" t="s">
        <v>399</v>
      </c>
      <c r="AH201" s="268" t="s">
        <v>707</v>
      </c>
      <c r="AI201" s="799">
        <f t="shared" si="41"/>
        <v>5</v>
      </c>
      <c r="AJ201" s="880">
        <f>38280000-1280000+1280000</f>
        <v>38280000</v>
      </c>
      <c r="AK201" s="875">
        <f t="shared" si="54"/>
        <v>0</v>
      </c>
      <c r="AL201" s="820"/>
      <c r="AM201" s="302">
        <f t="shared" si="55"/>
        <v>0</v>
      </c>
    </row>
    <row r="202" spans="1:39" s="6" customFormat="1">
      <c r="A202" s="817" t="s">
        <v>60</v>
      </c>
      <c r="B202" s="143">
        <f t="shared" si="40"/>
        <v>5220000</v>
      </c>
      <c r="C202" s="93" t="s">
        <v>36</v>
      </c>
      <c r="D202" s="93" t="s">
        <v>826</v>
      </c>
      <c r="E202" s="93" t="s">
        <v>822</v>
      </c>
      <c r="F202" s="93" t="s">
        <v>822</v>
      </c>
      <c r="G202" s="93" t="s">
        <v>55</v>
      </c>
      <c r="H202" s="2116" t="s">
        <v>1641</v>
      </c>
      <c r="I202" s="2105" t="s">
        <v>325</v>
      </c>
      <c r="J202" s="203">
        <v>809</v>
      </c>
      <c r="K202" s="503">
        <v>5220000</v>
      </c>
      <c r="L202" s="992">
        <v>917</v>
      </c>
      <c r="M202" s="608">
        <v>5220000</v>
      </c>
      <c r="N202" s="498">
        <v>1072</v>
      </c>
      <c r="O202" s="163">
        <v>5220000</v>
      </c>
      <c r="P202" s="231">
        <v>5</v>
      </c>
      <c r="Q202" s="234"/>
      <c r="R202" s="153"/>
      <c r="S202" s="153"/>
      <c r="T202" s="153"/>
      <c r="U202" s="153"/>
      <c r="V202" s="153"/>
      <c r="W202" s="153"/>
      <c r="X202" s="153"/>
      <c r="Y202" s="153"/>
      <c r="Z202" s="153"/>
      <c r="AA202" s="153"/>
      <c r="AB202" s="153">
        <v>1740000</v>
      </c>
      <c r="AC202" s="182">
        <f>SUM(Q202:AB202)</f>
        <v>1740000</v>
      </c>
      <c r="AD202" s="391">
        <f t="shared" si="53"/>
        <v>3480000</v>
      </c>
      <c r="AF202" s="1902" t="s">
        <v>325</v>
      </c>
      <c r="AG202" s="879" t="s">
        <v>1447</v>
      </c>
      <c r="AH202" s="268" t="s">
        <v>707</v>
      </c>
      <c r="AI202" s="799">
        <f t="shared" si="41"/>
        <v>5</v>
      </c>
      <c r="AJ202" s="880">
        <v>5220000</v>
      </c>
      <c r="AK202" s="875">
        <f t="shared" si="54"/>
        <v>0</v>
      </c>
      <c r="AL202" s="820"/>
      <c r="AM202" s="302">
        <f t="shared" si="55"/>
        <v>0</v>
      </c>
    </row>
    <row r="203" spans="1:39" s="6" customFormat="1">
      <c r="A203" s="817" t="s">
        <v>60</v>
      </c>
      <c r="B203" s="143">
        <f t="shared" si="40"/>
        <v>33550000</v>
      </c>
      <c r="C203" s="93" t="s">
        <v>36</v>
      </c>
      <c r="D203" s="93" t="s">
        <v>826</v>
      </c>
      <c r="E203" s="93" t="s">
        <v>822</v>
      </c>
      <c r="F203" s="93" t="s">
        <v>822</v>
      </c>
      <c r="G203" s="93" t="s">
        <v>55</v>
      </c>
      <c r="H203" s="2116" t="s">
        <v>1641</v>
      </c>
      <c r="I203" s="2104">
        <v>199</v>
      </c>
      <c r="J203" s="203">
        <v>0</v>
      </c>
      <c r="K203" s="503"/>
      <c r="L203" s="992">
        <v>62</v>
      </c>
      <c r="M203" s="608">
        <v>33550000</v>
      </c>
      <c r="N203" s="498">
        <v>12</v>
      </c>
      <c r="O203" s="163">
        <v>33550000</v>
      </c>
      <c r="P203" s="231">
        <v>2</v>
      </c>
      <c r="Q203" s="234"/>
      <c r="R203" s="153">
        <v>1525000</v>
      </c>
      <c r="S203" s="153">
        <v>3050000</v>
      </c>
      <c r="T203" s="153">
        <f>VLOOKUP(N203,[7]Hoja2!N$132:T$199,7,0)</f>
        <v>3050000</v>
      </c>
      <c r="U203" s="153">
        <v>3050000</v>
      </c>
      <c r="V203" s="153">
        <v>3050000</v>
      </c>
      <c r="W203" s="153">
        <v>3050000</v>
      </c>
      <c r="X203" s="153">
        <v>3050000</v>
      </c>
      <c r="Y203" s="153">
        <v>3050000</v>
      </c>
      <c r="Z203" s="153">
        <v>3050000</v>
      </c>
      <c r="AA203" s="153">
        <v>3050000</v>
      </c>
      <c r="AB203" s="153">
        <f>3050000+1525000</f>
        <v>4575000</v>
      </c>
      <c r="AC203" s="182">
        <f t="shared" si="44"/>
        <v>33550000</v>
      </c>
      <c r="AD203" s="391">
        <f t="shared" si="53"/>
        <v>0</v>
      </c>
      <c r="AF203" s="878">
        <v>199</v>
      </c>
      <c r="AG203" s="879" t="s">
        <v>400</v>
      </c>
      <c r="AH203" s="268" t="s">
        <v>708</v>
      </c>
      <c r="AI203" s="799">
        <f t="shared" si="41"/>
        <v>2</v>
      </c>
      <c r="AJ203" s="880">
        <v>33550000</v>
      </c>
      <c r="AK203" s="875">
        <f t="shared" si="54"/>
        <v>0</v>
      </c>
      <c r="AL203" s="820"/>
      <c r="AM203" s="302">
        <f t="shared" si="55"/>
        <v>0</v>
      </c>
    </row>
    <row r="204" spans="1:39" s="6" customFormat="1">
      <c r="A204" s="817" t="s">
        <v>60</v>
      </c>
      <c r="B204" s="143">
        <f t="shared" si="40"/>
        <v>4575000</v>
      </c>
      <c r="C204" s="93" t="s">
        <v>36</v>
      </c>
      <c r="D204" s="93" t="s">
        <v>826</v>
      </c>
      <c r="E204" s="93" t="s">
        <v>822</v>
      </c>
      <c r="F204" s="93" t="s">
        <v>822</v>
      </c>
      <c r="G204" s="93" t="s">
        <v>55</v>
      </c>
      <c r="H204" s="2116" t="s">
        <v>1641</v>
      </c>
      <c r="I204" s="2105" t="s">
        <v>325</v>
      </c>
      <c r="J204" s="203">
        <v>808</v>
      </c>
      <c r="K204" s="503">
        <v>4575000</v>
      </c>
      <c r="L204" s="992">
        <v>916</v>
      </c>
      <c r="M204" s="1906">
        <v>4575000</v>
      </c>
      <c r="N204" s="498">
        <v>1073</v>
      </c>
      <c r="O204" s="448">
        <v>4575000</v>
      </c>
      <c r="P204" s="231">
        <v>2</v>
      </c>
      <c r="Q204" s="234"/>
      <c r="R204" s="153"/>
      <c r="S204" s="153"/>
      <c r="T204" s="153"/>
      <c r="U204" s="153"/>
      <c r="V204" s="153"/>
      <c r="W204" s="153"/>
      <c r="X204" s="153"/>
      <c r="Y204" s="153"/>
      <c r="Z204" s="153"/>
      <c r="AA204" s="153"/>
      <c r="AB204" s="153">
        <v>1525000</v>
      </c>
      <c r="AC204" s="182">
        <f>SUM(Q204:AB204)</f>
        <v>1525000</v>
      </c>
      <c r="AD204" s="391">
        <f t="shared" si="53"/>
        <v>3050000</v>
      </c>
      <c r="AF204" s="1902" t="s">
        <v>325</v>
      </c>
      <c r="AG204" s="879" t="s">
        <v>1446</v>
      </c>
      <c r="AH204" s="268" t="s">
        <v>708</v>
      </c>
      <c r="AI204" s="799">
        <f t="shared" si="41"/>
        <v>2</v>
      </c>
      <c r="AJ204" s="880">
        <v>4575000</v>
      </c>
      <c r="AK204" s="875">
        <f t="shared" si="54"/>
        <v>0</v>
      </c>
      <c r="AL204" s="820"/>
      <c r="AM204" s="302">
        <f t="shared" si="55"/>
        <v>0</v>
      </c>
    </row>
    <row r="205" spans="1:39" s="6" customFormat="1">
      <c r="A205" s="817" t="s">
        <v>60</v>
      </c>
      <c r="B205" s="143">
        <f t="shared" si="40"/>
        <v>1026700</v>
      </c>
      <c r="C205" s="93" t="s">
        <v>36</v>
      </c>
      <c r="D205" s="93" t="s">
        <v>826</v>
      </c>
      <c r="E205" s="93" t="s">
        <v>822</v>
      </c>
      <c r="F205" s="93" t="s">
        <v>822</v>
      </c>
      <c r="G205" s="93" t="s">
        <v>55</v>
      </c>
      <c r="H205" s="2116" t="s">
        <v>1641</v>
      </c>
      <c r="I205" s="2104" t="s">
        <v>148</v>
      </c>
      <c r="J205" s="1954" t="s">
        <v>1589</v>
      </c>
      <c r="K205" s="503">
        <f>258400+258400+258400+251500</f>
        <v>1026700</v>
      </c>
      <c r="L205" s="606" t="s">
        <v>1612</v>
      </c>
      <c r="M205" s="503">
        <f>258400+258400+258400+251500</f>
        <v>1026700</v>
      </c>
      <c r="N205" s="808" t="s">
        <v>1604</v>
      </c>
      <c r="O205" s="816">
        <f>258400+258400+258400+251500</f>
        <v>1026700</v>
      </c>
      <c r="P205" s="1859" t="s">
        <v>739</v>
      </c>
      <c r="Q205" s="234"/>
      <c r="R205" s="153"/>
      <c r="S205" s="153"/>
      <c r="T205" s="153"/>
      <c r="U205" s="153"/>
      <c r="V205" s="153"/>
      <c r="W205" s="153"/>
      <c r="X205" s="153"/>
      <c r="Y205" s="153"/>
      <c r="Z205" s="153">
        <v>258400</v>
      </c>
      <c r="AA205" s="153">
        <v>258400</v>
      </c>
      <c r="AB205" s="153">
        <f>258400+251500</f>
        <v>509900</v>
      </c>
      <c r="AC205" s="182">
        <f t="shared" si="44"/>
        <v>1026700</v>
      </c>
      <c r="AD205" s="391">
        <f t="shared" si="53"/>
        <v>0</v>
      </c>
      <c r="AF205" s="878" t="s">
        <v>148</v>
      </c>
      <c r="AG205" s="879" t="s">
        <v>401</v>
      </c>
      <c r="AH205" s="879" t="s">
        <v>1301</v>
      </c>
      <c r="AI205" s="1860" t="str">
        <f t="shared" si="41"/>
        <v>ARL</v>
      </c>
      <c r="AJ205" s="880">
        <v>1300000</v>
      </c>
      <c r="AK205" s="875">
        <f t="shared" si="54"/>
        <v>273300</v>
      </c>
      <c r="AL205" s="820"/>
      <c r="AM205" s="302">
        <f t="shared" si="55"/>
        <v>273300</v>
      </c>
    </row>
    <row r="206" spans="1:39" s="6" customFormat="1">
      <c r="A206" s="817" t="s">
        <v>60</v>
      </c>
      <c r="B206" s="143">
        <f t="shared" si="40"/>
        <v>82500000</v>
      </c>
      <c r="C206" s="93" t="s">
        <v>36</v>
      </c>
      <c r="D206" s="93" t="s">
        <v>826</v>
      </c>
      <c r="E206" s="93" t="s">
        <v>822</v>
      </c>
      <c r="F206" s="93" t="s">
        <v>822</v>
      </c>
      <c r="G206" s="93" t="s">
        <v>55</v>
      </c>
      <c r="H206" s="2116" t="s">
        <v>1641</v>
      </c>
      <c r="I206" s="2104">
        <v>206</v>
      </c>
      <c r="J206" s="203">
        <v>0</v>
      </c>
      <c r="K206" s="503"/>
      <c r="L206" s="992">
        <v>239</v>
      </c>
      <c r="M206" s="608">
        <v>82500000</v>
      </c>
      <c r="N206" s="498">
        <v>204</v>
      </c>
      <c r="O206" s="163">
        <v>82500000</v>
      </c>
      <c r="P206" s="231">
        <v>194</v>
      </c>
      <c r="Q206" s="234"/>
      <c r="R206" s="153"/>
      <c r="S206" s="153">
        <v>7500000</v>
      </c>
      <c r="T206" s="153">
        <f>VLOOKUP(N206,[7]Hoja2!N$132:T$199,7,0)</f>
        <v>7500000</v>
      </c>
      <c r="U206" s="153">
        <v>7500000</v>
      </c>
      <c r="V206" s="153">
        <v>7500000</v>
      </c>
      <c r="W206" s="153">
        <v>7500000</v>
      </c>
      <c r="X206" s="153">
        <v>7500000</v>
      </c>
      <c r="Y206" s="153">
        <v>7500000</v>
      </c>
      <c r="Z206" s="153">
        <v>7500000</v>
      </c>
      <c r="AA206" s="153">
        <v>7500000</v>
      </c>
      <c r="AB206" s="153">
        <f>7500000+7500000</f>
        <v>15000000</v>
      </c>
      <c r="AC206" s="182">
        <f t="shared" si="44"/>
        <v>82500000</v>
      </c>
      <c r="AD206" s="391">
        <f t="shared" si="53"/>
        <v>0</v>
      </c>
      <c r="AF206" s="878">
        <v>206</v>
      </c>
      <c r="AG206" s="879" t="s">
        <v>402</v>
      </c>
      <c r="AH206" s="268" t="s">
        <v>709</v>
      </c>
      <c r="AI206" s="799">
        <f t="shared" si="41"/>
        <v>194</v>
      </c>
      <c r="AJ206" s="880">
        <v>82500000</v>
      </c>
      <c r="AK206" s="875">
        <f t="shared" si="54"/>
        <v>0</v>
      </c>
      <c r="AL206" s="820"/>
      <c r="AM206" s="302">
        <f t="shared" si="55"/>
        <v>0</v>
      </c>
    </row>
    <row r="207" spans="1:39" s="6" customFormat="1">
      <c r="A207" s="817" t="s">
        <v>60</v>
      </c>
      <c r="B207" s="143">
        <f t="shared" si="40"/>
        <v>57000000</v>
      </c>
      <c r="C207" s="93" t="s">
        <v>36</v>
      </c>
      <c r="D207" s="93" t="s">
        <v>826</v>
      </c>
      <c r="E207" s="93" t="s">
        <v>822</v>
      </c>
      <c r="F207" s="93" t="s">
        <v>822</v>
      </c>
      <c r="G207" s="93" t="s">
        <v>55</v>
      </c>
      <c r="H207" s="2116" t="s">
        <v>1641</v>
      </c>
      <c r="I207" s="1361">
        <v>437</v>
      </c>
      <c r="J207" s="203">
        <v>0</v>
      </c>
      <c r="K207" s="503"/>
      <c r="L207" s="270">
        <v>271</v>
      </c>
      <c r="M207" s="193">
        <v>57000000</v>
      </c>
      <c r="N207" s="498">
        <f>VLOOKUP(L207,[6]RP!I$249:J$307,2,0)</f>
        <v>278</v>
      </c>
      <c r="O207" s="154">
        <v>57000000</v>
      </c>
      <c r="P207" s="996">
        <v>246</v>
      </c>
      <c r="Q207" s="234"/>
      <c r="R207" s="153"/>
      <c r="S207" s="153">
        <v>3610000</v>
      </c>
      <c r="T207" s="153">
        <f>VLOOKUP(N207,[7]Hoja2!N$132:T$199,7,0)</f>
        <v>5700000</v>
      </c>
      <c r="U207" s="153">
        <v>5700000</v>
      </c>
      <c r="V207" s="153">
        <v>5700000</v>
      </c>
      <c r="W207" s="153">
        <v>5700000</v>
      </c>
      <c r="X207" s="153">
        <v>5700000</v>
      </c>
      <c r="Y207" s="153">
        <v>5700000</v>
      </c>
      <c r="Z207" s="153">
        <v>5700000</v>
      </c>
      <c r="AA207" s="153">
        <v>5700000</v>
      </c>
      <c r="AB207" s="153">
        <f>5700000+2090000</f>
        <v>7790000</v>
      </c>
      <c r="AC207" s="182">
        <f t="shared" si="44"/>
        <v>57000000</v>
      </c>
      <c r="AD207" s="391">
        <f t="shared" si="53"/>
        <v>0</v>
      </c>
      <c r="AF207" s="868">
        <v>437</v>
      </c>
      <c r="AG207" s="268" t="s">
        <v>659</v>
      </c>
      <c r="AH207" s="833" t="s">
        <v>710</v>
      </c>
      <c r="AI207" s="799">
        <f t="shared" si="41"/>
        <v>246</v>
      </c>
      <c r="AJ207" s="303">
        <v>57000000</v>
      </c>
      <c r="AK207" s="875">
        <f t="shared" si="54"/>
        <v>0</v>
      </c>
      <c r="AL207" s="820"/>
      <c r="AM207" s="302">
        <f t="shared" si="55"/>
        <v>0</v>
      </c>
    </row>
    <row r="208" spans="1:39" s="6" customFormat="1">
      <c r="A208" s="817" t="s">
        <v>60</v>
      </c>
      <c r="B208" s="143">
        <f t="shared" si="40"/>
        <v>3610000</v>
      </c>
      <c r="C208" s="93" t="s">
        <v>36</v>
      </c>
      <c r="D208" s="93" t="s">
        <v>826</v>
      </c>
      <c r="E208" s="93" t="s">
        <v>822</v>
      </c>
      <c r="F208" s="93" t="s">
        <v>822</v>
      </c>
      <c r="G208" s="93" t="s">
        <v>55</v>
      </c>
      <c r="H208" s="2116" t="s">
        <v>1641</v>
      </c>
      <c r="I208" s="1329" t="s">
        <v>325</v>
      </c>
      <c r="J208" s="203">
        <v>763</v>
      </c>
      <c r="K208" s="503">
        <v>3610000</v>
      </c>
      <c r="L208" s="270">
        <v>877</v>
      </c>
      <c r="M208" s="193">
        <v>3610000</v>
      </c>
      <c r="N208" s="498">
        <v>1036</v>
      </c>
      <c r="O208" s="1909">
        <v>3610000</v>
      </c>
      <c r="P208" s="996">
        <v>246</v>
      </c>
      <c r="Q208" s="234"/>
      <c r="R208" s="153"/>
      <c r="S208" s="153"/>
      <c r="T208" s="153"/>
      <c r="U208" s="153"/>
      <c r="V208" s="153"/>
      <c r="W208" s="153"/>
      <c r="X208" s="153"/>
      <c r="Y208" s="153"/>
      <c r="Z208" s="153"/>
      <c r="AA208" s="153"/>
      <c r="AB208" s="153">
        <v>3610000</v>
      </c>
      <c r="AC208" s="182">
        <f>SUM(Q208:AB208)</f>
        <v>3610000</v>
      </c>
      <c r="AD208" s="391">
        <f t="shared" si="53"/>
        <v>0</v>
      </c>
      <c r="AF208" s="868" t="s">
        <v>325</v>
      </c>
      <c r="AG208" s="268" t="s">
        <v>1476</v>
      </c>
      <c r="AH208" s="833" t="s">
        <v>710</v>
      </c>
      <c r="AI208" s="799">
        <f t="shared" si="41"/>
        <v>246</v>
      </c>
      <c r="AJ208" s="303">
        <v>3610000</v>
      </c>
      <c r="AK208" s="875">
        <f t="shared" si="54"/>
        <v>0</v>
      </c>
      <c r="AL208" s="820"/>
      <c r="AM208" s="302">
        <f t="shared" si="55"/>
        <v>0</v>
      </c>
    </row>
    <row r="209" spans="1:40" s="6" customFormat="1">
      <c r="A209" s="817" t="s">
        <v>60</v>
      </c>
      <c r="B209" s="143">
        <f t="shared" si="40"/>
        <v>30000000</v>
      </c>
      <c r="C209" s="93" t="s">
        <v>36</v>
      </c>
      <c r="D209" s="93" t="s">
        <v>826</v>
      </c>
      <c r="E209" s="93" t="s">
        <v>822</v>
      </c>
      <c r="F209" s="93" t="s">
        <v>822</v>
      </c>
      <c r="G209" s="93" t="s">
        <v>55</v>
      </c>
      <c r="H209" s="2116" t="s">
        <v>1641</v>
      </c>
      <c r="I209" s="979">
        <v>447</v>
      </c>
      <c r="J209" s="203">
        <v>0</v>
      </c>
      <c r="K209" s="503"/>
      <c r="L209" s="270">
        <v>367</v>
      </c>
      <c r="M209" s="193">
        <v>30000000</v>
      </c>
      <c r="N209" s="270">
        <v>379</v>
      </c>
      <c r="O209" s="816">
        <v>30000000</v>
      </c>
      <c r="P209" s="238">
        <v>296</v>
      </c>
      <c r="Q209" s="234"/>
      <c r="R209" s="143"/>
      <c r="S209" s="143"/>
      <c r="T209" s="153">
        <f>VLOOKUP(N209,[7]Hoja2!N$132:T$199,7,0)</f>
        <v>2000000</v>
      </c>
      <c r="U209" s="153">
        <v>5000000</v>
      </c>
      <c r="V209" s="153">
        <v>5000000</v>
      </c>
      <c r="W209" s="153">
        <v>5000000</v>
      </c>
      <c r="X209" s="153">
        <v>5000000</v>
      </c>
      <c r="Y209" s="153">
        <v>5000000</v>
      </c>
      <c r="Z209" s="153">
        <v>3000000</v>
      </c>
      <c r="AA209" s="153"/>
      <c r="AB209" s="153"/>
      <c r="AC209" s="182">
        <f>SUM(Q209:AB209)</f>
        <v>30000000</v>
      </c>
      <c r="AD209" s="391">
        <f t="shared" si="53"/>
        <v>0</v>
      </c>
      <c r="AF209" s="868">
        <v>447</v>
      </c>
      <c r="AG209" s="268" t="s">
        <v>747</v>
      </c>
      <c r="AH209" s="879" t="s">
        <v>813</v>
      </c>
      <c r="AI209" s="799">
        <f t="shared" si="41"/>
        <v>296</v>
      </c>
      <c r="AJ209" s="303">
        <f>31779333-1779333</f>
        <v>30000000</v>
      </c>
      <c r="AK209" s="875">
        <f t="shared" si="54"/>
        <v>0</v>
      </c>
      <c r="AL209" s="820"/>
      <c r="AM209" s="302">
        <f t="shared" si="55"/>
        <v>0</v>
      </c>
    </row>
    <row r="210" spans="1:40" s="6" customFormat="1">
      <c r="A210" s="817" t="s">
        <v>60</v>
      </c>
      <c r="B210" s="143">
        <f t="shared" si="40"/>
        <v>11166667</v>
      </c>
      <c r="C210" s="93" t="s">
        <v>36</v>
      </c>
      <c r="D210" s="93" t="s">
        <v>826</v>
      </c>
      <c r="E210" s="93" t="s">
        <v>822</v>
      </c>
      <c r="F210" s="93" t="s">
        <v>822</v>
      </c>
      <c r="G210" s="93" t="s">
        <v>55</v>
      </c>
      <c r="H210" s="2116" t="s">
        <v>1641</v>
      </c>
      <c r="I210" s="979" t="s">
        <v>173</v>
      </c>
      <c r="J210" s="203">
        <v>600</v>
      </c>
      <c r="K210" s="503">
        <v>15000000</v>
      </c>
      <c r="L210" s="808">
        <v>680</v>
      </c>
      <c r="M210" s="193">
        <f>15000000-15000000+15000000-3833333</f>
        <v>11166667</v>
      </c>
      <c r="N210" s="270">
        <v>835</v>
      </c>
      <c r="O210" s="816">
        <f>15000000-3833333</f>
        <v>11166667</v>
      </c>
      <c r="P210" s="238">
        <v>296</v>
      </c>
      <c r="Q210" s="234"/>
      <c r="R210" s="143"/>
      <c r="S210" s="143"/>
      <c r="T210" s="153"/>
      <c r="U210" s="153"/>
      <c r="V210" s="153"/>
      <c r="W210" s="153"/>
      <c r="X210" s="153"/>
      <c r="Y210" s="153"/>
      <c r="Z210" s="153">
        <v>2000000</v>
      </c>
      <c r="AA210" s="153">
        <v>5000000</v>
      </c>
      <c r="AB210" s="153">
        <v>4166667</v>
      </c>
      <c r="AC210" s="182">
        <f>SUM(Q210:AB210)</f>
        <v>11166667</v>
      </c>
      <c r="AD210" s="391">
        <f t="shared" si="53"/>
        <v>0</v>
      </c>
      <c r="AF210" s="868" t="s">
        <v>325</v>
      </c>
      <c r="AG210" s="268" t="s">
        <v>1245</v>
      </c>
      <c r="AH210" s="1905" t="s">
        <v>813</v>
      </c>
      <c r="AI210" s="799">
        <f>P210</f>
        <v>296</v>
      </c>
      <c r="AJ210" s="303">
        <f>15000000-3833333</f>
        <v>11166667</v>
      </c>
      <c r="AK210" s="875">
        <f t="shared" si="54"/>
        <v>0</v>
      </c>
      <c r="AL210" s="820"/>
      <c r="AM210" s="302">
        <f t="shared" si="55"/>
        <v>0</v>
      </c>
    </row>
    <row r="211" spans="1:40" s="6" customFormat="1">
      <c r="A211" s="817" t="s">
        <v>60</v>
      </c>
      <c r="B211" s="143">
        <f t="shared" si="40"/>
        <v>44940000</v>
      </c>
      <c r="C211" s="93" t="s">
        <v>36</v>
      </c>
      <c r="D211" s="93" t="s">
        <v>826</v>
      </c>
      <c r="E211" s="93" t="s">
        <v>822</v>
      </c>
      <c r="F211" s="93" t="s">
        <v>822</v>
      </c>
      <c r="G211" s="93" t="s">
        <v>55</v>
      </c>
      <c r="H211" s="2116" t="s">
        <v>1641</v>
      </c>
      <c r="I211" s="979">
        <v>448</v>
      </c>
      <c r="J211" s="203">
        <v>0</v>
      </c>
      <c r="K211" s="503"/>
      <c r="L211" s="270">
        <v>368</v>
      </c>
      <c r="M211" s="193">
        <v>44940000</v>
      </c>
      <c r="N211" s="270">
        <v>383</v>
      </c>
      <c r="O211" s="816">
        <v>44940000</v>
      </c>
      <c r="P211" s="238">
        <v>299</v>
      </c>
      <c r="Q211" s="234"/>
      <c r="R211" s="143"/>
      <c r="S211" s="143"/>
      <c r="T211" s="153"/>
      <c r="U211" s="153">
        <f>2746333+7490000</f>
        <v>10236333</v>
      </c>
      <c r="V211" s="153">
        <v>7490000</v>
      </c>
      <c r="W211" s="153">
        <v>7490000</v>
      </c>
      <c r="X211" s="153">
        <v>7490000</v>
      </c>
      <c r="Y211" s="153">
        <v>7490000</v>
      </c>
      <c r="Z211" s="153">
        <v>4743667</v>
      </c>
      <c r="AA211" s="153"/>
      <c r="AB211" s="153"/>
      <c r="AC211" s="182">
        <f>SUM(Q211:AB211)</f>
        <v>44940000</v>
      </c>
      <c r="AD211" s="391">
        <f t="shared" si="53"/>
        <v>0</v>
      </c>
      <c r="AF211" s="868">
        <v>448</v>
      </c>
      <c r="AG211" s="268" t="s">
        <v>748</v>
      </c>
      <c r="AH211" s="879" t="s">
        <v>814</v>
      </c>
      <c r="AI211" s="799">
        <f t="shared" si="41"/>
        <v>299</v>
      </c>
      <c r="AJ211" s="303">
        <v>44940000</v>
      </c>
      <c r="AK211" s="875">
        <f t="shared" si="54"/>
        <v>0</v>
      </c>
      <c r="AL211" s="820"/>
      <c r="AM211" s="302">
        <f t="shared" si="55"/>
        <v>0</v>
      </c>
    </row>
    <row r="212" spans="1:40" s="6" customFormat="1">
      <c r="A212" s="817" t="s">
        <v>60</v>
      </c>
      <c r="B212" s="143">
        <f t="shared" si="40"/>
        <v>0</v>
      </c>
      <c r="C212" s="93" t="s">
        <v>36</v>
      </c>
      <c r="D212" s="93" t="s">
        <v>826</v>
      </c>
      <c r="E212" s="93" t="s">
        <v>822</v>
      </c>
      <c r="F212" s="93" t="s">
        <v>822</v>
      </c>
      <c r="G212" s="93" t="s">
        <v>55</v>
      </c>
      <c r="H212" s="2116" t="s">
        <v>1641</v>
      </c>
      <c r="I212" s="979" t="s">
        <v>173</v>
      </c>
      <c r="J212" s="203">
        <v>601</v>
      </c>
      <c r="K212" s="503">
        <v>22470000</v>
      </c>
      <c r="L212" s="270">
        <v>681</v>
      </c>
      <c r="M212" s="193">
        <f>22470000-22470000</f>
        <v>0</v>
      </c>
      <c r="N212" s="270"/>
      <c r="O212" s="816"/>
      <c r="P212" s="238">
        <v>299</v>
      </c>
      <c r="Q212" s="234"/>
      <c r="R212" s="143"/>
      <c r="S212" s="143"/>
      <c r="T212" s="153"/>
      <c r="U212" s="153"/>
      <c r="V212" s="153"/>
      <c r="W212" s="153"/>
      <c r="X212" s="153"/>
      <c r="Y212" s="153"/>
      <c r="Z212" s="153"/>
      <c r="AA212" s="153"/>
      <c r="AB212" s="153"/>
      <c r="AC212" s="182">
        <f t="shared" ref="AC212:AC219" si="57">SUM(Q212:AB212)</f>
        <v>0</v>
      </c>
      <c r="AD212" s="391">
        <f t="shared" si="53"/>
        <v>0</v>
      </c>
      <c r="AF212" s="868" t="s">
        <v>325</v>
      </c>
      <c r="AG212" s="268" t="s">
        <v>1237</v>
      </c>
      <c r="AH212" s="879" t="s">
        <v>814</v>
      </c>
      <c r="AI212" s="799">
        <f t="shared" si="41"/>
        <v>299</v>
      </c>
      <c r="AJ212" s="303">
        <f>22470000-22470000</f>
        <v>0</v>
      </c>
      <c r="AK212" s="875">
        <f t="shared" si="54"/>
        <v>0</v>
      </c>
      <c r="AL212" s="820"/>
      <c r="AM212" s="302">
        <f t="shared" si="55"/>
        <v>0</v>
      </c>
    </row>
    <row r="213" spans="1:40" s="6" customFormat="1">
      <c r="A213" s="817" t="s">
        <v>60</v>
      </c>
      <c r="B213" s="143">
        <f t="shared" si="40"/>
        <v>42600000</v>
      </c>
      <c r="C213" s="93" t="s">
        <v>36</v>
      </c>
      <c r="D213" s="93" t="s">
        <v>826</v>
      </c>
      <c r="E213" s="93" t="s">
        <v>822</v>
      </c>
      <c r="F213" s="93" t="s">
        <v>822</v>
      </c>
      <c r="G213" s="93" t="s">
        <v>55</v>
      </c>
      <c r="H213" s="2116" t="s">
        <v>1641</v>
      </c>
      <c r="I213" s="979">
        <v>449</v>
      </c>
      <c r="J213" s="203">
        <v>0</v>
      </c>
      <c r="K213" s="503"/>
      <c r="L213" s="270">
        <v>369</v>
      </c>
      <c r="M213" s="193">
        <v>42600000</v>
      </c>
      <c r="N213" s="270">
        <v>378</v>
      </c>
      <c r="O213" s="816">
        <v>42600000</v>
      </c>
      <c r="P213" s="238">
        <v>295</v>
      </c>
      <c r="Q213" s="234"/>
      <c r="R213" s="143"/>
      <c r="S213" s="143"/>
      <c r="T213" s="153">
        <v>2840000</v>
      </c>
      <c r="U213" s="153">
        <v>7100000</v>
      </c>
      <c r="V213" s="153">
        <v>7100000</v>
      </c>
      <c r="W213" s="153">
        <v>7100000</v>
      </c>
      <c r="X213" s="153"/>
      <c r="Y213" s="153">
        <v>4023333</v>
      </c>
      <c r="Z213" s="153"/>
      <c r="AA213" s="153"/>
      <c r="AB213" s="153"/>
      <c r="AC213" s="182">
        <f t="shared" si="57"/>
        <v>28163333</v>
      </c>
      <c r="AD213" s="391">
        <f t="shared" si="53"/>
        <v>14436667</v>
      </c>
      <c r="AF213" s="868">
        <v>449</v>
      </c>
      <c r="AG213" s="268" t="s">
        <v>749</v>
      </c>
      <c r="AH213" s="879" t="s">
        <v>812</v>
      </c>
      <c r="AI213" s="799">
        <f t="shared" si="41"/>
        <v>295</v>
      </c>
      <c r="AJ213" s="303">
        <v>42600000</v>
      </c>
      <c r="AK213" s="875">
        <f t="shared" si="54"/>
        <v>0</v>
      </c>
      <c r="AL213" s="820"/>
      <c r="AM213" s="302">
        <f t="shared" si="55"/>
        <v>0</v>
      </c>
    </row>
    <row r="214" spans="1:40" s="6" customFormat="1">
      <c r="A214" s="817" t="s">
        <v>60</v>
      </c>
      <c r="B214" s="143">
        <f t="shared" si="40"/>
        <v>30900000</v>
      </c>
      <c r="C214" s="93" t="s">
        <v>36</v>
      </c>
      <c r="D214" s="93" t="s">
        <v>826</v>
      </c>
      <c r="E214" s="93" t="s">
        <v>822</v>
      </c>
      <c r="F214" s="93" t="s">
        <v>822</v>
      </c>
      <c r="G214" s="93" t="s">
        <v>55</v>
      </c>
      <c r="H214" s="2116" t="s">
        <v>1641</v>
      </c>
      <c r="I214" s="979">
        <v>455</v>
      </c>
      <c r="J214" s="203">
        <v>0</v>
      </c>
      <c r="K214" s="503"/>
      <c r="L214" s="270">
        <v>481</v>
      </c>
      <c r="M214" s="193">
        <v>30900000</v>
      </c>
      <c r="N214" s="270">
        <v>509</v>
      </c>
      <c r="O214" s="816">
        <v>30900000</v>
      </c>
      <c r="P214" s="238">
        <v>362</v>
      </c>
      <c r="Q214" s="234"/>
      <c r="R214" s="143"/>
      <c r="S214" s="143"/>
      <c r="T214" s="143"/>
      <c r="U214" s="143"/>
      <c r="V214" s="153">
        <v>1785333</v>
      </c>
      <c r="W214" s="153">
        <v>4120000</v>
      </c>
      <c r="X214" s="153">
        <f>4120000-4120000</f>
        <v>0</v>
      </c>
      <c r="Y214" s="153">
        <f>4120000+4120000</f>
        <v>8240000</v>
      </c>
      <c r="Z214" s="153">
        <v>4120000</v>
      </c>
      <c r="AA214" s="153">
        <v>4120000</v>
      </c>
      <c r="AB214" s="153">
        <f>4120000+4120000</f>
        <v>8240000</v>
      </c>
      <c r="AC214" s="182">
        <f t="shared" si="57"/>
        <v>30625333</v>
      </c>
      <c r="AD214" s="391">
        <f t="shared" ref="AD214:AD223" si="58">O214-AC214</f>
        <v>274667</v>
      </c>
      <c r="AF214" s="868">
        <v>455</v>
      </c>
      <c r="AG214" s="268" t="s">
        <v>876</v>
      </c>
      <c r="AH214" s="879" t="s">
        <v>980</v>
      </c>
      <c r="AI214" s="799">
        <f t="shared" si="41"/>
        <v>362</v>
      </c>
      <c r="AJ214" s="303">
        <f>32000000-1100000</f>
        <v>30900000</v>
      </c>
      <c r="AK214" s="875">
        <f t="shared" si="54"/>
        <v>0</v>
      </c>
      <c r="AL214" s="820"/>
      <c r="AM214" s="302">
        <f t="shared" si="55"/>
        <v>0</v>
      </c>
    </row>
    <row r="215" spans="1:40" s="6" customFormat="1">
      <c r="A215" s="817" t="s">
        <v>60</v>
      </c>
      <c r="B215" s="143">
        <f t="shared" si="40"/>
        <v>24000000</v>
      </c>
      <c r="C215" s="93" t="s">
        <v>36</v>
      </c>
      <c r="D215" s="93" t="s">
        <v>826</v>
      </c>
      <c r="E215" s="93" t="s">
        <v>822</v>
      </c>
      <c r="F215" s="93" t="s">
        <v>822</v>
      </c>
      <c r="G215" s="93" t="s">
        <v>55</v>
      </c>
      <c r="H215" s="2116" t="s">
        <v>1641</v>
      </c>
      <c r="I215" s="979">
        <v>540</v>
      </c>
      <c r="J215" s="203">
        <v>0</v>
      </c>
      <c r="K215" s="503"/>
      <c r="L215" s="270">
        <v>567</v>
      </c>
      <c r="M215" s="193">
        <v>24000000</v>
      </c>
      <c r="N215" s="270">
        <v>649</v>
      </c>
      <c r="O215" s="816">
        <v>24000000</v>
      </c>
      <c r="P215" s="238">
        <v>390</v>
      </c>
      <c r="Q215" s="234"/>
      <c r="R215" s="143"/>
      <c r="S215" s="143"/>
      <c r="T215" s="143"/>
      <c r="U215" s="143"/>
      <c r="V215" s="152"/>
      <c r="W215" s="153"/>
      <c r="X215" s="153">
        <v>4833333</v>
      </c>
      <c r="Y215" s="153">
        <v>5000000</v>
      </c>
      <c r="Z215" s="153">
        <v>5000000</v>
      </c>
      <c r="AA215" s="153">
        <v>5000000</v>
      </c>
      <c r="AB215" s="153">
        <v>4166667</v>
      </c>
      <c r="AC215" s="182">
        <f t="shared" si="57"/>
        <v>24000000</v>
      </c>
      <c r="AD215" s="391">
        <f t="shared" si="58"/>
        <v>0</v>
      </c>
      <c r="AF215" s="868">
        <v>540</v>
      </c>
      <c r="AG215" s="268" t="s">
        <v>1073</v>
      </c>
      <c r="AH215" s="879" t="s">
        <v>1113</v>
      </c>
      <c r="AI215" s="799">
        <f t="shared" si="41"/>
        <v>390</v>
      </c>
      <c r="AJ215" s="303">
        <v>24000000</v>
      </c>
      <c r="AK215" s="875">
        <f t="shared" ref="AK215:AK223" si="59">AJ215-O215</f>
        <v>0</v>
      </c>
      <c r="AL215" s="820"/>
      <c r="AM215" s="302">
        <f t="shared" ref="AM215:AM223" si="60">AJ215-M215</f>
        <v>0</v>
      </c>
    </row>
    <row r="216" spans="1:40" s="6" customFormat="1">
      <c r="A216" s="817" t="s">
        <v>60</v>
      </c>
      <c r="B216" s="143">
        <f t="shared" si="40"/>
        <v>0</v>
      </c>
      <c r="C216" s="93" t="s">
        <v>36</v>
      </c>
      <c r="D216" s="93" t="s">
        <v>826</v>
      </c>
      <c r="E216" s="93" t="s">
        <v>822</v>
      </c>
      <c r="F216" s="93" t="s">
        <v>822</v>
      </c>
      <c r="G216" s="93" t="s">
        <v>55</v>
      </c>
      <c r="H216" s="2116" t="s">
        <v>1641</v>
      </c>
      <c r="I216" s="1911" t="s">
        <v>325</v>
      </c>
      <c r="J216" s="203"/>
      <c r="K216" s="503"/>
      <c r="L216" s="270"/>
      <c r="M216" s="193"/>
      <c r="N216" s="270"/>
      <c r="O216" s="816"/>
      <c r="P216" s="238">
        <v>390</v>
      </c>
      <c r="Q216" s="234"/>
      <c r="R216" s="143"/>
      <c r="S216" s="143"/>
      <c r="T216" s="143"/>
      <c r="U216" s="143"/>
      <c r="V216" s="152"/>
      <c r="W216" s="153"/>
      <c r="X216" s="153"/>
      <c r="Y216" s="153"/>
      <c r="Z216" s="153"/>
      <c r="AA216" s="153"/>
      <c r="AB216" s="153"/>
      <c r="AC216" s="182">
        <f>SUM(Q216:AB216)</f>
        <v>0</v>
      </c>
      <c r="AD216" s="391">
        <f t="shared" si="58"/>
        <v>0</v>
      </c>
      <c r="AF216" s="868" t="s">
        <v>325</v>
      </c>
      <c r="AG216" s="268" t="s">
        <v>1478</v>
      </c>
      <c r="AH216" s="879" t="s">
        <v>1113</v>
      </c>
      <c r="AI216" s="799">
        <f t="shared" si="41"/>
        <v>390</v>
      </c>
      <c r="AJ216" s="303">
        <f>5833333-5833333</f>
        <v>0</v>
      </c>
      <c r="AK216" s="875">
        <f t="shared" si="59"/>
        <v>0</v>
      </c>
      <c r="AL216" s="820"/>
      <c r="AM216" s="302">
        <f t="shared" si="60"/>
        <v>0</v>
      </c>
    </row>
    <row r="217" spans="1:40" s="813" customFormat="1">
      <c r="A217" s="817" t="s">
        <v>60</v>
      </c>
      <c r="B217" s="143">
        <f t="shared" si="40"/>
        <v>0</v>
      </c>
      <c r="C217" s="93" t="s">
        <v>36</v>
      </c>
      <c r="D217" s="93" t="s">
        <v>826</v>
      </c>
      <c r="E217" s="93" t="s">
        <v>822</v>
      </c>
      <c r="F217" s="93" t="s">
        <v>822</v>
      </c>
      <c r="G217" s="93" t="s">
        <v>55</v>
      </c>
      <c r="H217" s="2116" t="s">
        <v>1641</v>
      </c>
      <c r="I217" s="979">
        <v>541</v>
      </c>
      <c r="J217" s="203">
        <v>0</v>
      </c>
      <c r="K217" s="764"/>
      <c r="L217" s="808"/>
      <c r="M217" s="807"/>
      <c r="N217" s="808"/>
      <c r="O217" s="807"/>
      <c r="P217" s="238"/>
      <c r="Q217" s="234"/>
      <c r="R217" s="143"/>
      <c r="S217" s="143"/>
      <c r="T217" s="143"/>
      <c r="U217" s="143"/>
      <c r="V217" s="153"/>
      <c r="W217" s="153"/>
      <c r="X217" s="153"/>
      <c r="Y217" s="153"/>
      <c r="Z217" s="153"/>
      <c r="AA217" s="153"/>
      <c r="AB217" s="153"/>
      <c r="AC217" s="182">
        <f t="shared" si="57"/>
        <v>0</v>
      </c>
      <c r="AD217" s="391">
        <f t="shared" si="58"/>
        <v>0</v>
      </c>
      <c r="AF217" s="868">
        <v>541</v>
      </c>
      <c r="AG217" s="351" t="s">
        <v>1074</v>
      </c>
      <c r="AH217" s="879" t="s">
        <v>173</v>
      </c>
      <c r="AI217" s="799">
        <f t="shared" si="41"/>
        <v>0</v>
      </c>
      <c r="AJ217" s="819">
        <f>21000000-21000000</f>
        <v>0</v>
      </c>
      <c r="AK217" s="875">
        <f t="shared" si="59"/>
        <v>0</v>
      </c>
      <c r="AL217" s="820"/>
      <c r="AM217" s="302">
        <f t="shared" si="60"/>
        <v>0</v>
      </c>
      <c r="AN217" s="1920"/>
    </row>
    <row r="218" spans="1:40" s="813" customFormat="1">
      <c r="A218" s="817" t="s">
        <v>60</v>
      </c>
      <c r="B218" s="143">
        <f t="shared" si="40"/>
        <v>15000000</v>
      </c>
      <c r="C218" s="93" t="s">
        <v>36</v>
      </c>
      <c r="D218" s="93" t="s">
        <v>826</v>
      </c>
      <c r="E218" s="93" t="s">
        <v>822</v>
      </c>
      <c r="F218" s="93" t="s">
        <v>822</v>
      </c>
      <c r="G218" s="93" t="s">
        <v>55</v>
      </c>
      <c r="H218" s="2116" t="s">
        <v>1641</v>
      </c>
      <c r="I218" s="979">
        <v>551</v>
      </c>
      <c r="J218" s="203"/>
      <c r="K218" s="764"/>
      <c r="L218" s="808">
        <v>602</v>
      </c>
      <c r="M218" s="807">
        <v>15000000</v>
      </c>
      <c r="N218" s="808">
        <v>731</v>
      </c>
      <c r="O218" s="807">
        <v>15000000</v>
      </c>
      <c r="P218" s="238">
        <v>431</v>
      </c>
      <c r="Q218" s="1353"/>
      <c r="R218" s="816"/>
      <c r="S218" s="816"/>
      <c r="T218" s="816"/>
      <c r="U218" s="816"/>
      <c r="V218" s="463"/>
      <c r="W218" s="153"/>
      <c r="X218" s="153"/>
      <c r="Y218" s="153">
        <v>3571428</v>
      </c>
      <c r="Z218" s="153">
        <v>4285714</v>
      </c>
      <c r="AA218" s="153">
        <v>4285714</v>
      </c>
      <c r="AB218" s="153">
        <v>2857144</v>
      </c>
      <c r="AC218" s="182">
        <f t="shared" si="57"/>
        <v>15000000</v>
      </c>
      <c r="AD218" s="391">
        <f t="shared" si="58"/>
        <v>0</v>
      </c>
      <c r="AF218" s="868">
        <v>551</v>
      </c>
      <c r="AG218" s="351" t="s">
        <v>1092</v>
      </c>
      <c r="AH218" s="879" t="s">
        <v>1200</v>
      </c>
      <c r="AI218" s="799">
        <f t="shared" si="41"/>
        <v>431</v>
      </c>
      <c r="AJ218" s="819">
        <v>15000000</v>
      </c>
      <c r="AK218" s="875">
        <f t="shared" si="59"/>
        <v>0</v>
      </c>
      <c r="AL218" s="820"/>
      <c r="AM218" s="302">
        <f t="shared" si="60"/>
        <v>0</v>
      </c>
    </row>
    <row r="219" spans="1:40" s="813" customFormat="1">
      <c r="A219" s="817" t="s">
        <v>60</v>
      </c>
      <c r="B219" s="143">
        <f t="shared" si="40"/>
        <v>33000000</v>
      </c>
      <c r="C219" s="93" t="s">
        <v>36</v>
      </c>
      <c r="D219" s="93" t="s">
        <v>826</v>
      </c>
      <c r="E219" s="93" t="s">
        <v>822</v>
      </c>
      <c r="F219" s="93" t="s">
        <v>822</v>
      </c>
      <c r="G219" s="93" t="s">
        <v>55</v>
      </c>
      <c r="H219" s="2116" t="s">
        <v>1641</v>
      </c>
      <c r="I219" s="979">
        <v>552</v>
      </c>
      <c r="J219" s="203"/>
      <c r="K219" s="764"/>
      <c r="L219" s="808">
        <v>590</v>
      </c>
      <c r="M219" s="807">
        <v>33000000</v>
      </c>
      <c r="N219" s="808">
        <v>660</v>
      </c>
      <c r="O219" s="807">
        <v>33000000</v>
      </c>
      <c r="P219" s="238">
        <v>404</v>
      </c>
      <c r="Q219" s="1353"/>
      <c r="R219" s="816"/>
      <c r="S219" s="816"/>
      <c r="T219" s="816"/>
      <c r="U219" s="816"/>
      <c r="V219" s="463"/>
      <c r="W219" s="153"/>
      <c r="X219" s="153">
        <v>5720000</v>
      </c>
      <c r="Y219" s="153">
        <v>6600000</v>
      </c>
      <c r="Z219" s="153">
        <v>6600000</v>
      </c>
      <c r="AA219" s="153">
        <f>1320000+5280000</f>
        <v>6600000</v>
      </c>
      <c r="AB219" s="153">
        <v>6600000</v>
      </c>
      <c r="AC219" s="182">
        <f t="shared" si="57"/>
        <v>32120000</v>
      </c>
      <c r="AD219" s="391">
        <f t="shared" si="58"/>
        <v>880000</v>
      </c>
      <c r="AF219" s="868">
        <v>552</v>
      </c>
      <c r="AG219" s="351" t="s">
        <v>1093</v>
      </c>
      <c r="AH219" s="879" t="s">
        <v>1432</v>
      </c>
      <c r="AI219" s="799">
        <f t="shared" si="41"/>
        <v>404</v>
      </c>
      <c r="AJ219" s="819">
        <v>33000000</v>
      </c>
      <c r="AK219" s="875">
        <f t="shared" si="59"/>
        <v>0</v>
      </c>
      <c r="AL219" s="820"/>
      <c r="AM219" s="302">
        <f t="shared" si="60"/>
        <v>0</v>
      </c>
    </row>
    <row r="220" spans="1:40" s="813" customFormat="1">
      <c r="A220" s="817" t="s">
        <v>60</v>
      </c>
      <c r="B220" s="143">
        <f t="shared" si="40"/>
        <v>5720000</v>
      </c>
      <c r="C220" s="93" t="s">
        <v>36</v>
      </c>
      <c r="D220" s="93" t="s">
        <v>826</v>
      </c>
      <c r="E220" s="93" t="s">
        <v>822</v>
      </c>
      <c r="F220" s="93" t="s">
        <v>822</v>
      </c>
      <c r="G220" s="93" t="s">
        <v>55</v>
      </c>
      <c r="H220" s="2116" t="s">
        <v>1641</v>
      </c>
      <c r="I220" s="1911" t="s">
        <v>325</v>
      </c>
      <c r="J220" s="203">
        <v>746</v>
      </c>
      <c r="K220" s="764">
        <v>5720000</v>
      </c>
      <c r="L220" s="808">
        <v>858</v>
      </c>
      <c r="M220" s="807">
        <v>5720000</v>
      </c>
      <c r="N220" s="808">
        <v>1021</v>
      </c>
      <c r="O220" s="807">
        <v>5720000</v>
      </c>
      <c r="P220" s="238">
        <v>404</v>
      </c>
      <c r="Q220" s="1353"/>
      <c r="R220" s="816"/>
      <c r="S220" s="816"/>
      <c r="T220" s="816"/>
      <c r="U220" s="816"/>
      <c r="V220" s="463"/>
      <c r="W220" s="463"/>
      <c r="X220" s="463"/>
      <c r="Y220" s="463"/>
      <c r="Z220" s="463"/>
      <c r="AA220" s="153"/>
      <c r="AB220" s="153"/>
      <c r="AC220" s="182">
        <f>SUM(Q220:AB220)</f>
        <v>0</v>
      </c>
      <c r="AD220" s="391">
        <f t="shared" si="58"/>
        <v>5720000</v>
      </c>
      <c r="AF220" s="868" t="s">
        <v>325</v>
      </c>
      <c r="AG220" s="351" t="s">
        <v>1479</v>
      </c>
      <c r="AH220" s="1905" t="s">
        <v>1553</v>
      </c>
      <c r="AI220" s="799">
        <f t="shared" si="41"/>
        <v>404</v>
      </c>
      <c r="AJ220" s="819">
        <v>5720000</v>
      </c>
      <c r="AK220" s="875">
        <f t="shared" si="59"/>
        <v>0</v>
      </c>
      <c r="AL220" s="820"/>
      <c r="AM220" s="302">
        <f t="shared" si="60"/>
        <v>0</v>
      </c>
    </row>
    <row r="221" spans="1:40" s="813" customFormat="1">
      <c r="A221" s="817" t="s">
        <v>60</v>
      </c>
      <c r="B221" s="143">
        <f t="shared" si="40"/>
        <v>7400000</v>
      </c>
      <c r="C221" s="93" t="s">
        <v>36</v>
      </c>
      <c r="D221" s="93" t="s">
        <v>826</v>
      </c>
      <c r="E221" s="93" t="s">
        <v>822</v>
      </c>
      <c r="F221" s="93" t="s">
        <v>822</v>
      </c>
      <c r="G221" s="93" t="s">
        <v>55</v>
      </c>
      <c r="H221" s="2116" t="s">
        <v>1641</v>
      </c>
      <c r="I221" s="979">
        <v>599</v>
      </c>
      <c r="J221" s="203"/>
      <c r="K221" s="764"/>
      <c r="L221" s="808">
        <v>749</v>
      </c>
      <c r="M221" s="807">
        <v>7400000</v>
      </c>
      <c r="N221" s="808">
        <v>930</v>
      </c>
      <c r="O221" s="807">
        <v>7400000</v>
      </c>
      <c r="P221" s="238">
        <v>487</v>
      </c>
      <c r="Q221" s="1353"/>
      <c r="R221" s="816"/>
      <c r="S221" s="816"/>
      <c r="T221" s="816"/>
      <c r="U221" s="816"/>
      <c r="V221" s="463"/>
      <c r="W221" s="463"/>
      <c r="X221" s="463"/>
      <c r="Y221" s="463"/>
      <c r="Z221" s="1354"/>
      <c r="AA221" s="153">
        <v>370000</v>
      </c>
      <c r="AB221" s="153">
        <f>3700000+3330000</f>
        <v>7030000</v>
      </c>
      <c r="AC221" s="182">
        <f>SUM(Q221:AB221)</f>
        <v>7400000</v>
      </c>
      <c r="AD221" s="391">
        <f t="shared" si="58"/>
        <v>0</v>
      </c>
      <c r="AF221" s="868">
        <v>599</v>
      </c>
      <c r="AG221" s="351" t="s">
        <v>1274</v>
      </c>
      <c r="AH221" s="879" t="s">
        <v>1369</v>
      </c>
      <c r="AI221" s="799">
        <f t="shared" si="41"/>
        <v>487</v>
      </c>
      <c r="AJ221" s="819">
        <f>7500000-100000</f>
        <v>7400000</v>
      </c>
      <c r="AK221" s="875">
        <f t="shared" si="59"/>
        <v>0</v>
      </c>
      <c r="AL221" s="820"/>
      <c r="AM221" s="302">
        <f t="shared" si="60"/>
        <v>0</v>
      </c>
    </row>
    <row r="222" spans="1:40" s="813" customFormat="1">
      <c r="A222" s="817" t="s">
        <v>60</v>
      </c>
      <c r="B222" s="143">
        <f t="shared" si="40"/>
        <v>0</v>
      </c>
      <c r="C222" s="93" t="s">
        <v>36</v>
      </c>
      <c r="D222" s="93" t="s">
        <v>826</v>
      </c>
      <c r="E222" s="93" t="s">
        <v>822</v>
      </c>
      <c r="F222" s="93" t="s">
        <v>822</v>
      </c>
      <c r="G222" s="93" t="s">
        <v>55</v>
      </c>
      <c r="H222" s="2116" t="s">
        <v>1641</v>
      </c>
      <c r="I222" s="979" t="s">
        <v>173</v>
      </c>
      <c r="J222" s="203"/>
      <c r="K222" s="764"/>
      <c r="L222" s="808"/>
      <c r="M222" s="807"/>
      <c r="N222" s="808"/>
      <c r="O222" s="807"/>
      <c r="P222" s="238"/>
      <c r="Q222" s="1353"/>
      <c r="R222" s="816"/>
      <c r="S222" s="816"/>
      <c r="T222" s="816"/>
      <c r="U222" s="816"/>
      <c r="V222" s="463"/>
      <c r="W222" s="463"/>
      <c r="X222" s="463"/>
      <c r="Y222" s="463"/>
      <c r="Z222" s="1354"/>
      <c r="AA222" s="1354"/>
      <c r="AB222" s="1354"/>
      <c r="AC222" s="182">
        <f>SUM(Q222:AB222)</f>
        <v>0</v>
      </c>
      <c r="AD222" s="391">
        <f t="shared" si="58"/>
        <v>0</v>
      </c>
      <c r="AF222" s="868"/>
      <c r="AG222" s="351"/>
      <c r="AH222" s="879"/>
      <c r="AI222" s="799">
        <f t="shared" si="41"/>
        <v>0</v>
      </c>
      <c r="AJ222" s="819"/>
      <c r="AK222" s="875">
        <f t="shared" si="59"/>
        <v>0</v>
      </c>
      <c r="AL222" s="820"/>
      <c r="AM222" s="302">
        <f t="shared" si="60"/>
        <v>0</v>
      </c>
    </row>
    <row r="223" spans="1:40" s="813" customFormat="1">
      <c r="A223" s="817" t="s">
        <v>60</v>
      </c>
      <c r="B223" s="143">
        <f t="shared" si="40"/>
        <v>0</v>
      </c>
      <c r="C223" s="93" t="s">
        <v>36</v>
      </c>
      <c r="D223" s="93" t="s">
        <v>826</v>
      </c>
      <c r="E223" s="93" t="s">
        <v>822</v>
      </c>
      <c r="F223" s="93" t="s">
        <v>822</v>
      </c>
      <c r="G223" s="93" t="s">
        <v>55</v>
      </c>
      <c r="H223" s="2116" t="s">
        <v>1641</v>
      </c>
      <c r="I223" s="979" t="s">
        <v>173</v>
      </c>
      <c r="J223" s="203"/>
      <c r="K223" s="764"/>
      <c r="L223" s="808"/>
      <c r="M223" s="807"/>
      <c r="N223" s="808"/>
      <c r="O223" s="807"/>
      <c r="P223" s="238"/>
      <c r="Q223" s="1353"/>
      <c r="R223" s="816"/>
      <c r="S223" s="816"/>
      <c r="T223" s="816"/>
      <c r="U223" s="816"/>
      <c r="V223" s="463"/>
      <c r="W223" s="463"/>
      <c r="X223" s="463"/>
      <c r="Y223" s="463"/>
      <c r="Z223" s="1354"/>
      <c r="AA223" s="1354"/>
      <c r="AB223" s="1354"/>
      <c r="AC223" s="182">
        <f>SUM(Q223:AB223)</f>
        <v>0</v>
      </c>
      <c r="AD223" s="391">
        <f t="shared" si="58"/>
        <v>0</v>
      </c>
      <c r="AF223" s="868" t="s">
        <v>325</v>
      </c>
      <c r="AG223" s="351" t="s">
        <v>493</v>
      </c>
      <c r="AH223" s="879"/>
      <c r="AI223" s="799">
        <f t="shared" si="41"/>
        <v>0</v>
      </c>
      <c r="AJ223" s="819">
        <f>9820000+23323334-32410000+319333-1052667</f>
        <v>0</v>
      </c>
      <c r="AK223" s="875">
        <f t="shared" si="59"/>
        <v>0</v>
      </c>
      <c r="AL223" s="820"/>
      <c r="AM223" s="302">
        <f t="shared" si="60"/>
        <v>0</v>
      </c>
    </row>
    <row r="224" spans="1:40" s="8" customFormat="1">
      <c r="A224" s="168" t="s">
        <v>24</v>
      </c>
      <c r="B224" s="265">
        <f>B118-SUM(B119:B223)</f>
        <v>567240</v>
      </c>
      <c r="C224" s="84"/>
      <c r="D224" s="84"/>
      <c r="E224" s="84"/>
      <c r="F224" s="84"/>
      <c r="G224" s="84"/>
      <c r="H224" s="2074"/>
      <c r="I224" s="945"/>
      <c r="J224" s="206"/>
      <c r="K224" s="1447"/>
      <c r="L224" s="101"/>
      <c r="M224" s="142">
        <f>SUM(M119:M223)</f>
        <v>2638608034</v>
      </c>
      <c r="N224" s="101"/>
      <c r="O224" s="142">
        <f>SUM(O118:O223)</f>
        <v>2638608034</v>
      </c>
      <c r="P224" s="181"/>
      <c r="Q224" s="142">
        <f t="shared" ref="Q224:AB224" si="61">SUM(Q118:Q223)</f>
        <v>0</v>
      </c>
      <c r="R224" s="142">
        <f t="shared" si="61"/>
        <v>49922664</v>
      </c>
      <c r="S224" s="142">
        <f t="shared" si="61"/>
        <v>176812969</v>
      </c>
      <c r="T224" s="142">
        <f t="shared" si="61"/>
        <v>199726667</v>
      </c>
      <c r="U224" s="142">
        <f t="shared" si="61"/>
        <v>228084333</v>
      </c>
      <c r="V224" s="142">
        <f t="shared" si="61"/>
        <v>227932000</v>
      </c>
      <c r="W224" s="142">
        <f t="shared" si="61"/>
        <v>228650000</v>
      </c>
      <c r="X224" s="142">
        <f t="shared" si="61"/>
        <v>229200000</v>
      </c>
      <c r="Y224" s="142">
        <f t="shared" si="61"/>
        <v>239988094</v>
      </c>
      <c r="Z224" s="142">
        <f t="shared" si="61"/>
        <v>230164113</v>
      </c>
      <c r="AA224" s="142">
        <f t="shared" si="61"/>
        <v>228478448</v>
      </c>
      <c r="AB224" s="142">
        <f t="shared" si="61"/>
        <v>416438377</v>
      </c>
      <c r="AC224" s="142">
        <f>SUM(AC119:AC223)</f>
        <v>2455397665</v>
      </c>
      <c r="AD224" s="142">
        <f>SUM(AD119:AD223)</f>
        <v>183210369</v>
      </c>
      <c r="AE224" s="142">
        <f>SUM(AE119:AE217)</f>
        <v>0</v>
      </c>
      <c r="AF224" s="852"/>
      <c r="AG224" s="14"/>
      <c r="AH224" s="14"/>
      <c r="AI224" s="101"/>
      <c r="AJ224" s="14">
        <f>SUM(AJ119:AJ223)</f>
        <v>2639175274</v>
      </c>
      <c r="AK224" s="181">
        <f>SUM(AK119:AK223)</f>
        <v>567240</v>
      </c>
      <c r="AL224" s="820">
        <f>B118-AJ224</f>
        <v>0</v>
      </c>
    </row>
    <row r="225" spans="1:39" s="8" customFormat="1" ht="24" customHeight="1">
      <c r="A225" s="602" t="s">
        <v>60</v>
      </c>
      <c r="B225" s="487">
        <v>1971000</v>
      </c>
      <c r="C225" s="744" t="s">
        <v>56</v>
      </c>
      <c r="D225" s="744" t="s">
        <v>826</v>
      </c>
      <c r="E225" s="744" t="s">
        <v>822</v>
      </c>
      <c r="F225" s="744" t="s">
        <v>822</v>
      </c>
      <c r="G225" s="744" t="s">
        <v>55</v>
      </c>
      <c r="H225" s="2117" t="s">
        <v>1641</v>
      </c>
      <c r="I225" s="971"/>
      <c r="J225" s="1074"/>
      <c r="K225" s="1453"/>
      <c r="L225" s="1075"/>
      <c r="M225" s="1076"/>
      <c r="N225" s="1075"/>
      <c r="O225" s="1076"/>
      <c r="P225" s="1077"/>
      <c r="Q225" s="1078"/>
      <c r="R225" s="1076"/>
      <c r="S225" s="1076"/>
      <c r="T225" s="1076"/>
      <c r="U225" s="1076"/>
      <c r="V225" s="1076"/>
      <c r="W225" s="1076"/>
      <c r="X225" s="1076"/>
      <c r="Y225" s="1076"/>
      <c r="Z225" s="1076"/>
      <c r="AA225" s="1076"/>
      <c r="AB225" s="1076"/>
      <c r="AC225" s="1079">
        <f>SUM(Q225:AB225)</f>
        <v>0</v>
      </c>
      <c r="AD225" s="1080">
        <f>O225-AC225</f>
        <v>0</v>
      </c>
      <c r="AE225" s="1081"/>
      <c r="AF225" s="1082"/>
      <c r="AG225" s="1083"/>
      <c r="AH225" s="1083"/>
      <c r="AI225" s="1084"/>
      <c r="AJ225" s="1085"/>
      <c r="AK225" s="1086"/>
      <c r="AL225" s="820"/>
    </row>
    <row r="226" spans="1:39" s="130" customFormat="1">
      <c r="A226" s="824" t="s">
        <v>60</v>
      </c>
      <c r="B226" s="736">
        <f>K226</f>
        <v>0</v>
      </c>
      <c r="C226" s="93" t="s">
        <v>56</v>
      </c>
      <c r="D226" s="93" t="s">
        <v>826</v>
      </c>
      <c r="E226" s="93" t="s">
        <v>822</v>
      </c>
      <c r="F226" s="93" t="s">
        <v>822</v>
      </c>
      <c r="G226" s="93" t="s">
        <v>55</v>
      </c>
      <c r="H226" s="2116" t="s">
        <v>1641</v>
      </c>
      <c r="I226" s="2101">
        <v>193</v>
      </c>
      <c r="J226" s="739">
        <v>0</v>
      </c>
      <c r="K226" s="228"/>
      <c r="L226" s="992">
        <v>152</v>
      </c>
      <c r="M226" s="193">
        <v>1971000</v>
      </c>
      <c r="N226" s="498">
        <v>186</v>
      </c>
      <c r="O226" s="193">
        <v>1971000</v>
      </c>
      <c r="P226" s="231">
        <v>139</v>
      </c>
      <c r="Q226" s="742"/>
      <c r="R226" s="740"/>
      <c r="S226" s="193">
        <v>1971000</v>
      </c>
      <c r="T226" s="153">
        <v>0</v>
      </c>
      <c r="U226" s="153"/>
      <c r="V226" s="153"/>
      <c r="W226" s="740"/>
      <c r="X226" s="740"/>
      <c r="Y226" s="740">
        <v>0</v>
      </c>
      <c r="Z226" s="740"/>
      <c r="AA226" s="153">
        <v>0</v>
      </c>
      <c r="AB226" s="740"/>
      <c r="AC226" s="182">
        <f>SUM(Q226:AB226)</f>
        <v>1971000</v>
      </c>
      <c r="AD226" s="391">
        <f>O226-AC226</f>
        <v>0</v>
      </c>
      <c r="AF226" s="873">
        <v>193</v>
      </c>
      <c r="AG226" s="310" t="s">
        <v>397</v>
      </c>
      <c r="AH226" s="316" t="s">
        <v>173</v>
      </c>
      <c r="AI226" s="799">
        <f>P226</f>
        <v>139</v>
      </c>
      <c r="AJ226" s="874">
        <v>1971000</v>
      </c>
      <c r="AK226" s="875">
        <f>AJ226-O226</f>
        <v>0</v>
      </c>
      <c r="AL226" s="822"/>
    </row>
    <row r="227" spans="1:39" s="8" customFormat="1">
      <c r="A227" s="168" t="s">
        <v>24</v>
      </c>
      <c r="B227" s="265">
        <f>B225-SUM(B226:B226)</f>
        <v>1971000</v>
      </c>
      <c r="C227" s="84"/>
      <c r="D227" s="84"/>
      <c r="E227" s="84"/>
      <c r="F227" s="84"/>
      <c r="G227" s="84"/>
      <c r="H227" s="2074"/>
      <c r="I227" s="945"/>
      <c r="J227" s="206"/>
      <c r="K227" s="1447"/>
      <c r="L227" s="101"/>
      <c r="M227" s="142">
        <f>SUM(M225:M226)</f>
        <v>1971000</v>
      </c>
      <c r="N227" s="101"/>
      <c r="O227" s="142">
        <f>SUM(O225:O226)</f>
        <v>1971000</v>
      </c>
      <c r="P227" s="181"/>
      <c r="Q227" s="142">
        <f>SUM(Q226)</f>
        <v>0</v>
      </c>
      <c r="R227" s="142">
        <f>SUM(R226)</f>
        <v>0</v>
      </c>
      <c r="S227" s="142">
        <f>SUM(S226)</f>
        <v>1971000</v>
      </c>
      <c r="T227" s="142">
        <f t="shared" ref="T227:AD227" si="62">SUM(T226)</f>
        <v>0</v>
      </c>
      <c r="U227" s="142">
        <f t="shared" si="62"/>
        <v>0</v>
      </c>
      <c r="V227" s="142">
        <f t="shared" si="62"/>
        <v>0</v>
      </c>
      <c r="W227" s="142">
        <f t="shared" si="62"/>
        <v>0</v>
      </c>
      <c r="X227" s="142">
        <f t="shared" si="62"/>
        <v>0</v>
      </c>
      <c r="Y227" s="142">
        <f t="shared" si="62"/>
        <v>0</v>
      </c>
      <c r="Z227" s="142">
        <f t="shared" si="62"/>
        <v>0</v>
      </c>
      <c r="AA227" s="142">
        <f t="shared" si="62"/>
        <v>0</v>
      </c>
      <c r="AB227" s="142">
        <f t="shared" si="62"/>
        <v>0</v>
      </c>
      <c r="AC227" s="142">
        <f t="shared" si="62"/>
        <v>1971000</v>
      </c>
      <c r="AD227" s="142">
        <f t="shared" si="62"/>
        <v>0</v>
      </c>
      <c r="AE227" s="142">
        <f>SUM(AE225:AE226)</f>
        <v>0</v>
      </c>
      <c r="AF227" s="852"/>
      <c r="AG227" s="14"/>
      <c r="AH227" s="14"/>
      <c r="AI227" s="101"/>
      <c r="AJ227" s="14">
        <f>SUM(AJ225:AJ226)</f>
        <v>1971000</v>
      </c>
      <c r="AK227" s="181">
        <f>SUM(AK225:AK226)</f>
        <v>0</v>
      </c>
      <c r="AL227" s="820">
        <f>B225-AJ227</f>
        <v>0</v>
      </c>
    </row>
    <row r="228" spans="1:39" s="6" customFormat="1" ht="31.5" customHeight="1">
      <c r="A228" s="748" t="s">
        <v>61</v>
      </c>
      <c r="B228" s="486">
        <f>267820000-8140000+5495333-1850000+4686667</f>
        <v>268012000</v>
      </c>
      <c r="C228" s="1300" t="s">
        <v>36</v>
      </c>
      <c r="D228" s="1300" t="s">
        <v>826</v>
      </c>
      <c r="E228" s="1300" t="s">
        <v>822</v>
      </c>
      <c r="F228" s="1300" t="s">
        <v>822</v>
      </c>
      <c r="G228" s="1300" t="s">
        <v>55</v>
      </c>
      <c r="H228" s="2118" t="s">
        <v>1641</v>
      </c>
      <c r="I228" s="972"/>
      <c r="J228" s="383">
        <v>0</v>
      </c>
      <c r="K228" s="1454"/>
      <c r="L228" s="447"/>
      <c r="M228" s="384"/>
      <c r="N228" s="447"/>
      <c r="O228" s="385"/>
      <c r="P228" s="386"/>
      <c r="Q228" s="387"/>
      <c r="R228" s="385"/>
      <c r="S228" s="385"/>
      <c r="T228" s="385"/>
      <c r="U228" s="385"/>
      <c r="V228" s="385"/>
      <c r="W228" s="385"/>
      <c r="X228" s="385"/>
      <c r="Y228" s="385"/>
      <c r="Z228" s="385"/>
      <c r="AA228" s="385"/>
      <c r="AB228" s="385"/>
      <c r="AC228" s="388"/>
      <c r="AD228" s="396"/>
      <c r="AF228" s="876"/>
      <c r="AG228" s="251"/>
      <c r="AH228" s="251"/>
      <c r="AI228" s="1041"/>
      <c r="AJ228" s="810"/>
      <c r="AK228" s="864"/>
      <c r="AL228" s="820"/>
    </row>
    <row r="229" spans="1:39" s="6" customFormat="1">
      <c r="A229" s="825" t="s">
        <v>61</v>
      </c>
      <c r="B229" s="143">
        <f t="shared" ref="B229:B238" si="63">M229</f>
        <v>55000000</v>
      </c>
      <c r="C229" s="214" t="s">
        <v>36</v>
      </c>
      <c r="D229" s="214" t="s">
        <v>826</v>
      </c>
      <c r="E229" s="214" t="s">
        <v>822</v>
      </c>
      <c r="F229" s="214" t="s">
        <v>822</v>
      </c>
      <c r="G229" s="214" t="s">
        <v>55</v>
      </c>
      <c r="H229" s="2119" t="s">
        <v>1641</v>
      </c>
      <c r="I229" s="1361">
        <v>121</v>
      </c>
      <c r="J229" s="502">
        <v>0</v>
      </c>
      <c r="K229" s="503"/>
      <c r="L229" s="992">
        <v>85</v>
      </c>
      <c r="M229" s="608">
        <v>55000000</v>
      </c>
      <c r="N229" s="498">
        <v>41</v>
      </c>
      <c r="O229" s="163">
        <v>55000000</v>
      </c>
      <c r="P229" s="231">
        <v>57</v>
      </c>
      <c r="Q229" s="234"/>
      <c r="R229" s="153">
        <v>2166667</v>
      </c>
      <c r="S229" s="153">
        <v>5000000</v>
      </c>
      <c r="T229" s="153">
        <f>VLOOKUP(N229,[7]Hoja2!N$132:T$199,7,0)</f>
        <v>5000000</v>
      </c>
      <c r="U229" s="153">
        <v>5000000</v>
      </c>
      <c r="V229" s="153">
        <v>5000000</v>
      </c>
      <c r="W229" s="153">
        <v>5000000</v>
      </c>
      <c r="X229" s="153">
        <v>5000000</v>
      </c>
      <c r="Y229" s="153">
        <v>5000000</v>
      </c>
      <c r="Z229" s="153">
        <v>5000000</v>
      </c>
      <c r="AA229" s="153">
        <v>5000000</v>
      </c>
      <c r="AB229" s="153">
        <f>5000000+2833333</f>
        <v>7833333</v>
      </c>
      <c r="AC229" s="182">
        <f>SUM(Q229:AB229)</f>
        <v>55000000</v>
      </c>
      <c r="AD229" s="391">
        <f t="shared" ref="AD229:AD238" si="64">O229-AC229</f>
        <v>0</v>
      </c>
      <c r="AF229" s="868">
        <v>121</v>
      </c>
      <c r="AG229" s="268" t="s">
        <v>403</v>
      </c>
      <c r="AH229" s="268" t="s">
        <v>711</v>
      </c>
      <c r="AI229" s="799">
        <f t="shared" ref="AI229:AI238" si="65">P229</f>
        <v>57</v>
      </c>
      <c r="AJ229" s="303">
        <v>55000000</v>
      </c>
      <c r="AK229" s="875">
        <f t="shared" ref="AK229:AK238" si="66">AJ229-O229</f>
        <v>0</v>
      </c>
      <c r="AL229" s="820"/>
      <c r="AM229" s="302">
        <f t="shared" ref="AM229:AM238" si="67">AJ229-M229</f>
        <v>0</v>
      </c>
    </row>
    <row r="230" spans="1:39" s="6" customFormat="1">
      <c r="A230" s="825" t="s">
        <v>61</v>
      </c>
      <c r="B230" s="143">
        <f t="shared" si="63"/>
        <v>7166667</v>
      </c>
      <c r="C230" s="214" t="s">
        <v>36</v>
      </c>
      <c r="D230" s="214" t="s">
        <v>826</v>
      </c>
      <c r="E230" s="214" t="s">
        <v>822</v>
      </c>
      <c r="F230" s="214" t="s">
        <v>822</v>
      </c>
      <c r="G230" s="214" t="s">
        <v>55</v>
      </c>
      <c r="H230" s="2119" t="s">
        <v>1641</v>
      </c>
      <c r="I230" s="1361" t="s">
        <v>325</v>
      </c>
      <c r="J230" s="502">
        <v>814</v>
      </c>
      <c r="K230" s="503">
        <v>7166667</v>
      </c>
      <c r="L230" s="992">
        <v>926</v>
      </c>
      <c r="M230" s="608">
        <v>7166667</v>
      </c>
      <c r="N230" s="498">
        <v>1089</v>
      </c>
      <c r="O230" s="163">
        <v>7166667</v>
      </c>
      <c r="P230" s="231">
        <v>57</v>
      </c>
      <c r="Q230" s="234"/>
      <c r="R230" s="153"/>
      <c r="S230" s="153"/>
      <c r="T230" s="153"/>
      <c r="U230" s="153"/>
      <c r="V230" s="153"/>
      <c r="W230" s="153"/>
      <c r="X230" s="153"/>
      <c r="Y230" s="153"/>
      <c r="Z230" s="153"/>
      <c r="AA230" s="153"/>
      <c r="AB230" s="153">
        <v>2166667</v>
      </c>
      <c r="AC230" s="182">
        <f>SUM(Q230:AB230)</f>
        <v>2166667</v>
      </c>
      <c r="AD230" s="391">
        <f t="shared" si="64"/>
        <v>5000000</v>
      </c>
      <c r="AF230" s="868" t="s">
        <v>325</v>
      </c>
      <c r="AG230" s="268" t="s">
        <v>1455</v>
      </c>
      <c r="AH230" s="268" t="s">
        <v>711</v>
      </c>
      <c r="AI230" s="799">
        <f t="shared" si="65"/>
        <v>57</v>
      </c>
      <c r="AJ230" s="303">
        <v>7166667</v>
      </c>
      <c r="AK230" s="875">
        <f t="shared" si="66"/>
        <v>0</v>
      </c>
      <c r="AL230" s="820"/>
      <c r="AM230" s="302">
        <f t="shared" si="67"/>
        <v>0</v>
      </c>
    </row>
    <row r="231" spans="1:39" s="6" customFormat="1">
      <c r="A231" s="825" t="s">
        <v>61</v>
      </c>
      <c r="B231" s="143">
        <f t="shared" si="63"/>
        <v>21630000</v>
      </c>
      <c r="C231" s="214" t="s">
        <v>36</v>
      </c>
      <c r="D231" s="214" t="s">
        <v>826</v>
      </c>
      <c r="E231" s="214" t="s">
        <v>822</v>
      </c>
      <c r="F231" s="214" t="s">
        <v>822</v>
      </c>
      <c r="G231" s="214" t="s">
        <v>55</v>
      </c>
      <c r="H231" s="2119" t="s">
        <v>1641</v>
      </c>
      <c r="I231" s="1361">
        <v>126</v>
      </c>
      <c r="J231" s="502">
        <v>0</v>
      </c>
      <c r="K231" s="503"/>
      <c r="L231" s="992">
        <v>245</v>
      </c>
      <c r="M231" s="608">
        <f>22660000-1030000</f>
        <v>21630000</v>
      </c>
      <c r="N231" s="498">
        <f>VLOOKUP(L231,[6]RP!I$249:J$307,2,0)</f>
        <v>233</v>
      </c>
      <c r="O231" s="154">
        <v>21630000</v>
      </c>
      <c r="P231" s="996">
        <v>211</v>
      </c>
      <c r="Q231" s="234"/>
      <c r="R231" s="153"/>
      <c r="S231" s="153">
        <v>1716666</v>
      </c>
      <c r="T231" s="153">
        <f>VLOOKUP(N231,[7]Hoja2!N$132:T$199,7,0)</f>
        <v>2060000</v>
      </c>
      <c r="U231" s="153">
        <v>2060000</v>
      </c>
      <c r="V231" s="153">
        <v>2060000</v>
      </c>
      <c r="W231" s="153">
        <v>2060000</v>
      </c>
      <c r="X231" s="153">
        <v>2060000</v>
      </c>
      <c r="Y231" s="153">
        <v>2060000</v>
      </c>
      <c r="Z231" s="153">
        <v>2060000</v>
      </c>
      <c r="AA231" s="153">
        <v>2060000</v>
      </c>
      <c r="AB231" s="153">
        <f>2060000+1373334</f>
        <v>3433334</v>
      </c>
      <c r="AC231" s="182">
        <f t="shared" ref="AC231:AC238" si="68">SUM(Q231:AB231)</f>
        <v>21630000</v>
      </c>
      <c r="AD231" s="391">
        <f t="shared" si="64"/>
        <v>0</v>
      </c>
      <c r="AF231" s="868" t="s">
        <v>1485</v>
      </c>
      <c r="AG231" s="268" t="s">
        <v>404</v>
      </c>
      <c r="AH231" s="833" t="s">
        <v>712</v>
      </c>
      <c r="AI231" s="799">
        <f t="shared" si="65"/>
        <v>211</v>
      </c>
      <c r="AJ231" s="303">
        <f>30800000-8140000-1030000</f>
        <v>21630000</v>
      </c>
      <c r="AK231" s="875">
        <f t="shared" si="66"/>
        <v>0</v>
      </c>
      <c r="AL231" s="820"/>
      <c r="AM231" s="302">
        <f t="shared" si="67"/>
        <v>0</v>
      </c>
    </row>
    <row r="232" spans="1:39" s="6" customFormat="1">
      <c r="A232" s="825" t="s">
        <v>61</v>
      </c>
      <c r="B232" s="143">
        <f t="shared" si="63"/>
        <v>2746667</v>
      </c>
      <c r="C232" s="214" t="s">
        <v>36</v>
      </c>
      <c r="D232" s="214" t="s">
        <v>826</v>
      </c>
      <c r="E232" s="214" t="s">
        <v>822</v>
      </c>
      <c r="F232" s="214" t="s">
        <v>822</v>
      </c>
      <c r="G232" s="214" t="s">
        <v>55</v>
      </c>
      <c r="H232" s="2119" t="s">
        <v>1641</v>
      </c>
      <c r="I232" s="1361" t="s">
        <v>325</v>
      </c>
      <c r="J232" s="502">
        <v>811</v>
      </c>
      <c r="K232" s="503">
        <v>2815333</v>
      </c>
      <c r="L232" s="992">
        <v>930</v>
      </c>
      <c r="M232" s="608">
        <f>2815333-68666</f>
        <v>2746667</v>
      </c>
      <c r="N232" s="498">
        <v>1125</v>
      </c>
      <c r="O232" s="154">
        <v>2746667</v>
      </c>
      <c r="P232" s="996">
        <v>211</v>
      </c>
      <c r="Q232" s="234"/>
      <c r="R232" s="153"/>
      <c r="S232" s="153"/>
      <c r="T232" s="153"/>
      <c r="U232" s="153"/>
      <c r="V232" s="153"/>
      <c r="W232" s="153"/>
      <c r="X232" s="153"/>
      <c r="Y232" s="153"/>
      <c r="Z232" s="153"/>
      <c r="AA232" s="153"/>
      <c r="AB232" s="153">
        <v>686666</v>
      </c>
      <c r="AC232" s="182">
        <f>SUM(Q232:AB232)</f>
        <v>686666</v>
      </c>
      <c r="AD232" s="391">
        <f t="shared" si="64"/>
        <v>2060001</v>
      </c>
      <c r="AF232" s="868" t="s">
        <v>325</v>
      </c>
      <c r="AG232" s="268" t="s">
        <v>1474</v>
      </c>
      <c r="AH232" s="833" t="s">
        <v>712</v>
      </c>
      <c r="AI232" s="799">
        <f t="shared" si="65"/>
        <v>211</v>
      </c>
      <c r="AJ232" s="303">
        <v>2815333</v>
      </c>
      <c r="AK232" s="875">
        <f t="shared" si="66"/>
        <v>68666</v>
      </c>
      <c r="AL232" s="820"/>
      <c r="AM232" s="302">
        <f t="shared" si="67"/>
        <v>68666</v>
      </c>
    </row>
    <row r="233" spans="1:39" s="6" customFormat="1">
      <c r="A233" s="825" t="s">
        <v>61</v>
      </c>
      <c r="B233" s="143">
        <f t="shared" si="63"/>
        <v>40700000</v>
      </c>
      <c r="C233" s="214" t="s">
        <v>36</v>
      </c>
      <c r="D233" s="214" t="s">
        <v>826</v>
      </c>
      <c r="E233" s="214" t="s">
        <v>822</v>
      </c>
      <c r="F233" s="214" t="s">
        <v>822</v>
      </c>
      <c r="G233" s="214" t="s">
        <v>55</v>
      </c>
      <c r="H233" s="2119" t="s">
        <v>1641</v>
      </c>
      <c r="I233" s="1361">
        <v>127</v>
      </c>
      <c r="J233" s="502">
        <v>0</v>
      </c>
      <c r="K233" s="503"/>
      <c r="L233" s="992">
        <v>148</v>
      </c>
      <c r="M233" s="608">
        <v>40700000</v>
      </c>
      <c r="N233" s="498">
        <v>68</v>
      </c>
      <c r="O233" s="163">
        <v>40700000</v>
      </c>
      <c r="P233" s="231">
        <v>129</v>
      </c>
      <c r="Q233" s="234"/>
      <c r="R233" s="153">
        <v>986667</v>
      </c>
      <c r="S233" s="153">
        <v>3700000</v>
      </c>
      <c r="T233" s="153">
        <f>VLOOKUP(N233,[7]Hoja2!N$132:T$199,7,0)</f>
        <v>3700000</v>
      </c>
      <c r="U233" s="153">
        <v>3700000</v>
      </c>
      <c r="V233" s="153">
        <v>3700000</v>
      </c>
      <c r="W233" s="153">
        <v>3700000</v>
      </c>
      <c r="X233" s="153">
        <v>3700000</v>
      </c>
      <c r="Y233" s="153">
        <v>3700000</v>
      </c>
      <c r="Z233" s="153">
        <v>3700000</v>
      </c>
      <c r="AA233" s="153">
        <v>3700000</v>
      </c>
      <c r="AB233" s="153">
        <f>3700000+2590000</f>
        <v>6290000</v>
      </c>
      <c r="AC233" s="182">
        <f t="shared" si="68"/>
        <v>40576667</v>
      </c>
      <c r="AD233" s="391">
        <f t="shared" si="64"/>
        <v>123333</v>
      </c>
      <c r="AF233" s="868">
        <v>127</v>
      </c>
      <c r="AG233" s="268" t="s">
        <v>405</v>
      </c>
      <c r="AH233" s="268" t="s">
        <v>713</v>
      </c>
      <c r="AI233" s="799">
        <f t="shared" si="65"/>
        <v>129</v>
      </c>
      <c r="AJ233" s="303">
        <v>40700000</v>
      </c>
      <c r="AK233" s="875">
        <f t="shared" si="66"/>
        <v>0</v>
      </c>
      <c r="AL233" s="820"/>
      <c r="AM233" s="302">
        <f t="shared" si="67"/>
        <v>0</v>
      </c>
    </row>
    <row r="234" spans="1:39" s="6" customFormat="1">
      <c r="A234" s="825" t="s">
        <v>61</v>
      </c>
      <c r="B234" s="143">
        <f t="shared" si="63"/>
        <v>4686667</v>
      </c>
      <c r="C234" s="214" t="s">
        <v>36</v>
      </c>
      <c r="D234" s="214" t="s">
        <v>826</v>
      </c>
      <c r="E234" s="214" t="s">
        <v>822</v>
      </c>
      <c r="F234" s="214" t="s">
        <v>822</v>
      </c>
      <c r="G234" s="214" t="s">
        <v>55</v>
      </c>
      <c r="H234" s="2119" t="s">
        <v>1641</v>
      </c>
      <c r="I234" s="1361" t="s">
        <v>325</v>
      </c>
      <c r="J234" s="502">
        <v>853</v>
      </c>
      <c r="K234" s="503">
        <v>4686667</v>
      </c>
      <c r="L234" s="992">
        <v>974</v>
      </c>
      <c r="M234" s="608">
        <v>4686667</v>
      </c>
      <c r="N234" s="498">
        <v>1140</v>
      </c>
      <c r="O234" s="163">
        <v>4686667</v>
      </c>
      <c r="P234" s="231">
        <v>129</v>
      </c>
      <c r="Q234" s="234"/>
      <c r="R234" s="153"/>
      <c r="S234" s="153"/>
      <c r="T234" s="153"/>
      <c r="U234" s="153"/>
      <c r="V234" s="153"/>
      <c r="W234" s="153"/>
      <c r="X234" s="153"/>
      <c r="Y234" s="153"/>
      <c r="Z234" s="153"/>
      <c r="AA234" s="153"/>
      <c r="AB234" s="153">
        <v>1110000</v>
      </c>
      <c r="AC234" s="182">
        <f t="shared" ref="AC234" si="69">SUM(Q234:AB234)</f>
        <v>1110000</v>
      </c>
      <c r="AD234" s="391">
        <f t="shared" si="64"/>
        <v>3576667</v>
      </c>
      <c r="AF234" s="1950" t="s">
        <v>325</v>
      </c>
      <c r="AG234" s="268" t="s">
        <v>1580</v>
      </c>
      <c r="AH234" s="268" t="s">
        <v>713</v>
      </c>
      <c r="AI234" s="799">
        <f t="shared" si="65"/>
        <v>129</v>
      </c>
      <c r="AJ234" s="1951">
        <v>4686667</v>
      </c>
      <c r="AK234" s="875">
        <f t="shared" si="66"/>
        <v>0</v>
      </c>
      <c r="AL234" s="820"/>
      <c r="AM234" s="302">
        <f t="shared" si="67"/>
        <v>0</v>
      </c>
    </row>
    <row r="235" spans="1:39" s="6" customFormat="1">
      <c r="A235" s="825" t="s">
        <v>61</v>
      </c>
      <c r="B235" s="143">
        <f t="shared" si="63"/>
        <v>94820000</v>
      </c>
      <c r="C235" s="214" t="s">
        <v>36</v>
      </c>
      <c r="D235" s="214" t="s">
        <v>826</v>
      </c>
      <c r="E235" s="214" t="s">
        <v>822</v>
      </c>
      <c r="F235" s="214" t="s">
        <v>822</v>
      </c>
      <c r="G235" s="214" t="s">
        <v>55</v>
      </c>
      <c r="H235" s="2119" t="s">
        <v>1641</v>
      </c>
      <c r="I235" s="1361">
        <v>133</v>
      </c>
      <c r="J235" s="502">
        <v>0</v>
      </c>
      <c r="K235" s="503"/>
      <c r="L235" s="992">
        <v>102</v>
      </c>
      <c r="M235" s="608">
        <v>94820000</v>
      </c>
      <c r="N235" s="498">
        <v>107</v>
      </c>
      <c r="O235" s="163">
        <v>94820000</v>
      </c>
      <c r="P235" s="231">
        <v>76</v>
      </c>
      <c r="Q235" s="234"/>
      <c r="R235" s="153">
        <v>2298667</v>
      </c>
      <c r="S235" s="153">
        <v>8620000</v>
      </c>
      <c r="T235" s="153">
        <f>VLOOKUP(N235,[7]Hoja2!N$132:T$199,7,0)</f>
        <v>8620000</v>
      </c>
      <c r="U235" s="153">
        <v>8620000</v>
      </c>
      <c r="V235" s="153">
        <v>8620000</v>
      </c>
      <c r="W235" s="153">
        <v>8620000</v>
      </c>
      <c r="X235" s="153">
        <v>8620000</v>
      </c>
      <c r="Y235" s="153">
        <v>8620000</v>
      </c>
      <c r="Z235" s="153">
        <v>8620000</v>
      </c>
      <c r="AA235" s="153">
        <v>8620000</v>
      </c>
      <c r="AB235" s="153">
        <f>8620000+6321333</f>
        <v>14941333</v>
      </c>
      <c r="AC235" s="182">
        <f t="shared" si="68"/>
        <v>94820000</v>
      </c>
      <c r="AD235" s="391">
        <f t="shared" si="64"/>
        <v>0</v>
      </c>
      <c r="AF235" s="868">
        <v>133</v>
      </c>
      <c r="AG235" s="268" t="s">
        <v>406</v>
      </c>
      <c r="AH235" s="268" t="s">
        <v>714</v>
      </c>
      <c r="AI235" s="799">
        <f t="shared" si="65"/>
        <v>76</v>
      </c>
      <c r="AJ235" s="303">
        <v>94820000</v>
      </c>
      <c r="AK235" s="875">
        <f t="shared" si="66"/>
        <v>0</v>
      </c>
      <c r="AL235" s="820"/>
      <c r="AM235" s="302">
        <f t="shared" si="67"/>
        <v>0</v>
      </c>
    </row>
    <row r="236" spans="1:39" s="6" customFormat="1">
      <c r="A236" s="825" t="s">
        <v>61</v>
      </c>
      <c r="B236" s="143">
        <f t="shared" si="63"/>
        <v>37000000</v>
      </c>
      <c r="C236" s="214" t="s">
        <v>36</v>
      </c>
      <c r="D236" s="214" t="s">
        <v>826</v>
      </c>
      <c r="E236" s="214" t="s">
        <v>822</v>
      </c>
      <c r="F236" s="214" t="s">
        <v>822</v>
      </c>
      <c r="G236" s="214" t="s">
        <v>55</v>
      </c>
      <c r="H236" s="2119" t="s">
        <v>1641</v>
      </c>
      <c r="I236" s="1361">
        <v>135</v>
      </c>
      <c r="J236" s="502">
        <v>0</v>
      </c>
      <c r="K236" s="503"/>
      <c r="L236" s="992">
        <v>318</v>
      </c>
      <c r="M236" s="608">
        <v>37000000</v>
      </c>
      <c r="N236" s="498">
        <v>325</v>
      </c>
      <c r="O236" s="154">
        <v>37000000</v>
      </c>
      <c r="P236" s="996">
        <v>272</v>
      </c>
      <c r="Q236" s="234"/>
      <c r="R236" s="152"/>
      <c r="S236" s="153"/>
      <c r="T236" s="153">
        <f>VLOOKUP(N236,[7]Hoja2!N$132:T$199,7,0)</f>
        <v>4193333</v>
      </c>
      <c r="U236" s="153">
        <f>3090000+3700000</f>
        <v>6790000</v>
      </c>
      <c r="V236" s="153">
        <v>3700000</v>
      </c>
      <c r="W236" s="153">
        <v>3700000</v>
      </c>
      <c r="X236" s="153">
        <v>3700000</v>
      </c>
      <c r="Y236" s="153">
        <v>610000</v>
      </c>
      <c r="Z236" s="153">
        <v>3700000</v>
      </c>
      <c r="AA236" s="153">
        <v>3700000</v>
      </c>
      <c r="AB236" s="153">
        <f>3700000+3206667</f>
        <v>6906667</v>
      </c>
      <c r="AC236" s="182">
        <f t="shared" si="68"/>
        <v>37000000</v>
      </c>
      <c r="AD236" s="391">
        <f t="shared" si="64"/>
        <v>0</v>
      </c>
      <c r="AF236" s="868">
        <v>135</v>
      </c>
      <c r="AG236" s="268" t="s">
        <v>407</v>
      </c>
      <c r="AH236" s="268" t="s">
        <v>950</v>
      </c>
      <c r="AI236" s="799">
        <f t="shared" si="65"/>
        <v>272</v>
      </c>
      <c r="AJ236" s="303">
        <f>46500000-9500000</f>
        <v>37000000</v>
      </c>
      <c r="AK236" s="875">
        <f t="shared" si="66"/>
        <v>0</v>
      </c>
      <c r="AL236" s="820"/>
      <c r="AM236" s="302">
        <f t="shared" si="67"/>
        <v>0</v>
      </c>
    </row>
    <row r="237" spans="1:39" s="6" customFormat="1">
      <c r="A237" s="825" t="s">
        <v>61</v>
      </c>
      <c r="B237" s="143">
        <f t="shared" si="63"/>
        <v>4193333</v>
      </c>
      <c r="C237" s="214" t="s">
        <v>36</v>
      </c>
      <c r="D237" s="214" t="s">
        <v>826</v>
      </c>
      <c r="E237" s="214" t="s">
        <v>822</v>
      </c>
      <c r="F237" s="214" t="s">
        <v>822</v>
      </c>
      <c r="G237" s="214" t="s">
        <v>55</v>
      </c>
      <c r="H237" s="2119" t="s">
        <v>1641</v>
      </c>
      <c r="I237" s="1910" t="s">
        <v>325</v>
      </c>
      <c r="J237" s="1954" t="s">
        <v>1567</v>
      </c>
      <c r="K237" s="503">
        <f>6043333-6043333+4193333</f>
        <v>4193333</v>
      </c>
      <c r="L237" s="270">
        <v>969</v>
      </c>
      <c r="M237" s="608">
        <f>6043333-6043333+4193333</f>
        <v>4193333</v>
      </c>
      <c r="N237" s="270">
        <v>1162</v>
      </c>
      <c r="O237" s="154">
        <v>4193333</v>
      </c>
      <c r="P237" s="996">
        <v>272</v>
      </c>
      <c r="Q237" s="234"/>
      <c r="R237" s="152"/>
      <c r="S237" s="152"/>
      <c r="T237" s="152"/>
      <c r="U237" s="152"/>
      <c r="V237" s="152"/>
      <c r="W237" s="152"/>
      <c r="X237" s="152"/>
      <c r="Y237" s="152"/>
      <c r="Z237" s="152"/>
      <c r="AA237" s="152"/>
      <c r="AB237" s="154">
        <v>493333</v>
      </c>
      <c r="AC237" s="182">
        <f t="shared" si="68"/>
        <v>493333</v>
      </c>
      <c r="AD237" s="391">
        <f t="shared" si="64"/>
        <v>3700000</v>
      </c>
      <c r="AF237" s="868" t="s">
        <v>325</v>
      </c>
      <c r="AG237" s="268" t="s">
        <v>1477</v>
      </c>
      <c r="AH237" s="268" t="s">
        <v>950</v>
      </c>
      <c r="AI237" s="799">
        <f t="shared" si="65"/>
        <v>272</v>
      </c>
      <c r="AJ237" s="303">
        <f>6043333-1850000</f>
        <v>4193333</v>
      </c>
      <c r="AK237" s="875">
        <f t="shared" si="66"/>
        <v>0</v>
      </c>
      <c r="AL237" s="820"/>
      <c r="AM237" s="302">
        <f t="shared" si="67"/>
        <v>0</v>
      </c>
    </row>
    <row r="238" spans="1:39" s="813" customFormat="1">
      <c r="A238" s="825" t="s">
        <v>61</v>
      </c>
      <c r="B238" s="143">
        <f t="shared" si="63"/>
        <v>0</v>
      </c>
      <c r="C238" s="214" t="s">
        <v>36</v>
      </c>
      <c r="D238" s="214" t="s">
        <v>826</v>
      </c>
      <c r="E238" s="214" t="s">
        <v>822</v>
      </c>
      <c r="F238" s="214" t="s">
        <v>822</v>
      </c>
      <c r="G238" s="214" t="s">
        <v>55</v>
      </c>
      <c r="H238" s="2119" t="s">
        <v>1641</v>
      </c>
      <c r="I238" s="959" t="s">
        <v>173</v>
      </c>
      <c r="J238" s="818">
        <v>0</v>
      </c>
      <c r="K238" s="764"/>
      <c r="L238" s="808"/>
      <c r="M238" s="608"/>
      <c r="N238" s="808"/>
      <c r="O238" s="143"/>
      <c r="P238" s="238"/>
      <c r="Q238" s="234"/>
      <c r="R238" s="154"/>
      <c r="S238" s="154"/>
      <c r="T238" s="154"/>
      <c r="U238" s="154"/>
      <c r="V238" s="153"/>
      <c r="W238" s="153"/>
      <c r="X238" s="153"/>
      <c r="Y238" s="153"/>
      <c r="Z238" s="152"/>
      <c r="AA238" s="152"/>
      <c r="AB238" s="152"/>
      <c r="AC238" s="182">
        <f t="shared" si="68"/>
        <v>0</v>
      </c>
      <c r="AD238" s="391">
        <f t="shared" si="64"/>
        <v>0</v>
      </c>
      <c r="AF238" s="868"/>
      <c r="AG238" s="351"/>
      <c r="AH238" s="268" t="s">
        <v>173</v>
      </c>
      <c r="AI238" s="799">
        <f t="shared" si="65"/>
        <v>0</v>
      </c>
      <c r="AJ238" s="819"/>
      <c r="AK238" s="875">
        <f t="shared" si="66"/>
        <v>0</v>
      </c>
      <c r="AL238" s="820"/>
      <c r="AM238" s="302">
        <f t="shared" si="67"/>
        <v>0</v>
      </c>
    </row>
    <row r="239" spans="1:39">
      <c r="A239" s="58" t="s">
        <v>24</v>
      </c>
      <c r="B239" s="490">
        <f>B228-SUM(B229:B238)</f>
        <v>68666</v>
      </c>
      <c r="C239" s="72"/>
      <c r="D239" s="72"/>
      <c r="E239" s="72"/>
      <c r="F239" s="72"/>
      <c r="G239" s="72"/>
      <c r="H239" s="2120"/>
      <c r="I239" s="973"/>
      <c r="J239" s="207"/>
      <c r="K239" s="1455"/>
      <c r="L239" s="458"/>
      <c r="M239" s="190">
        <f>SUM(M229:M238)</f>
        <v>267943334</v>
      </c>
      <c r="N239" s="458"/>
      <c r="O239" s="190">
        <f>SUM(O229:O238)</f>
        <v>267943334</v>
      </c>
      <c r="P239" s="239"/>
      <c r="Q239" s="190">
        <f>SUM(Q229:Q238)</f>
        <v>0</v>
      </c>
      <c r="R239" s="190">
        <f>SUM(R229:R238)</f>
        <v>5452001</v>
      </c>
      <c r="S239" s="190">
        <f>SUM(S229:S238)</f>
        <v>19036666</v>
      </c>
      <c r="T239" s="190">
        <f>SUM(T229:T238)</f>
        <v>23573333</v>
      </c>
      <c r="U239" s="190">
        <f t="shared" ref="U239:AD239" si="70">SUM(U229:U238)</f>
        <v>26170000</v>
      </c>
      <c r="V239" s="190">
        <f t="shared" si="70"/>
        <v>23080000</v>
      </c>
      <c r="W239" s="190">
        <f t="shared" si="70"/>
        <v>23080000</v>
      </c>
      <c r="X239" s="190">
        <f t="shared" si="70"/>
        <v>23080000</v>
      </c>
      <c r="Y239" s="190">
        <f t="shared" si="70"/>
        <v>19990000</v>
      </c>
      <c r="Z239" s="190">
        <f t="shared" si="70"/>
        <v>23080000</v>
      </c>
      <c r="AA239" s="190">
        <f t="shared" si="70"/>
        <v>23080000</v>
      </c>
      <c r="AB239" s="190">
        <f t="shared" si="70"/>
        <v>43861333</v>
      </c>
      <c r="AC239" s="190">
        <f t="shared" si="70"/>
        <v>253483333</v>
      </c>
      <c r="AD239" s="190">
        <f t="shared" si="70"/>
        <v>14460001</v>
      </c>
      <c r="AF239" s="881"/>
      <c r="AG239" s="882"/>
      <c r="AH239" s="882"/>
      <c r="AI239" s="458"/>
      <c r="AJ239" s="882">
        <f>SUM(AJ229:AJ238)</f>
        <v>268012000</v>
      </c>
      <c r="AK239" s="239">
        <f>SUM(AK229:AK238)</f>
        <v>68666</v>
      </c>
      <c r="AL239" s="821">
        <f>B228-AJ239</f>
        <v>0</v>
      </c>
    </row>
    <row r="240" spans="1:39" s="8" customFormat="1">
      <c r="A240" s="176"/>
      <c r="B240" s="491"/>
      <c r="C240" s="215"/>
      <c r="D240" s="215"/>
      <c r="E240" s="215"/>
      <c r="F240" s="215"/>
      <c r="G240" s="215"/>
      <c r="H240" s="2098"/>
      <c r="I240" s="974"/>
      <c r="J240" s="216"/>
      <c r="K240" s="1456"/>
      <c r="L240" s="459"/>
      <c r="M240" s="217"/>
      <c r="N240" s="459"/>
      <c r="O240" s="541"/>
      <c r="P240" s="240"/>
      <c r="Q240" s="235"/>
      <c r="R240" s="541"/>
      <c r="S240" s="541"/>
      <c r="T240" s="541"/>
      <c r="U240" s="541"/>
      <c r="V240" s="541"/>
      <c r="W240" s="541"/>
      <c r="X240" s="541"/>
      <c r="Y240" s="541"/>
      <c r="Z240" s="541"/>
      <c r="AA240" s="541"/>
      <c r="AB240" s="541"/>
      <c r="AC240" s="311"/>
      <c r="AD240" s="397"/>
      <c r="AF240" s="869"/>
      <c r="AG240" s="252"/>
      <c r="AH240" s="252"/>
      <c r="AI240" s="799"/>
      <c r="AJ240" s="304"/>
      <c r="AK240" s="871"/>
      <c r="AL240" s="820"/>
    </row>
    <row r="241" spans="1:38" ht="15.75" thickBot="1">
      <c r="A241" s="560" t="s">
        <v>170</v>
      </c>
      <c r="B241" s="492">
        <f>B17+B45+B75+B88+B117+B228</f>
        <v>5578162000</v>
      </c>
      <c r="C241" s="191"/>
      <c r="D241" s="191"/>
      <c r="E241" s="191"/>
      <c r="F241" s="191"/>
      <c r="G241" s="191"/>
      <c r="H241" s="2099"/>
      <c r="I241" s="975"/>
      <c r="J241" s="208"/>
      <c r="K241" s="1457"/>
      <c r="L241" s="460"/>
      <c r="M241" s="192">
        <f>M34+M39+M44+M66+M74+M87+M116+M224+M227+M239</f>
        <v>5573425534</v>
      </c>
      <c r="N241" s="460"/>
      <c r="O241" s="192">
        <f>O34+O39+O44+O66+O74+O87+O116+O224+O227+O239</f>
        <v>5573425534</v>
      </c>
      <c r="P241" s="241"/>
      <c r="Q241" s="192">
        <f t="shared" ref="Q241:AD241" si="71">Q34+Q39+Q44+Q66+Q74+Q87+Q116+Q224+Q227+Q239</f>
        <v>5808174</v>
      </c>
      <c r="R241" s="192">
        <f t="shared" si="71"/>
        <v>73612986</v>
      </c>
      <c r="S241" s="192">
        <f t="shared" si="71"/>
        <v>321065651</v>
      </c>
      <c r="T241" s="192">
        <f t="shared" si="71"/>
        <v>368083299</v>
      </c>
      <c r="U241" s="192">
        <f t="shared" si="71"/>
        <v>396986571</v>
      </c>
      <c r="V241" s="192">
        <f t="shared" si="71"/>
        <v>437927363</v>
      </c>
      <c r="W241" s="192">
        <f t="shared" si="71"/>
        <v>396502526</v>
      </c>
      <c r="X241" s="192">
        <f t="shared" si="71"/>
        <v>479642020</v>
      </c>
      <c r="Y241" s="192">
        <f t="shared" si="71"/>
        <v>439111746</v>
      </c>
      <c r="Z241" s="192">
        <f t="shared" si="71"/>
        <v>909904396</v>
      </c>
      <c r="AA241" s="192">
        <f t="shared" si="71"/>
        <v>413287990</v>
      </c>
      <c r="AB241" s="192">
        <f t="shared" si="71"/>
        <v>798094907</v>
      </c>
      <c r="AC241" s="1465">
        <f t="shared" si="71"/>
        <v>5040027629</v>
      </c>
      <c r="AD241" s="1466">
        <f t="shared" si="71"/>
        <v>533397905</v>
      </c>
      <c r="AF241" s="883"/>
      <c r="AG241" s="872"/>
      <c r="AH241" s="872"/>
      <c r="AI241" s="1042"/>
      <c r="AJ241" s="241">
        <f>AJ34+AJ39+AJ44+AJ66+AJ74+AJ87+AJ116+AJ224+AJ227+AJ239</f>
        <v>5578162000</v>
      </c>
      <c r="AK241" s="241">
        <f>AK34+AK39+AK44+AK66+AK74+AK87+AK116+AK224+AK227+AK239</f>
        <v>4736466</v>
      </c>
      <c r="AL241" s="241">
        <f>AL34+AL39+AL44+AL66+AL74+AL87+AL116+AL224+AL227+AL239</f>
        <v>0</v>
      </c>
    </row>
    <row r="242" spans="1:38" s="8" customFormat="1" ht="15">
      <c r="A242" s="750"/>
      <c r="B242" s="471"/>
      <c r="C242" s="74"/>
      <c r="D242" s="74"/>
      <c r="E242" s="74"/>
      <c r="F242" s="74"/>
      <c r="G242" s="74"/>
      <c r="H242" s="74"/>
      <c r="I242" s="976"/>
      <c r="J242" s="209"/>
      <c r="K242" s="1458"/>
      <c r="L242" s="275"/>
      <c r="M242" s="76"/>
      <c r="N242" s="275"/>
      <c r="O242" s="76"/>
      <c r="P242" s="76"/>
      <c r="Q242" s="76"/>
      <c r="R242" s="76"/>
      <c r="S242" s="76"/>
      <c r="T242" s="76"/>
      <c r="U242" s="76"/>
      <c r="V242" s="76"/>
      <c r="W242" s="76"/>
      <c r="X242" s="76"/>
      <c r="Y242" s="76"/>
      <c r="Z242" s="76"/>
      <c r="AA242" s="76"/>
      <c r="AB242" s="76"/>
      <c r="AC242" s="1421"/>
      <c r="AD242" s="1467"/>
      <c r="AF242" s="790"/>
      <c r="AI242" s="1043"/>
      <c r="AJ242" s="302"/>
      <c r="AK242" s="302"/>
      <c r="AL242" s="820"/>
    </row>
    <row r="243" spans="1:38" s="8" customFormat="1" ht="15">
      <c r="A243" s="750"/>
      <c r="B243" s="471"/>
      <c r="C243" s="74"/>
      <c r="D243" s="74"/>
      <c r="E243" s="74"/>
      <c r="F243" s="74"/>
      <c r="G243" s="74"/>
      <c r="H243" s="74"/>
      <c r="I243" s="976"/>
      <c r="J243" s="209"/>
      <c r="K243" s="1458"/>
      <c r="L243" s="275"/>
      <c r="M243" s="76"/>
      <c r="N243" s="275"/>
      <c r="O243" s="76"/>
      <c r="P243" s="76"/>
      <c r="Q243" s="76"/>
      <c r="R243" s="76"/>
      <c r="S243" s="76"/>
      <c r="T243" s="76"/>
      <c r="U243" s="76"/>
      <c r="V243" s="76"/>
      <c r="W243" s="76"/>
      <c r="X243" s="76"/>
      <c r="Y243" s="76"/>
      <c r="Z243" s="76"/>
      <c r="AA243" s="76"/>
      <c r="AB243" s="76"/>
      <c r="AC243" s="1421"/>
      <c r="AD243" s="1467"/>
      <c r="AF243" s="790"/>
      <c r="AI243" s="1043"/>
      <c r="AJ243" s="302"/>
      <c r="AK243" s="302"/>
      <c r="AL243" s="820"/>
    </row>
    <row r="244" spans="1:38" s="8" customFormat="1" ht="14.25">
      <c r="A244" s="595"/>
      <c r="B244" s="493"/>
      <c r="C244" s="73"/>
      <c r="D244" s="74"/>
      <c r="E244" s="74"/>
      <c r="F244" s="74"/>
      <c r="G244" s="74"/>
      <c r="H244" s="74"/>
      <c r="I244" s="976"/>
      <c r="J244" s="209"/>
      <c r="K244" s="1458"/>
      <c r="L244" s="275"/>
      <c r="M244" s="76"/>
      <c r="N244" s="275"/>
      <c r="O244" s="218"/>
      <c r="P244" s="219"/>
      <c r="Q244" s="218"/>
      <c r="R244" s="218"/>
      <c r="S244" s="218"/>
      <c r="T244" s="218"/>
      <c r="U244" s="218"/>
      <c r="V244" s="218"/>
      <c r="W244" s="218"/>
      <c r="X244" s="218"/>
      <c r="Y244" s="218"/>
      <c r="Z244" s="218"/>
      <c r="AA244" s="218"/>
      <c r="AB244" s="218"/>
      <c r="AC244" s="1468"/>
      <c r="AD244" s="1469"/>
      <c r="AF244" s="790"/>
      <c r="AI244" s="1043"/>
      <c r="AJ244" s="302"/>
      <c r="AK244" s="302"/>
      <c r="AL244" s="820"/>
    </row>
    <row r="245" spans="1:38" ht="14.25">
      <c r="A245" s="22" t="s">
        <v>30</v>
      </c>
      <c r="B245" s="126" t="s">
        <v>12</v>
      </c>
      <c r="C245" s="793"/>
      <c r="D245" s="793"/>
      <c r="E245" s="793"/>
      <c r="F245" s="793"/>
      <c r="G245" s="793"/>
      <c r="H245" s="2043"/>
      <c r="I245" s="210"/>
      <c r="J245" s="210"/>
      <c r="K245" s="1459"/>
      <c r="L245" s="178"/>
      <c r="M245" s="111"/>
      <c r="N245" s="103"/>
      <c r="O245" s="220"/>
      <c r="P245" s="221"/>
      <c r="Q245" s="220"/>
      <c r="R245" s="220"/>
      <c r="S245" s="220"/>
      <c r="T245" s="220"/>
      <c r="U245" s="220"/>
      <c r="V245" s="220"/>
      <c r="W245" s="220"/>
      <c r="X245" s="220"/>
      <c r="Y245" s="220"/>
      <c r="Z245" s="220"/>
      <c r="AA245" s="220"/>
      <c r="AB245" s="220"/>
      <c r="AC245" s="1470"/>
      <c r="AD245" s="1471"/>
    </row>
    <row r="246" spans="1:38" s="129" customFormat="1" ht="24.75" customHeight="1">
      <c r="A246" s="25" t="s">
        <v>31</v>
      </c>
      <c r="B246" s="77">
        <f>B18+B35+B40+B46+B67+B75+B88+B118+B225+B228</f>
        <v>5578162000</v>
      </c>
      <c r="C246" s="573"/>
      <c r="D246" s="573"/>
      <c r="E246" s="573"/>
      <c r="F246" s="573"/>
      <c r="G246" s="573"/>
      <c r="H246" s="573"/>
      <c r="I246" s="932"/>
      <c r="J246" s="223"/>
      <c r="K246" s="1460"/>
      <c r="L246" s="276"/>
      <c r="M246" s="112" t="s">
        <v>17</v>
      </c>
      <c r="N246" s="345" t="s">
        <v>18</v>
      </c>
      <c r="O246" s="24" t="s">
        <v>19</v>
      </c>
      <c r="P246" s="536" t="s">
        <v>136</v>
      </c>
      <c r="Q246" s="1410">
        <v>5808174</v>
      </c>
      <c r="R246" s="1410">
        <v>73612986</v>
      </c>
      <c r="S246" s="1410">
        <v>321065651</v>
      </c>
      <c r="T246" s="1410">
        <v>368083299</v>
      </c>
      <c r="U246" s="1410">
        <v>396986571</v>
      </c>
      <c r="V246" s="1410">
        <v>437927363</v>
      </c>
      <c r="W246" s="1410">
        <v>396502526</v>
      </c>
      <c r="X246" s="1410">
        <v>479642020</v>
      </c>
      <c r="Y246" s="1410">
        <v>439111746</v>
      </c>
      <c r="Z246" s="1410">
        <v>909904396</v>
      </c>
      <c r="AA246" s="1410">
        <v>413287990</v>
      </c>
      <c r="AB246" s="1410">
        <v>798094907</v>
      </c>
      <c r="AC246" s="1410">
        <f>SUM(Q246:AB246)</f>
        <v>5040027629</v>
      </c>
      <c r="AD246" s="1411">
        <f>O241-AC246</f>
        <v>533397905</v>
      </c>
      <c r="AF246" s="530"/>
      <c r="AI246" s="1044"/>
      <c r="AJ246" s="532"/>
      <c r="AK246" s="532"/>
      <c r="AL246" s="823"/>
    </row>
    <row r="247" spans="1:38" ht="15">
      <c r="A247" s="59"/>
      <c r="B247" s="312"/>
      <c r="C247" s="61"/>
      <c r="D247" s="2170"/>
      <c r="E247" s="2203"/>
      <c r="F247" s="2203"/>
      <c r="G247" s="2203"/>
      <c r="H247" s="2044"/>
      <c r="I247" s="951"/>
      <c r="J247" s="221"/>
      <c r="K247" s="577"/>
      <c r="L247" s="993"/>
      <c r="M247" s="1206">
        <f>M241</f>
        <v>5573425534</v>
      </c>
      <c r="N247" s="1206">
        <f>O241</f>
        <v>5573425534</v>
      </c>
      <c r="O247" s="1206">
        <f>AC241</f>
        <v>5040027629</v>
      </c>
      <c r="P247" s="221"/>
      <c r="Q247" s="220"/>
      <c r="R247" s="220"/>
      <c r="S247" s="220"/>
      <c r="T247" s="220"/>
      <c r="U247" s="220"/>
      <c r="V247" s="220"/>
      <c r="W247" s="220"/>
      <c r="X247" s="220"/>
      <c r="Y247" s="220"/>
      <c r="Z247" s="220"/>
      <c r="AA247" s="220"/>
      <c r="AB247" s="220"/>
      <c r="AC247" s="1470"/>
      <c r="AD247" s="1471"/>
    </row>
    <row r="248" spans="1:38" ht="24.75" customHeight="1">
      <c r="A248" s="752"/>
      <c r="B248" s="312"/>
      <c r="C248" s="61"/>
      <c r="D248" s="2236"/>
      <c r="E248" s="2236"/>
      <c r="F248" s="2236"/>
      <c r="G248" s="2236"/>
      <c r="H248" s="2046"/>
      <c r="I248" s="977" t="s">
        <v>1080</v>
      </c>
      <c r="J248" s="221"/>
      <c r="K248" s="577"/>
      <c r="L248" s="993"/>
      <c r="M248" s="1888"/>
      <c r="N248" s="461" t="s">
        <v>31</v>
      </c>
      <c r="O248" s="1206">
        <f>O241</f>
        <v>5573425534</v>
      </c>
      <c r="P248" s="221"/>
      <c r="Q248" s="348">
        <f t="shared" ref="Q248:AC248" si="72">Q34+Q39+Q44+Q66+Q74+Q87+Q116+Q224+Q227+Q239</f>
        <v>5808174</v>
      </c>
      <c r="R248" s="348">
        <f t="shared" si="72"/>
        <v>73612986</v>
      </c>
      <c r="S248" s="348">
        <f t="shared" si="72"/>
        <v>321065651</v>
      </c>
      <c r="T248" s="348">
        <f t="shared" si="72"/>
        <v>368083299</v>
      </c>
      <c r="U248" s="348">
        <f t="shared" si="72"/>
        <v>396986571</v>
      </c>
      <c r="V248" s="348">
        <f t="shared" si="72"/>
        <v>437927363</v>
      </c>
      <c r="W248" s="348">
        <f t="shared" si="72"/>
        <v>396502526</v>
      </c>
      <c r="X248" s="348">
        <f t="shared" si="72"/>
        <v>479642020</v>
      </c>
      <c r="Y248" s="348">
        <f t="shared" si="72"/>
        <v>439111746</v>
      </c>
      <c r="Z248" s="348">
        <f t="shared" si="72"/>
        <v>909904396</v>
      </c>
      <c r="AA248" s="348">
        <f t="shared" si="72"/>
        <v>413287990</v>
      </c>
      <c r="AB248" s="348">
        <f t="shared" si="72"/>
        <v>798094907</v>
      </c>
      <c r="AC248" s="348">
        <f t="shared" si="72"/>
        <v>5040027629</v>
      </c>
      <c r="AD248" s="1472">
        <f>O248-AC248</f>
        <v>533397905</v>
      </c>
    </row>
    <row r="249" spans="1:38" ht="13.5" thickBot="1">
      <c r="A249" s="596"/>
      <c r="B249" s="597"/>
      <c r="C249" s="598"/>
      <c r="D249" s="599"/>
      <c r="E249" s="69"/>
      <c r="F249" s="69"/>
      <c r="G249" s="69"/>
      <c r="H249" s="69"/>
      <c r="I249" s="978"/>
      <c r="J249" s="253"/>
      <c r="K249" s="567"/>
      <c r="L249" s="994"/>
      <c r="M249" s="497"/>
      <c r="N249" s="628"/>
      <c r="O249" s="570"/>
      <c r="P249" s="253"/>
      <c r="Q249" s="570"/>
      <c r="R249" s="570"/>
      <c r="S249" s="570"/>
      <c r="T249" s="570"/>
      <c r="U249" s="570"/>
      <c r="V249" s="570"/>
      <c r="W249" s="570"/>
      <c r="X249" s="570"/>
      <c r="Y249" s="570"/>
      <c r="Z249" s="570"/>
      <c r="AA249" s="570"/>
      <c r="AB249" s="570"/>
      <c r="AC249" s="570"/>
      <c r="AD249" s="572"/>
    </row>
    <row r="250" spans="1:38">
      <c r="A250" s="33"/>
      <c r="B250" s="128"/>
      <c r="C250" s="35"/>
      <c r="D250" s="36"/>
      <c r="AC250" s="116">
        <f>AC248-AC241</f>
        <v>0</v>
      </c>
    </row>
    <row r="251" spans="1:38" hidden="1">
      <c r="M251" s="353">
        <v>5573425534</v>
      </c>
      <c r="N251" s="353">
        <v>5573425534</v>
      </c>
      <c r="O251" s="403">
        <f>O247</f>
        <v>5040027629</v>
      </c>
      <c r="R251" s="116">
        <f>R248-R246</f>
        <v>0</v>
      </c>
      <c r="S251" s="116">
        <f>S246-S241</f>
        <v>0</v>
      </c>
      <c r="T251" s="116">
        <f>T246-T241</f>
        <v>0</v>
      </c>
      <c r="U251" s="116">
        <f t="shared" ref="U251:AA251" si="73">U246-U241</f>
        <v>0</v>
      </c>
      <c r="V251" s="116">
        <f t="shared" si="73"/>
        <v>0</v>
      </c>
      <c r="W251" s="116">
        <f t="shared" si="73"/>
        <v>0</v>
      </c>
      <c r="X251" s="116">
        <f t="shared" si="73"/>
        <v>0</v>
      </c>
      <c r="Y251" s="116">
        <f t="shared" si="73"/>
        <v>0</v>
      </c>
      <c r="Z251" s="116">
        <f t="shared" si="73"/>
        <v>0</v>
      </c>
      <c r="AA251" s="116">
        <f t="shared" si="73"/>
        <v>0</v>
      </c>
      <c r="AB251" s="116">
        <f>AB246-AB241</f>
        <v>0</v>
      </c>
    </row>
    <row r="252" spans="1:38" hidden="1">
      <c r="M252" s="353">
        <f>M247-M248-M251</f>
        <v>0</v>
      </c>
      <c r="N252" s="353">
        <f>N251-N247</f>
        <v>0</v>
      </c>
      <c r="O252" s="353">
        <f>O251-O247</f>
        <v>0</v>
      </c>
    </row>
    <row r="253" spans="1:38" hidden="1">
      <c r="A253" s="354" t="s">
        <v>41</v>
      </c>
      <c r="B253" s="494" t="s">
        <v>42</v>
      </c>
      <c r="C253" s="356" t="s">
        <v>151</v>
      </c>
      <c r="D253" s="356" t="s">
        <v>124</v>
      </c>
      <c r="E253" s="356" t="s">
        <v>125</v>
      </c>
      <c r="F253" s="356" t="s">
        <v>126</v>
      </c>
    </row>
    <row r="254" spans="1:38" hidden="1">
      <c r="A254" s="399">
        <v>112</v>
      </c>
      <c r="B254" s="164" t="s">
        <v>494</v>
      </c>
      <c r="C254" s="1523">
        <f>B18</f>
        <v>1431808172</v>
      </c>
      <c r="D254" s="302">
        <f>M34</f>
        <v>1427742596</v>
      </c>
      <c r="E254" s="302">
        <f>O34</f>
        <v>1427742596</v>
      </c>
      <c r="F254" s="302">
        <f>AC34</f>
        <v>1204268042</v>
      </c>
    </row>
    <row r="255" spans="1:38" hidden="1">
      <c r="A255" s="399">
        <v>112</v>
      </c>
      <c r="B255" s="1323" t="s">
        <v>918</v>
      </c>
      <c r="C255" s="1523">
        <f>B46</f>
        <v>280139823</v>
      </c>
      <c r="D255" s="302">
        <f>M66</f>
        <v>280116365</v>
      </c>
      <c r="E255" s="302">
        <f>O66</f>
        <v>280116365</v>
      </c>
      <c r="F255" s="1524">
        <f>AC66</f>
        <v>209453384</v>
      </c>
    </row>
    <row r="256" spans="1:38" s="405" customFormat="1" hidden="1">
      <c r="A256" s="399">
        <v>112</v>
      </c>
      <c r="B256" s="164" t="s">
        <v>496</v>
      </c>
      <c r="C256" s="1523">
        <f>B75+B88+B118+B228</f>
        <v>3689412607</v>
      </c>
      <c r="D256" s="302">
        <f>M87+M116+M224+M239</f>
        <v>3688776700</v>
      </c>
      <c r="E256" s="302">
        <f>O87+O116+O224+O239</f>
        <v>3688776700</v>
      </c>
      <c r="F256" s="1524">
        <f>AC87+AC116+AC224+AC239</f>
        <v>3449516330</v>
      </c>
      <c r="G256" s="1524"/>
      <c r="H256" s="1524"/>
      <c r="I256" s="402"/>
      <c r="J256" s="402"/>
      <c r="K256" s="165"/>
      <c r="L256" s="995"/>
      <c r="M256" s="353"/>
      <c r="N256" s="462"/>
      <c r="O256" s="403"/>
      <c r="P256" s="402"/>
      <c r="Q256" s="403"/>
      <c r="R256" s="403"/>
      <c r="S256" s="403"/>
      <c r="T256" s="403"/>
      <c r="U256" s="403"/>
      <c r="V256" s="403"/>
      <c r="W256" s="403"/>
      <c r="X256" s="403"/>
      <c r="Y256" s="403"/>
      <c r="Z256" s="403"/>
      <c r="AA256" s="403"/>
      <c r="AB256" s="403"/>
      <c r="AC256" s="403"/>
      <c r="AD256" s="403"/>
      <c r="AI256" s="462"/>
      <c r="AJ256" s="353"/>
      <c r="AK256" s="353"/>
      <c r="AL256" s="821"/>
    </row>
    <row r="257" spans="1:14" hidden="1">
      <c r="A257" s="399">
        <v>112</v>
      </c>
      <c r="B257" s="1323" t="s">
        <v>919</v>
      </c>
      <c r="C257" s="302">
        <f>B67</f>
        <v>104605398</v>
      </c>
      <c r="D257" s="302">
        <f>M74</f>
        <v>104605398</v>
      </c>
      <c r="E257" s="302">
        <f>O74</f>
        <v>104605398</v>
      </c>
      <c r="F257" s="1524">
        <f>AC74</f>
        <v>104605398</v>
      </c>
    </row>
    <row r="258" spans="1:14" hidden="1">
      <c r="A258" s="1325" t="s">
        <v>920</v>
      </c>
      <c r="B258" s="164" t="s">
        <v>494</v>
      </c>
      <c r="C258" s="302">
        <f>B35</f>
        <v>69775000</v>
      </c>
      <c r="D258" s="302">
        <f>M39</f>
        <v>69775000</v>
      </c>
      <c r="E258" s="302">
        <f>O39</f>
        <v>69775000</v>
      </c>
      <c r="F258" s="302">
        <f>AC39</f>
        <v>69775000</v>
      </c>
      <c r="N258" s="353"/>
    </row>
    <row r="259" spans="1:14" hidden="1">
      <c r="A259" s="1325" t="s">
        <v>920</v>
      </c>
      <c r="B259" s="164" t="s">
        <v>496</v>
      </c>
      <c r="C259" s="302">
        <f>B225</f>
        <v>1971000</v>
      </c>
      <c r="D259" s="302">
        <f>M227</f>
        <v>1971000</v>
      </c>
      <c r="E259" s="302">
        <f>O227</f>
        <v>1971000</v>
      </c>
      <c r="F259" s="1524">
        <f>AC227</f>
        <v>1971000</v>
      </c>
    </row>
    <row r="260" spans="1:14" hidden="1">
      <c r="A260" s="1324" t="s">
        <v>495</v>
      </c>
      <c r="B260" s="164" t="s">
        <v>494</v>
      </c>
      <c r="C260" s="302">
        <f>B40</f>
        <v>450000</v>
      </c>
      <c r="D260" s="302">
        <f>M44</f>
        <v>438475</v>
      </c>
      <c r="E260" s="302">
        <f>O44</f>
        <v>438475</v>
      </c>
      <c r="F260" s="302">
        <f>AC44</f>
        <v>438475</v>
      </c>
      <c r="N260" s="353"/>
    </row>
    <row r="261" spans="1:14" hidden="1">
      <c r="A261" s="404"/>
      <c r="B261" s="353" t="s">
        <v>127</v>
      </c>
      <c r="C261" s="353">
        <f>SUM(C254:C260)</f>
        <v>5578162000</v>
      </c>
      <c r="D261" s="353">
        <f>SUM(D254:D260)</f>
        <v>5573425534</v>
      </c>
      <c r="E261" s="353">
        <f>SUM(E254:E260)</f>
        <v>5573425534</v>
      </c>
      <c r="F261" s="353">
        <f>SUM(F254:F260)</f>
        <v>5040027629</v>
      </c>
    </row>
    <row r="262" spans="1:14" hidden="1">
      <c r="A262" s="495"/>
    </row>
    <row r="263" spans="1:14" hidden="1">
      <c r="B263" s="353"/>
    </row>
    <row r="264" spans="1:14" hidden="1">
      <c r="E264" s="114"/>
    </row>
    <row r="265" spans="1:14" hidden="1">
      <c r="A265" t="s">
        <v>766</v>
      </c>
      <c r="B265" s="114">
        <f>B45+B75+B88+B117+B228</f>
        <v>4076128828</v>
      </c>
      <c r="C265" s="114"/>
      <c r="D265" s="114"/>
    </row>
    <row r="266" spans="1:14" hidden="1">
      <c r="A266" t="s">
        <v>767</v>
      </c>
      <c r="B266" s="114">
        <f>B17</f>
        <v>1502033172</v>
      </c>
      <c r="C266" s="1327"/>
      <c r="D266" s="114"/>
      <c r="E266" s="28" t="s">
        <v>1585</v>
      </c>
    </row>
    <row r="267" spans="1:14" hidden="1">
      <c r="B267" s="2030">
        <f>SUM(B265:B266)</f>
        <v>5578162000</v>
      </c>
      <c r="C267" s="114"/>
      <c r="D267" s="114"/>
    </row>
    <row r="268" spans="1:14" hidden="1">
      <c r="C268" s="1327"/>
      <c r="D268" s="114"/>
    </row>
    <row r="269" spans="1:14">
      <c r="C269" s="114"/>
      <c r="D269" s="114"/>
    </row>
    <row r="270" spans="1:14">
      <c r="C270" s="1327"/>
      <c r="D270" s="114"/>
    </row>
    <row r="271" spans="1:14">
      <c r="C271" s="114"/>
      <c r="D271" s="114"/>
    </row>
  </sheetData>
  <autoFilter ref="A16:AL239"/>
  <mergeCells count="17">
    <mergeCell ref="D248:E248"/>
    <mergeCell ref="F248:G248"/>
    <mergeCell ref="A4:G4"/>
    <mergeCell ref="A5:G5"/>
    <mergeCell ref="A6:G6"/>
    <mergeCell ref="A7:G7"/>
    <mergeCell ref="A8:G8"/>
    <mergeCell ref="A9:G9"/>
    <mergeCell ref="B10:D10"/>
    <mergeCell ref="B11:G11"/>
    <mergeCell ref="B12:G12"/>
    <mergeCell ref="D247:E247"/>
    <mergeCell ref="F247:G247"/>
    <mergeCell ref="A1:A3"/>
    <mergeCell ref="B1:AD1"/>
    <mergeCell ref="B2:AD2"/>
    <mergeCell ref="B3:AD3"/>
  </mergeCells>
  <conditionalFormatting sqref="AD228 AD240 AD40:AD43 AK40:AK43 AD244:AD1048576 AD188 AD173:AD176 AD190:AD193 AD96:AD99 AD203 AD159:AD160 AD201 AD45:AD79 AD81:AD83 AD85:AD94 AD141:AD146 AD205:AD223 AD4:AD38 AK1:AK38 AD162:AD171 AD178:AD186 AD195:AD199 AD101:AD105 AD107:AD139 AD148:AD157 AK45:AK1048576 AM1:AM1048576">
    <cfRule type="cellIs" dxfId="173" priority="47" operator="lessThan">
      <formula>0</formula>
    </cfRule>
  </conditionalFormatting>
  <conditionalFormatting sqref="AD36:AD38">
    <cfRule type="cellIs" dxfId="172" priority="44" operator="lessThan">
      <formula>0</formula>
    </cfRule>
  </conditionalFormatting>
  <conditionalFormatting sqref="AD40:AD43">
    <cfRule type="cellIs" dxfId="171" priority="43" operator="lessThan">
      <formula>0</formula>
    </cfRule>
  </conditionalFormatting>
  <conditionalFormatting sqref="AD47:AD65">
    <cfRule type="cellIs" dxfId="170" priority="42" operator="lessThan">
      <formula>0</formula>
    </cfRule>
  </conditionalFormatting>
  <conditionalFormatting sqref="AD85:AD86 AD76:AD79 AD81:AD83">
    <cfRule type="cellIs" dxfId="169" priority="40" operator="lessThan">
      <formula>0</formula>
    </cfRule>
  </conditionalFormatting>
  <conditionalFormatting sqref="AD96:AD99 AD89:AD94">
    <cfRule type="cellIs" dxfId="168" priority="39" operator="lessThan">
      <formula>0</formula>
    </cfRule>
  </conditionalFormatting>
  <conditionalFormatting sqref="AD225:AD226">
    <cfRule type="cellIs" dxfId="167" priority="37" operator="lessThan">
      <formula>0</formula>
    </cfRule>
  </conditionalFormatting>
  <conditionalFormatting sqref="AD229:AD238">
    <cfRule type="cellIs" dxfId="166" priority="36" operator="lessThan">
      <formula>0</formula>
    </cfRule>
  </conditionalFormatting>
  <conditionalFormatting sqref="AD225:AD254">
    <cfRule type="cellIs" dxfId="165" priority="27" operator="lessThan">
      <formula>0</formula>
    </cfRule>
  </conditionalFormatting>
  <conditionalFormatting sqref="AD187">
    <cfRule type="cellIs" dxfId="164" priority="23" operator="lessThan">
      <formula>0</formula>
    </cfRule>
  </conditionalFormatting>
  <conditionalFormatting sqref="AD172">
    <cfRule type="cellIs" dxfId="163" priority="22" operator="lessThan">
      <formula>0</formula>
    </cfRule>
  </conditionalFormatting>
  <conditionalFormatting sqref="AD80">
    <cfRule type="cellIs" dxfId="162" priority="21" operator="lessThan">
      <formula>0</formula>
    </cfRule>
  </conditionalFormatting>
  <conditionalFormatting sqref="AD80">
    <cfRule type="cellIs" dxfId="161" priority="20" operator="lessThan">
      <formula>0</formula>
    </cfRule>
  </conditionalFormatting>
  <conditionalFormatting sqref="AD84">
    <cfRule type="cellIs" dxfId="160" priority="19" operator="lessThan">
      <formula>0</formula>
    </cfRule>
  </conditionalFormatting>
  <conditionalFormatting sqref="AD84">
    <cfRule type="cellIs" dxfId="159" priority="18" operator="lessThan">
      <formula>0</formula>
    </cfRule>
  </conditionalFormatting>
  <conditionalFormatting sqref="AD189">
    <cfRule type="cellIs" dxfId="158" priority="17" operator="lessThan">
      <formula>0</formula>
    </cfRule>
  </conditionalFormatting>
  <conditionalFormatting sqref="AD95">
    <cfRule type="cellIs" dxfId="157" priority="16" operator="lessThan">
      <formula>0</formula>
    </cfRule>
  </conditionalFormatting>
  <conditionalFormatting sqref="AD95">
    <cfRule type="cellIs" dxfId="156" priority="15" operator="lessThan">
      <formula>0</formula>
    </cfRule>
  </conditionalFormatting>
  <conditionalFormatting sqref="AD106">
    <cfRule type="cellIs" dxfId="155" priority="14" operator="lessThan">
      <formula>0</formula>
    </cfRule>
  </conditionalFormatting>
  <conditionalFormatting sqref="AD106">
    <cfRule type="cellIs" dxfId="154" priority="13" operator="lessThan">
      <formula>0</formula>
    </cfRule>
  </conditionalFormatting>
  <conditionalFormatting sqref="AD100">
    <cfRule type="cellIs" dxfId="153" priority="12" operator="lessThan">
      <formula>0</formula>
    </cfRule>
  </conditionalFormatting>
  <conditionalFormatting sqref="AD100">
    <cfRule type="cellIs" dxfId="152" priority="11" operator="lessThan">
      <formula>0</formula>
    </cfRule>
  </conditionalFormatting>
  <conditionalFormatting sqref="AD204">
    <cfRule type="cellIs" dxfId="151" priority="10" operator="lessThan">
      <formula>0</formula>
    </cfRule>
  </conditionalFormatting>
  <conditionalFormatting sqref="AD202">
    <cfRule type="cellIs" dxfId="150" priority="9" operator="lessThan">
      <formula>0</formula>
    </cfRule>
  </conditionalFormatting>
  <conditionalFormatting sqref="AD158">
    <cfRule type="cellIs" dxfId="149" priority="8" operator="lessThan">
      <formula>0</formula>
    </cfRule>
  </conditionalFormatting>
  <conditionalFormatting sqref="AD200">
    <cfRule type="cellIs" dxfId="148" priority="7" operator="lessThan">
      <formula>0</formula>
    </cfRule>
  </conditionalFormatting>
  <conditionalFormatting sqref="AD194">
    <cfRule type="cellIs" dxfId="147" priority="6" operator="lessThan">
      <formula>0</formula>
    </cfRule>
  </conditionalFormatting>
  <conditionalFormatting sqref="AD140">
    <cfRule type="cellIs" dxfId="146" priority="5" operator="lessThan">
      <formula>0</formula>
    </cfRule>
  </conditionalFormatting>
  <conditionalFormatting sqref="AD177">
    <cfRule type="cellIs" dxfId="145" priority="4" operator="lessThan">
      <formula>0</formula>
    </cfRule>
  </conditionalFormatting>
  <conditionalFormatting sqref="AD147">
    <cfRule type="cellIs" dxfId="144" priority="3" operator="lessThan">
      <formula>0</formula>
    </cfRule>
  </conditionalFormatting>
  <conditionalFormatting sqref="AD161">
    <cfRule type="cellIs" dxfId="143" priority="2" operator="lessThan">
      <formula>0</formula>
    </cfRule>
  </conditionalFormatting>
  <printOptions horizontalCentered="1" verticalCentered="1"/>
  <pageMargins left="0.70866141732283472" right="1.7322834645669292" top="0" bottom="0" header="0" footer="0"/>
  <pageSetup scale="35" fitToWidth="2" fitToHeight="2" orientation="landscape" r:id="rId1"/>
  <headerFooter alignWithMargins="0">
    <oddFooter xml:space="preserve">&amp;LVersión 3. 23/07/2019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9"/>
  <sheetViews>
    <sheetView zoomScale="90" zoomScaleNormal="90" workbookViewId="0">
      <selection sqref="A1:A3"/>
    </sheetView>
  </sheetViews>
  <sheetFormatPr baseColWidth="10" defaultRowHeight="12.75"/>
  <cols>
    <col min="1" max="1" width="31" customWidth="1"/>
    <col min="2" max="2" width="19" style="114" customWidth="1"/>
    <col min="3" max="3" width="30.7109375" customWidth="1"/>
    <col min="4" max="4" width="29.42578125" customWidth="1"/>
    <col min="5" max="5" width="20.85546875" customWidth="1"/>
    <col min="6" max="6" width="25.42578125" customWidth="1"/>
    <col min="7" max="8" width="26" customWidth="1"/>
    <col min="9" max="9" width="13.28515625" style="104" customWidth="1"/>
    <col min="10" max="10" width="13.42578125" style="505" customWidth="1"/>
    <col min="11" max="11" width="13.42578125" style="164" customWidth="1"/>
    <col min="12" max="12" width="9.42578125" style="134" customWidth="1"/>
    <col min="13" max="13" width="16.28515625" style="133" customWidth="1"/>
    <col min="14" max="14" width="16.5703125" style="134" customWidth="1"/>
    <col min="15" max="15" width="17.28515625" style="526" customWidth="1"/>
    <col min="16" max="16" width="11.42578125" style="134" customWidth="1"/>
    <col min="17" max="17" width="11.42578125" style="527" customWidth="1"/>
    <col min="18" max="18" width="14.140625" style="527" customWidth="1"/>
    <col min="19" max="20" width="15.28515625" style="526" customWidth="1"/>
    <col min="21" max="21" width="15" style="1339" customWidth="1"/>
    <col min="22" max="22" width="14.28515625" style="526" customWidth="1"/>
    <col min="23" max="23" width="14.28515625" style="527" customWidth="1"/>
    <col min="24" max="24" width="14.28515625" style="526" customWidth="1"/>
    <col min="25" max="25" width="18.5703125" style="526" customWidth="1"/>
    <col min="26" max="26" width="15.85546875" style="1339" customWidth="1"/>
    <col min="27" max="27" width="15.7109375" style="527" customWidth="1"/>
    <col min="28" max="28" width="15" style="1947" bestFit="1" customWidth="1"/>
    <col min="29" max="29" width="18" style="527" customWidth="1"/>
    <col min="30" max="30" width="17.140625" style="527" customWidth="1"/>
    <col min="31" max="31" width="4.140625" customWidth="1"/>
    <col min="32" max="32" width="11.42578125" hidden="1" customWidth="1"/>
    <col min="33" max="33" width="11.42578125" style="838" hidden="1" customWidth="1"/>
    <col min="34" max="34" width="13.28515625" style="1065" hidden="1" customWidth="1"/>
    <col min="35" max="35" width="11.42578125" style="104" hidden="1" customWidth="1"/>
    <col min="36" max="37" width="16.28515625" style="114" hidden="1" customWidth="1"/>
    <col min="38" max="38" width="14" style="823" hidden="1" customWidth="1"/>
    <col min="39" max="39" width="0" style="28" hidden="1" customWidth="1"/>
  </cols>
  <sheetData>
    <row r="1" spans="1:37" ht="42" customHeight="1" thickBot="1">
      <c r="A1" s="2205"/>
      <c r="B1" s="2233" t="s">
        <v>619</v>
      </c>
      <c r="C1" s="2234"/>
      <c r="D1" s="2234"/>
      <c r="E1" s="2234"/>
      <c r="F1" s="2234"/>
      <c r="G1" s="2234"/>
      <c r="H1" s="2234"/>
      <c r="I1" s="2234"/>
      <c r="J1" s="2234"/>
      <c r="K1" s="2234"/>
      <c r="L1" s="2234"/>
      <c r="M1" s="2234"/>
      <c r="N1" s="2234"/>
      <c r="O1" s="2234"/>
      <c r="P1" s="2234"/>
      <c r="Q1" s="2234"/>
      <c r="R1" s="2234"/>
      <c r="S1" s="2234"/>
      <c r="T1" s="2234"/>
      <c r="U1" s="2234"/>
      <c r="V1" s="2234"/>
      <c r="W1" s="2234"/>
      <c r="X1" s="2234"/>
      <c r="Y1" s="2234"/>
      <c r="Z1" s="2234"/>
      <c r="AA1" s="2234"/>
      <c r="AB1" s="2234"/>
      <c r="AC1" s="2234"/>
      <c r="AD1" s="2235"/>
    </row>
    <row r="2" spans="1:37" ht="42" customHeight="1" thickBot="1">
      <c r="A2" s="2206"/>
      <c r="B2" s="2233" t="s">
        <v>1161</v>
      </c>
      <c r="C2" s="2234"/>
      <c r="D2" s="2234"/>
      <c r="E2" s="2234"/>
      <c r="F2" s="2234"/>
      <c r="G2" s="2234"/>
      <c r="H2" s="2234"/>
      <c r="I2" s="2234"/>
      <c r="J2" s="2234"/>
      <c r="K2" s="2234"/>
      <c r="L2" s="2234"/>
      <c r="M2" s="2234"/>
      <c r="N2" s="2234"/>
      <c r="O2" s="2234"/>
      <c r="P2" s="2234"/>
      <c r="Q2" s="2234"/>
      <c r="R2" s="2234"/>
      <c r="S2" s="2234"/>
      <c r="T2" s="2234"/>
      <c r="U2" s="2234"/>
      <c r="V2" s="2234"/>
      <c r="W2" s="2234"/>
      <c r="X2" s="2234"/>
      <c r="Y2" s="2234"/>
      <c r="Z2" s="2234"/>
      <c r="AA2" s="2234"/>
      <c r="AB2" s="2234"/>
      <c r="AC2" s="2234"/>
      <c r="AD2" s="2235"/>
    </row>
    <row r="3" spans="1:37" ht="42" customHeight="1" thickBot="1">
      <c r="A3" s="2207"/>
      <c r="B3" s="2233" t="s">
        <v>1146</v>
      </c>
      <c r="C3" s="2234"/>
      <c r="D3" s="2234"/>
      <c r="E3" s="2234"/>
      <c r="F3" s="2234"/>
      <c r="G3" s="2234"/>
      <c r="H3" s="2234"/>
      <c r="I3" s="2234"/>
      <c r="J3" s="2234"/>
      <c r="K3" s="2234"/>
      <c r="L3" s="2234"/>
      <c r="M3" s="2234"/>
      <c r="N3" s="2234"/>
      <c r="O3" s="2234"/>
      <c r="P3" s="2234"/>
      <c r="Q3" s="2234"/>
      <c r="R3" s="2234"/>
      <c r="S3" s="2234"/>
      <c r="T3" s="2234"/>
      <c r="U3" s="2234"/>
      <c r="V3" s="2234"/>
      <c r="W3" s="2234"/>
      <c r="X3" s="2234"/>
      <c r="Y3" s="2234"/>
      <c r="Z3" s="2234"/>
      <c r="AA3" s="2234"/>
      <c r="AB3" s="2234"/>
      <c r="AC3" s="2234"/>
      <c r="AD3" s="2235"/>
    </row>
    <row r="4" spans="1:37">
      <c r="A4" s="2219" t="s">
        <v>0</v>
      </c>
      <c r="B4" s="2220"/>
      <c r="C4" s="2220"/>
      <c r="D4" s="2220"/>
      <c r="E4" s="2220"/>
      <c r="F4" s="2220"/>
      <c r="G4" s="2220"/>
      <c r="H4" s="2041"/>
      <c r="I4" s="997"/>
      <c r="J4" s="997"/>
      <c r="K4" s="1526"/>
      <c r="L4" s="1210"/>
      <c r="M4" s="1196"/>
      <c r="N4" s="1210"/>
      <c r="O4" s="1201"/>
      <c r="P4" s="1210"/>
      <c r="Q4" s="41"/>
      <c r="R4" s="41"/>
      <c r="S4" s="1194"/>
      <c r="T4" s="1302"/>
      <c r="U4" s="1332"/>
      <c r="V4" s="1355"/>
      <c r="W4" s="271"/>
      <c r="X4" s="1506"/>
      <c r="Y4" s="1055"/>
      <c r="Z4" s="194"/>
      <c r="AA4" s="271"/>
      <c r="AB4" s="1929"/>
      <c r="AC4" s="271"/>
      <c r="AD4" s="613"/>
    </row>
    <row r="5" spans="1:37">
      <c r="A5" s="2219" t="s">
        <v>410</v>
      </c>
      <c r="B5" s="2220"/>
      <c r="C5" s="2220"/>
      <c r="D5" s="2220"/>
      <c r="E5" s="2220"/>
      <c r="F5" s="2220"/>
      <c r="G5" s="2220"/>
      <c r="H5" s="2041"/>
      <c r="I5" s="997"/>
      <c r="J5" s="997"/>
      <c r="K5" s="1526"/>
      <c r="L5" s="1210"/>
      <c r="M5" s="1196"/>
      <c r="N5" s="1210"/>
      <c r="O5" s="1201"/>
      <c r="P5" s="1210"/>
      <c r="Q5" s="41"/>
      <c r="R5" s="41"/>
      <c r="S5" s="1194"/>
      <c r="T5" s="1302"/>
      <c r="U5" s="1332"/>
      <c r="V5" s="1355"/>
      <c r="W5" s="271"/>
      <c r="X5" s="1506"/>
      <c r="Y5" s="1055"/>
      <c r="Z5" s="194"/>
      <c r="AA5" s="271"/>
      <c r="AB5" s="1929"/>
      <c r="AC5" s="271"/>
      <c r="AD5" s="613"/>
    </row>
    <row r="6" spans="1:37">
      <c r="A6" s="2237" t="s">
        <v>62</v>
      </c>
      <c r="B6" s="2220"/>
      <c r="C6" s="2220"/>
      <c r="D6" s="2220"/>
      <c r="E6" s="2220"/>
      <c r="F6" s="2220"/>
      <c r="G6" s="2220"/>
      <c r="H6" s="2041"/>
      <c r="I6" s="997"/>
      <c r="J6" s="997"/>
      <c r="K6" s="1526"/>
      <c r="L6" s="1210"/>
      <c r="M6" s="1196"/>
      <c r="N6" s="1210"/>
      <c r="O6" s="1201"/>
      <c r="P6" s="1210"/>
      <c r="Q6" s="41"/>
      <c r="R6" s="41"/>
      <c r="S6" s="1194"/>
      <c r="T6" s="1302"/>
      <c r="U6" s="1332"/>
      <c r="V6" s="1355"/>
      <c r="W6" s="271"/>
      <c r="X6" s="1506"/>
      <c r="Y6" s="1055"/>
      <c r="Z6" s="194"/>
      <c r="AA6" s="271"/>
      <c r="AB6" s="1929"/>
      <c r="AC6" s="271"/>
      <c r="AD6" s="613"/>
    </row>
    <row r="7" spans="1:37">
      <c r="A7" s="2237" t="s">
        <v>63</v>
      </c>
      <c r="B7" s="2220"/>
      <c r="C7" s="2220"/>
      <c r="D7" s="2220"/>
      <c r="E7" s="2220"/>
      <c r="F7" s="2220"/>
      <c r="G7" s="2220"/>
      <c r="H7" s="2041"/>
      <c r="I7" s="997"/>
      <c r="J7" s="997"/>
      <c r="K7" s="1526"/>
      <c r="L7" s="1210"/>
      <c r="M7" s="1196"/>
      <c r="N7" s="1210"/>
      <c r="O7" s="1201"/>
      <c r="P7" s="1210"/>
      <c r="Q7" s="41"/>
      <c r="R7" s="41"/>
      <c r="S7" s="1194"/>
      <c r="T7" s="1302"/>
      <c r="U7" s="1332"/>
      <c r="V7" s="1355"/>
      <c r="W7" s="271"/>
      <c r="X7" s="1506"/>
      <c r="Y7" s="1055"/>
      <c r="Z7" s="194"/>
      <c r="AA7" s="271"/>
      <c r="AB7" s="1929"/>
      <c r="AC7" s="271"/>
      <c r="AD7" s="613"/>
    </row>
    <row r="8" spans="1:37">
      <c r="A8" s="2237" t="s">
        <v>64</v>
      </c>
      <c r="B8" s="2220"/>
      <c r="C8" s="2220"/>
      <c r="D8" s="2220"/>
      <c r="E8" s="2220"/>
      <c r="F8" s="2220"/>
      <c r="G8" s="2220"/>
      <c r="H8" s="2041"/>
      <c r="I8" s="997"/>
      <c r="J8" s="997"/>
      <c r="K8" s="1526"/>
      <c r="L8" s="1210"/>
      <c r="M8" s="1196"/>
      <c r="N8" s="1210"/>
      <c r="O8" s="1201"/>
      <c r="P8" s="1210"/>
      <c r="Q8" s="41"/>
      <c r="R8" s="41"/>
      <c r="S8" s="1194"/>
      <c r="T8" s="1302"/>
      <c r="U8" s="1332"/>
      <c r="V8" s="1355"/>
      <c r="W8" s="271"/>
      <c r="X8" s="1506"/>
      <c r="Y8" s="1055"/>
      <c r="Z8" s="194"/>
      <c r="AA8" s="271"/>
      <c r="AB8" s="1929"/>
      <c r="AC8" s="271"/>
      <c r="AD8" s="613"/>
    </row>
    <row r="9" spans="1:37">
      <c r="A9" s="2238" t="s">
        <v>65</v>
      </c>
      <c r="B9" s="2239"/>
      <c r="C9" s="2239"/>
      <c r="D9" s="2239"/>
      <c r="E9" s="2239"/>
      <c r="F9" s="2239"/>
      <c r="G9" s="2239"/>
      <c r="H9" s="2047"/>
      <c r="I9" s="997"/>
      <c r="J9" s="997"/>
      <c r="K9" s="1526"/>
      <c r="L9" s="1210"/>
      <c r="M9" s="1196"/>
      <c r="N9" s="1210"/>
      <c r="O9" s="1201"/>
      <c r="P9" s="1210"/>
      <c r="Q9" s="41"/>
      <c r="R9" s="41"/>
      <c r="S9" s="1194"/>
      <c r="T9" s="1302"/>
      <c r="U9" s="1332"/>
      <c r="V9" s="1355"/>
      <c r="W9" s="271"/>
      <c r="X9" s="1506"/>
      <c r="Y9" s="1055"/>
      <c r="Z9" s="194"/>
      <c r="AA9" s="271"/>
      <c r="AB9" s="1929"/>
      <c r="AC9" s="271"/>
      <c r="AD9" s="613"/>
    </row>
    <row r="10" spans="1:37">
      <c r="A10" s="287" t="s">
        <v>2</v>
      </c>
      <c r="B10" s="2220" t="s">
        <v>66</v>
      </c>
      <c r="C10" s="2220"/>
      <c r="D10" s="2220"/>
      <c r="E10" s="288"/>
      <c r="F10" s="288"/>
      <c r="G10" s="290"/>
      <c r="H10" s="288"/>
      <c r="I10" s="997"/>
      <c r="J10" s="997"/>
      <c r="K10" s="1526"/>
      <c r="L10" s="1210"/>
      <c r="M10" s="1196"/>
      <c r="N10" s="1210"/>
      <c r="O10" s="1201"/>
      <c r="P10" s="1210"/>
      <c r="Q10" s="41"/>
      <c r="R10" s="41"/>
      <c r="S10" s="1194"/>
      <c r="T10" s="1302"/>
      <c r="U10" s="1332"/>
      <c r="V10" s="1355"/>
      <c r="W10" s="271"/>
      <c r="X10" s="1506"/>
      <c r="Y10" s="1055"/>
      <c r="Z10" s="194"/>
      <c r="AA10" s="271"/>
      <c r="AB10" s="1929"/>
      <c r="AC10" s="271"/>
      <c r="AD10" s="613"/>
    </row>
    <row r="11" spans="1:37">
      <c r="A11" s="287" t="s">
        <v>4</v>
      </c>
      <c r="B11" s="2220" t="s">
        <v>67</v>
      </c>
      <c r="C11" s="2220"/>
      <c r="D11" s="2220"/>
      <c r="E11" s="2220"/>
      <c r="F11" s="2220"/>
      <c r="G11" s="2220"/>
      <c r="H11" s="2041"/>
      <c r="I11" s="997"/>
      <c r="J11" s="997"/>
      <c r="K11" s="1526"/>
      <c r="L11" s="1210"/>
      <c r="M11" s="1196"/>
      <c r="N11" s="1210"/>
      <c r="O11" s="1201"/>
      <c r="P11" s="1210"/>
      <c r="Q11" s="41"/>
      <c r="R11" s="41"/>
      <c r="S11" s="1194"/>
      <c r="T11" s="1302"/>
      <c r="U11" s="1332"/>
      <c r="V11" s="1355"/>
      <c r="W11" s="271"/>
      <c r="X11" s="1506"/>
      <c r="Y11" s="1055"/>
      <c r="Z11" s="194"/>
      <c r="AA11" s="271"/>
      <c r="AB11" s="1929"/>
      <c r="AC11" s="271"/>
      <c r="AD11" s="613"/>
    </row>
    <row r="12" spans="1:37">
      <c r="A12" s="289" t="s">
        <v>6</v>
      </c>
      <c r="B12" s="2220" t="s">
        <v>68</v>
      </c>
      <c r="C12" s="2220"/>
      <c r="D12" s="2220"/>
      <c r="E12" s="2220"/>
      <c r="F12" s="2220"/>
      <c r="G12" s="2220"/>
      <c r="H12" s="2041"/>
      <c r="I12" s="997"/>
      <c r="J12" s="997"/>
      <c r="K12" s="1526"/>
      <c r="L12" s="1210"/>
      <c r="M12" s="1196"/>
      <c r="N12" s="1210"/>
      <c r="O12" s="1201"/>
      <c r="P12" s="1210"/>
      <c r="Q12" s="41"/>
      <c r="R12" s="41"/>
      <c r="S12" s="1194"/>
      <c r="T12" s="1302"/>
      <c r="U12" s="1332"/>
      <c r="V12" s="1355"/>
      <c r="W12" s="271"/>
      <c r="X12" s="1506"/>
      <c r="Y12" s="1055"/>
      <c r="Z12" s="194"/>
      <c r="AA12" s="271"/>
      <c r="AB12" s="1929"/>
      <c r="AC12" s="271"/>
      <c r="AD12" s="613"/>
    </row>
    <row r="13" spans="1:37">
      <c r="A13" s="614" t="s">
        <v>8</v>
      </c>
      <c r="B13" s="298">
        <v>43809</v>
      </c>
      <c r="C13" s="295"/>
      <c r="D13" s="295"/>
      <c r="E13" s="295"/>
      <c r="F13" s="295"/>
      <c r="G13" s="296"/>
      <c r="H13" s="295"/>
      <c r="I13" s="997"/>
      <c r="J13" s="997"/>
      <c r="K13" s="1526"/>
      <c r="L13" s="1210"/>
      <c r="M13" s="1196"/>
      <c r="N13" s="1210"/>
      <c r="O13" s="1201"/>
      <c r="P13" s="1210"/>
      <c r="Q13" s="41"/>
      <c r="R13" s="41"/>
      <c r="S13" s="1194"/>
      <c r="T13" s="1302"/>
      <c r="U13" s="1332"/>
      <c r="V13" s="1355"/>
      <c r="W13" s="271"/>
      <c r="X13" s="1506"/>
      <c r="Y13" s="1055"/>
      <c r="Z13" s="194"/>
      <c r="AA13" s="271"/>
      <c r="AB13" s="1929"/>
      <c r="AC13" s="271"/>
      <c r="AD13" s="613"/>
    </row>
    <row r="14" spans="1:37">
      <c r="A14" s="836" t="s">
        <v>9</v>
      </c>
      <c r="B14" s="842">
        <f>D15-E15</f>
        <v>499660347</v>
      </c>
      <c r="C14" s="511" t="s">
        <v>135</v>
      </c>
      <c r="D14" s="511" t="s">
        <v>990</v>
      </c>
      <c r="E14" s="511" t="s">
        <v>991</v>
      </c>
      <c r="F14" s="299"/>
      <c r="G14" s="834"/>
      <c r="H14" s="2121"/>
      <c r="I14" s="998"/>
      <c r="J14" s="998"/>
      <c r="K14" s="1527"/>
      <c r="L14" s="1211"/>
      <c r="M14" s="1197"/>
      <c r="N14" s="1211"/>
      <c r="O14" s="1202"/>
      <c r="P14" s="1211"/>
      <c r="Q14" s="46"/>
      <c r="R14" s="46"/>
      <c r="S14" s="1195"/>
      <c r="T14" s="1303"/>
      <c r="U14" s="1333"/>
      <c r="V14" s="1356"/>
      <c r="W14" s="272"/>
      <c r="X14" s="1507"/>
      <c r="Y14" s="1056"/>
      <c r="Z14" s="195"/>
      <c r="AA14" s="272"/>
      <c r="AB14" s="1930"/>
      <c r="AC14" s="272"/>
      <c r="AD14" s="615"/>
    </row>
    <row r="15" spans="1:37" ht="28.5" customHeight="1" thickBot="1">
      <c r="A15" s="837" t="s">
        <v>69</v>
      </c>
      <c r="B15" s="835">
        <f>C15+B14</f>
        <v>2923660347</v>
      </c>
      <c r="C15" s="835">
        <v>2424000000</v>
      </c>
      <c r="D15" s="835">
        <v>499660347</v>
      </c>
      <c r="E15" s="835"/>
      <c r="F15" s="301"/>
      <c r="G15" s="297"/>
      <c r="H15" s="2122"/>
      <c r="I15" s="981"/>
      <c r="J15" s="981"/>
      <c r="K15" s="464"/>
      <c r="L15" s="1212"/>
      <c r="M15" s="1198"/>
      <c r="N15" s="1215"/>
      <c r="O15" s="1203"/>
      <c r="P15" s="1215"/>
      <c r="Q15" s="48"/>
      <c r="R15" s="48"/>
      <c r="S15" s="1232"/>
      <c r="T15" s="1232"/>
      <c r="U15" s="1334"/>
      <c r="V15" s="266"/>
      <c r="W15" s="273"/>
      <c r="X15" s="266"/>
      <c r="Y15" s="266"/>
      <c r="Z15" s="196"/>
      <c r="AA15" s="273"/>
      <c r="AB15" s="273"/>
      <c r="AC15" s="273"/>
      <c r="AD15" s="616"/>
    </row>
    <row r="16" spans="1:37" ht="38.25">
      <c r="A16" s="49" t="s">
        <v>11</v>
      </c>
      <c r="B16" s="264" t="s">
        <v>12</v>
      </c>
      <c r="C16" s="50" t="s">
        <v>13</v>
      </c>
      <c r="D16" s="50" t="s">
        <v>14</v>
      </c>
      <c r="E16" s="50" t="s">
        <v>15</v>
      </c>
      <c r="F16" s="50" t="s">
        <v>409</v>
      </c>
      <c r="G16" s="50" t="s">
        <v>16</v>
      </c>
      <c r="H16" s="2106"/>
      <c r="I16" s="2126" t="s">
        <v>500</v>
      </c>
      <c r="J16" s="106" t="s">
        <v>94</v>
      </c>
      <c r="K16" s="267" t="s">
        <v>129</v>
      </c>
      <c r="L16" s="106" t="s">
        <v>95</v>
      </c>
      <c r="M16" s="267" t="s">
        <v>17</v>
      </c>
      <c r="N16" s="1223" t="s">
        <v>96</v>
      </c>
      <c r="O16" s="1208" t="s">
        <v>115</v>
      </c>
      <c r="P16" s="1223" t="s">
        <v>97</v>
      </c>
      <c r="Q16" s="255" t="s">
        <v>98</v>
      </c>
      <c r="R16" s="254" t="s">
        <v>99</v>
      </c>
      <c r="S16" s="254" t="s">
        <v>100</v>
      </c>
      <c r="T16" s="254" t="s">
        <v>101</v>
      </c>
      <c r="U16" s="254" t="s">
        <v>102</v>
      </c>
      <c r="V16" s="254" t="s">
        <v>103</v>
      </c>
      <c r="W16" s="254" t="s">
        <v>104</v>
      </c>
      <c r="X16" s="254" t="s">
        <v>105</v>
      </c>
      <c r="Y16" s="254" t="s">
        <v>106</v>
      </c>
      <c r="Z16" s="254" t="s">
        <v>107</v>
      </c>
      <c r="AA16" s="254" t="s">
        <v>108</v>
      </c>
      <c r="AB16" s="278" t="s">
        <v>109</v>
      </c>
      <c r="AC16" s="255" t="s">
        <v>110</v>
      </c>
      <c r="AD16" s="278" t="s">
        <v>111</v>
      </c>
      <c r="AF16" s="859" t="s">
        <v>137</v>
      </c>
      <c r="AG16" s="860" t="s">
        <v>113</v>
      </c>
      <c r="AH16" s="1066" t="s">
        <v>114</v>
      </c>
      <c r="AI16" s="1031" t="s">
        <v>118</v>
      </c>
      <c r="AJ16" s="862" t="s">
        <v>121</v>
      </c>
      <c r="AK16" s="863" t="s">
        <v>128</v>
      </c>
    </row>
    <row r="17" spans="1:39" s="6" customFormat="1" ht="51" customHeight="1">
      <c r="A17" s="617" t="s">
        <v>72</v>
      </c>
      <c r="B17" s="486">
        <f>1610400000+1050000-4750000-56780000-107596667-4911668-5397333+1429834+3000000+4030000</f>
        <v>1440474166</v>
      </c>
      <c r="C17" s="1240" t="s">
        <v>36</v>
      </c>
      <c r="D17" s="1347" t="s">
        <v>829</v>
      </c>
      <c r="E17" s="1240" t="s">
        <v>70</v>
      </c>
      <c r="F17" s="1240" t="s">
        <v>411</v>
      </c>
      <c r="G17" s="2125" t="s">
        <v>71</v>
      </c>
      <c r="H17" s="2127" t="s">
        <v>1642</v>
      </c>
      <c r="I17" s="999"/>
      <c r="J17" s="500"/>
      <c r="K17" s="537"/>
      <c r="L17" s="1213"/>
      <c r="M17" s="1199"/>
      <c r="N17" s="1213"/>
      <c r="O17" s="1199"/>
      <c r="P17" s="1227"/>
      <c r="Q17" s="94"/>
      <c r="R17" s="94"/>
      <c r="S17" s="537"/>
      <c r="T17" s="537"/>
      <c r="U17" s="537"/>
      <c r="V17" s="537"/>
      <c r="W17" s="94"/>
      <c r="X17" s="537"/>
      <c r="Y17" s="537"/>
      <c r="Z17" s="537"/>
      <c r="AA17" s="94"/>
      <c r="AB17" s="1931"/>
      <c r="AC17" s="94"/>
      <c r="AD17" s="618"/>
      <c r="AF17" s="1385"/>
      <c r="AG17" s="537"/>
      <c r="AH17" s="537"/>
      <c r="AI17" s="537"/>
      <c r="AJ17" s="537"/>
      <c r="AK17" s="1386"/>
      <c r="AL17" s="822"/>
      <c r="AM17" s="1341"/>
    </row>
    <row r="18" spans="1:39" s="813" customFormat="1">
      <c r="A18" s="832" t="s">
        <v>72</v>
      </c>
      <c r="B18" s="765">
        <f>M18</f>
        <v>48000000</v>
      </c>
      <c r="C18" s="94" t="s">
        <v>36</v>
      </c>
      <c r="D18" s="94" t="s">
        <v>829</v>
      </c>
      <c r="E18" s="94" t="s">
        <v>70</v>
      </c>
      <c r="F18" s="94" t="s">
        <v>411</v>
      </c>
      <c r="G18" s="80" t="s">
        <v>71</v>
      </c>
      <c r="H18" s="1362" t="s">
        <v>1642</v>
      </c>
      <c r="I18" s="1907">
        <v>207</v>
      </c>
      <c r="J18" s="1008">
        <v>0</v>
      </c>
      <c r="K18" s="831"/>
      <c r="L18" s="1011">
        <v>251</v>
      </c>
      <c r="M18" s="764">
        <v>48000000</v>
      </c>
      <c r="N18" s="1011">
        <v>249</v>
      </c>
      <c r="O18" s="764">
        <v>48000000</v>
      </c>
      <c r="P18" s="1228">
        <v>216</v>
      </c>
      <c r="Q18" s="830"/>
      <c r="R18" s="830"/>
      <c r="S18" s="831">
        <v>3450000</v>
      </c>
      <c r="T18" s="831">
        <f>VLOOKUP(N18,[8]Hoja2!N$63:T$105,7,0)</f>
        <v>4500000</v>
      </c>
      <c r="U18" s="831">
        <v>4500000</v>
      </c>
      <c r="V18" s="831">
        <v>4500000</v>
      </c>
      <c r="W18" s="831">
        <v>4500000</v>
      </c>
      <c r="X18" s="831">
        <v>4500000</v>
      </c>
      <c r="Y18" s="831">
        <v>4500000</v>
      </c>
      <c r="Z18" s="831">
        <v>4500000</v>
      </c>
      <c r="AA18" s="831">
        <v>4500000</v>
      </c>
      <c r="AB18" s="1932">
        <f>4500000+4050000</f>
        <v>8550000</v>
      </c>
      <c r="AC18" s="233">
        <f t="shared" ref="AC18:AC49" si="0">SUM(Q18:AB18)</f>
        <v>48000000</v>
      </c>
      <c r="AD18" s="182">
        <f t="shared" ref="AD18:AD49" si="1">O18-AC18</f>
        <v>0</v>
      </c>
      <c r="AF18" s="865" t="s">
        <v>568</v>
      </c>
      <c r="AG18" s="802" t="s">
        <v>413</v>
      </c>
      <c r="AH18" s="1067" t="s">
        <v>721</v>
      </c>
      <c r="AI18" s="606">
        <f t="shared" ref="AI18:AI49" si="2">P18</f>
        <v>216</v>
      </c>
      <c r="AJ18" s="154">
        <f>49500000-1500000</f>
        <v>48000000</v>
      </c>
      <c r="AK18" s="866">
        <f t="shared" ref="AK18:AK49" si="3">AJ18-O18</f>
        <v>0</v>
      </c>
      <c r="AL18" s="822"/>
      <c r="AM18" s="1520">
        <f t="shared" ref="AM18:AM49" si="4">AJ18-M18</f>
        <v>0</v>
      </c>
    </row>
    <row r="19" spans="1:39" s="813" customFormat="1">
      <c r="A19" s="832" t="s">
        <v>72</v>
      </c>
      <c r="B19" s="765">
        <f>M19</f>
        <v>3000000</v>
      </c>
      <c r="C19" s="94" t="s">
        <v>36</v>
      </c>
      <c r="D19" s="94" t="s">
        <v>829</v>
      </c>
      <c r="E19" s="94" t="s">
        <v>70</v>
      </c>
      <c r="F19" s="94" t="s">
        <v>411</v>
      </c>
      <c r="G19" s="80" t="s">
        <v>71</v>
      </c>
      <c r="H19" s="1362" t="s">
        <v>1642</v>
      </c>
      <c r="I19" s="1907" t="s">
        <v>325</v>
      </c>
      <c r="J19" s="1008">
        <v>735</v>
      </c>
      <c r="K19" s="831">
        <v>3000000</v>
      </c>
      <c r="L19" s="1011">
        <v>852</v>
      </c>
      <c r="M19" s="764">
        <v>3000000</v>
      </c>
      <c r="N19" s="1011">
        <v>1056</v>
      </c>
      <c r="O19" s="764">
        <v>3000000</v>
      </c>
      <c r="P19" s="1228">
        <v>216</v>
      </c>
      <c r="Q19" s="830"/>
      <c r="R19" s="830"/>
      <c r="S19" s="831"/>
      <c r="T19" s="831"/>
      <c r="U19" s="831"/>
      <c r="V19" s="831"/>
      <c r="W19" s="831"/>
      <c r="X19" s="831"/>
      <c r="Y19" s="831"/>
      <c r="Z19" s="831"/>
      <c r="AA19" s="831"/>
      <c r="AB19" s="1932">
        <f>450000</f>
        <v>450000</v>
      </c>
      <c r="AC19" s="233">
        <f t="shared" si="0"/>
        <v>450000</v>
      </c>
      <c r="AD19" s="182">
        <f t="shared" si="1"/>
        <v>2550000</v>
      </c>
      <c r="AF19" s="865" t="s">
        <v>325</v>
      </c>
      <c r="AG19" s="802" t="s">
        <v>1426</v>
      </c>
      <c r="AH19" s="1067" t="s">
        <v>721</v>
      </c>
      <c r="AI19" s="606">
        <f t="shared" si="2"/>
        <v>216</v>
      </c>
      <c r="AJ19" s="154">
        <f>3000000-3000000+3000000</f>
        <v>3000000</v>
      </c>
      <c r="AK19" s="866">
        <f t="shared" si="3"/>
        <v>0</v>
      </c>
      <c r="AL19" s="822"/>
      <c r="AM19" s="1520">
        <f t="shared" si="4"/>
        <v>0</v>
      </c>
    </row>
    <row r="20" spans="1:39" s="813" customFormat="1">
      <c r="A20" s="832" t="s">
        <v>72</v>
      </c>
      <c r="B20" s="765">
        <f t="shared" ref="B20:B87" si="5">M20</f>
        <v>37600000</v>
      </c>
      <c r="C20" s="94" t="s">
        <v>36</v>
      </c>
      <c r="D20" s="94" t="s">
        <v>829</v>
      </c>
      <c r="E20" s="94" t="s">
        <v>70</v>
      </c>
      <c r="F20" s="94" t="s">
        <v>411</v>
      </c>
      <c r="G20" s="80" t="s">
        <v>71</v>
      </c>
      <c r="H20" s="1362" t="s">
        <v>1642</v>
      </c>
      <c r="I20" s="1907">
        <v>209</v>
      </c>
      <c r="J20" s="1008">
        <v>0</v>
      </c>
      <c r="K20" s="831"/>
      <c r="L20" s="1011">
        <v>50</v>
      </c>
      <c r="M20" s="764">
        <v>37600000</v>
      </c>
      <c r="N20" s="1011">
        <v>99</v>
      </c>
      <c r="O20" s="764">
        <v>37600000</v>
      </c>
      <c r="P20" s="1228">
        <v>34</v>
      </c>
      <c r="Q20" s="830"/>
      <c r="R20" s="1087">
        <v>2506667</v>
      </c>
      <c r="S20" s="831">
        <v>7520000</v>
      </c>
      <c r="T20" s="831">
        <f>VLOOKUP(N20,[8]Hoja2!N$63:T$105,7,0)</f>
        <v>7520000</v>
      </c>
      <c r="U20" s="831">
        <v>7520000</v>
      </c>
      <c r="V20" s="831">
        <v>7520000</v>
      </c>
      <c r="W20" s="831">
        <v>5013333</v>
      </c>
      <c r="X20" s="831"/>
      <c r="Y20" s="831"/>
      <c r="Z20" s="831"/>
      <c r="AA20" s="831"/>
      <c r="AB20" s="1932"/>
      <c r="AC20" s="233">
        <f t="shared" si="0"/>
        <v>37600000</v>
      </c>
      <c r="AD20" s="182">
        <f t="shared" si="1"/>
        <v>0</v>
      </c>
      <c r="AF20" s="865">
        <v>209</v>
      </c>
      <c r="AG20" s="802" t="s">
        <v>414</v>
      </c>
      <c r="AH20" s="1067" t="str">
        <f>VLOOKUP(N20,[5]Hoja2!J$48:N$75,5,0)</f>
        <v>ANA MARIA FLOREZ FLOREZ</v>
      </c>
      <c r="AI20" s="606">
        <f t="shared" si="2"/>
        <v>34</v>
      </c>
      <c r="AJ20" s="154">
        <v>37600000</v>
      </c>
      <c r="AK20" s="866">
        <f t="shared" si="3"/>
        <v>0</v>
      </c>
      <c r="AL20" s="822"/>
      <c r="AM20" s="1520">
        <f t="shared" si="4"/>
        <v>0</v>
      </c>
    </row>
    <row r="21" spans="1:39" s="813" customFormat="1">
      <c r="A21" s="832" t="s">
        <v>72</v>
      </c>
      <c r="B21" s="765">
        <f t="shared" si="5"/>
        <v>45333333</v>
      </c>
      <c r="C21" s="94" t="s">
        <v>36</v>
      </c>
      <c r="D21" s="94" t="s">
        <v>829</v>
      </c>
      <c r="E21" s="94" t="s">
        <v>70</v>
      </c>
      <c r="F21" s="94" t="s">
        <v>411</v>
      </c>
      <c r="G21" s="80" t="s">
        <v>71</v>
      </c>
      <c r="H21" s="1362" t="s">
        <v>1642</v>
      </c>
      <c r="I21" s="1907">
        <v>210</v>
      </c>
      <c r="J21" s="1008">
        <v>0</v>
      </c>
      <c r="K21" s="831"/>
      <c r="L21" s="1011">
        <v>577</v>
      </c>
      <c r="M21" s="764">
        <v>45333333</v>
      </c>
      <c r="N21" s="1011">
        <v>670</v>
      </c>
      <c r="O21" s="764">
        <v>45333333</v>
      </c>
      <c r="P21" s="1228">
        <v>411</v>
      </c>
      <c r="Q21" s="830"/>
      <c r="R21" s="1087"/>
      <c r="S21" s="831"/>
      <c r="T21" s="831"/>
      <c r="U21" s="831"/>
      <c r="V21" s="831"/>
      <c r="W21" s="831"/>
      <c r="X21" s="831">
        <v>5600000</v>
      </c>
      <c r="Y21" s="831">
        <v>8000000</v>
      </c>
      <c r="Z21" s="831">
        <v>8000000</v>
      </c>
      <c r="AA21" s="831">
        <v>8000000</v>
      </c>
      <c r="AB21" s="1932">
        <f>8000000+7733333</f>
        <v>15733333</v>
      </c>
      <c r="AC21" s="233">
        <f t="shared" si="0"/>
        <v>45333333</v>
      </c>
      <c r="AD21" s="182">
        <f t="shared" si="1"/>
        <v>0</v>
      </c>
      <c r="AF21" s="865">
        <v>210</v>
      </c>
      <c r="AG21" s="802" t="s">
        <v>415</v>
      </c>
      <c r="AH21" s="1067" t="s">
        <v>1138</v>
      </c>
      <c r="AI21" s="606">
        <f t="shared" si="2"/>
        <v>411</v>
      </c>
      <c r="AJ21" s="154">
        <f>37600000+7520000+2880000-2666667</f>
        <v>45333333</v>
      </c>
      <c r="AK21" s="866">
        <f t="shared" si="3"/>
        <v>0</v>
      </c>
      <c r="AL21" s="822"/>
      <c r="AM21" s="1520">
        <f t="shared" si="4"/>
        <v>0</v>
      </c>
    </row>
    <row r="22" spans="1:39" s="813" customFormat="1">
      <c r="A22" s="832" t="s">
        <v>72</v>
      </c>
      <c r="B22" s="765">
        <f t="shared" si="5"/>
        <v>12360000</v>
      </c>
      <c r="C22" s="94" t="s">
        <v>36</v>
      </c>
      <c r="D22" s="94" t="s">
        <v>829</v>
      </c>
      <c r="E22" s="94" t="s">
        <v>70</v>
      </c>
      <c r="F22" s="94" t="s">
        <v>411</v>
      </c>
      <c r="G22" s="80" t="s">
        <v>71</v>
      </c>
      <c r="H22" s="1362" t="s">
        <v>1642</v>
      </c>
      <c r="I22" s="1907">
        <v>211</v>
      </c>
      <c r="J22" s="1008">
        <v>0</v>
      </c>
      <c r="K22" s="831"/>
      <c r="L22" s="1011">
        <v>16</v>
      </c>
      <c r="M22" s="764">
        <v>12360000</v>
      </c>
      <c r="N22" s="1011">
        <v>39</v>
      </c>
      <c r="O22" s="764">
        <v>12360000</v>
      </c>
      <c r="P22" s="1228">
        <v>49</v>
      </c>
      <c r="Q22" s="830"/>
      <c r="R22" s="1087">
        <v>1373333</v>
      </c>
      <c r="S22" s="831">
        <v>4120000</v>
      </c>
      <c r="T22" s="831">
        <f>VLOOKUP(N22,[8]Hoja2!N$63:T$105,7,0)</f>
        <v>4120000</v>
      </c>
      <c r="U22" s="831">
        <v>2746667</v>
      </c>
      <c r="V22" s="831"/>
      <c r="W22" s="831"/>
      <c r="X22" s="831"/>
      <c r="Y22" s="831"/>
      <c r="Z22" s="831"/>
      <c r="AA22" s="831"/>
      <c r="AB22" s="1932"/>
      <c r="AC22" s="233">
        <f t="shared" si="0"/>
        <v>12360000</v>
      </c>
      <c r="AD22" s="182">
        <f t="shared" si="1"/>
        <v>0</v>
      </c>
      <c r="AF22" s="865">
        <v>211</v>
      </c>
      <c r="AG22" s="802" t="s">
        <v>416</v>
      </c>
      <c r="AH22" s="1067" t="s">
        <v>899</v>
      </c>
      <c r="AI22" s="606">
        <f t="shared" si="2"/>
        <v>49</v>
      </c>
      <c r="AJ22" s="154">
        <v>12360000</v>
      </c>
      <c r="AK22" s="866">
        <f t="shared" si="3"/>
        <v>0</v>
      </c>
      <c r="AL22" s="822"/>
      <c r="AM22" s="1520">
        <f t="shared" si="4"/>
        <v>0</v>
      </c>
    </row>
    <row r="23" spans="1:39" s="813" customFormat="1">
      <c r="A23" s="832" t="s">
        <v>72</v>
      </c>
      <c r="B23" s="765">
        <f t="shared" si="5"/>
        <v>4120000</v>
      </c>
      <c r="C23" s="94" t="s">
        <v>36</v>
      </c>
      <c r="D23" s="94" t="s">
        <v>829</v>
      </c>
      <c r="E23" s="94" t="s">
        <v>70</v>
      </c>
      <c r="F23" s="94" t="s">
        <v>411</v>
      </c>
      <c r="G23" s="80" t="s">
        <v>71</v>
      </c>
      <c r="H23" s="1362" t="s">
        <v>1642</v>
      </c>
      <c r="I23" s="1907">
        <v>211</v>
      </c>
      <c r="J23" s="1008"/>
      <c r="K23" s="831"/>
      <c r="L23" s="1011">
        <v>427</v>
      </c>
      <c r="M23" s="764">
        <v>4120000</v>
      </c>
      <c r="N23" s="1011">
        <v>430</v>
      </c>
      <c r="O23" s="764">
        <v>4120000</v>
      </c>
      <c r="P23" s="1228">
        <v>49</v>
      </c>
      <c r="Q23" s="830"/>
      <c r="R23" s="1087"/>
      <c r="S23" s="831"/>
      <c r="T23" s="831"/>
      <c r="U23" s="831">
        <v>1373333</v>
      </c>
      <c r="V23" s="831">
        <v>2746667</v>
      </c>
      <c r="W23" s="831"/>
      <c r="X23" s="831"/>
      <c r="Y23" s="831"/>
      <c r="Z23" s="831"/>
      <c r="AA23" s="831"/>
      <c r="AB23" s="1932"/>
      <c r="AC23" s="233">
        <f t="shared" si="0"/>
        <v>4120000</v>
      </c>
      <c r="AD23" s="182">
        <f t="shared" si="1"/>
        <v>0</v>
      </c>
      <c r="AF23" s="865">
        <v>211</v>
      </c>
      <c r="AG23" s="802" t="s">
        <v>900</v>
      </c>
      <c r="AH23" s="1067" t="s">
        <v>899</v>
      </c>
      <c r="AI23" s="606">
        <f t="shared" si="2"/>
        <v>49</v>
      </c>
      <c r="AJ23" s="154">
        <v>4120000</v>
      </c>
      <c r="AK23" s="866">
        <f t="shared" si="3"/>
        <v>0</v>
      </c>
      <c r="AL23" s="822"/>
      <c r="AM23" s="1520">
        <f t="shared" si="4"/>
        <v>0</v>
      </c>
    </row>
    <row r="24" spans="1:39" s="813" customFormat="1">
      <c r="A24" s="832" t="s">
        <v>72</v>
      </c>
      <c r="B24" s="765">
        <f t="shared" si="5"/>
        <v>1922666</v>
      </c>
      <c r="C24" s="94" t="s">
        <v>36</v>
      </c>
      <c r="D24" s="94" t="s">
        <v>829</v>
      </c>
      <c r="E24" s="94" t="s">
        <v>70</v>
      </c>
      <c r="F24" s="94" t="s">
        <v>411</v>
      </c>
      <c r="G24" s="80" t="s">
        <v>71</v>
      </c>
      <c r="H24" s="1362" t="s">
        <v>1642</v>
      </c>
      <c r="I24" s="1907">
        <v>211</v>
      </c>
      <c r="J24" s="1008"/>
      <c r="K24" s="831"/>
      <c r="L24" s="1011">
        <v>497</v>
      </c>
      <c r="M24" s="764">
        <f>2060000-137334</f>
        <v>1922666</v>
      </c>
      <c r="N24" s="1011">
        <v>516</v>
      </c>
      <c r="O24" s="764">
        <f>2060000-137334</f>
        <v>1922666</v>
      </c>
      <c r="P24" s="1228">
        <v>49</v>
      </c>
      <c r="Q24" s="830"/>
      <c r="R24" s="1087"/>
      <c r="S24" s="831"/>
      <c r="T24" s="831"/>
      <c r="U24" s="831"/>
      <c r="V24" s="831">
        <v>1373333</v>
      </c>
      <c r="W24" s="831">
        <v>549333</v>
      </c>
      <c r="X24" s="831"/>
      <c r="Y24" s="831"/>
      <c r="Z24" s="831"/>
      <c r="AA24" s="831"/>
      <c r="AB24" s="1932"/>
      <c r="AC24" s="233">
        <f t="shared" si="0"/>
        <v>1922666</v>
      </c>
      <c r="AD24" s="182">
        <f t="shared" si="1"/>
        <v>0</v>
      </c>
      <c r="AF24" s="865">
        <v>211</v>
      </c>
      <c r="AG24" s="802" t="s">
        <v>940</v>
      </c>
      <c r="AH24" s="1067" t="s">
        <v>899</v>
      </c>
      <c r="AI24" s="606">
        <f t="shared" si="2"/>
        <v>49</v>
      </c>
      <c r="AJ24" s="154">
        <f>2060000-137334</f>
        <v>1922666</v>
      </c>
      <c r="AK24" s="866">
        <f t="shared" si="3"/>
        <v>0</v>
      </c>
      <c r="AL24" s="822"/>
      <c r="AM24" s="1520">
        <f t="shared" si="4"/>
        <v>0</v>
      </c>
    </row>
    <row r="25" spans="1:39" s="813" customFormat="1">
      <c r="A25" s="832" t="s">
        <v>72</v>
      </c>
      <c r="B25" s="765">
        <f t="shared" si="5"/>
        <v>0</v>
      </c>
      <c r="C25" s="94" t="s">
        <v>36</v>
      </c>
      <c r="D25" s="94" t="s">
        <v>829</v>
      </c>
      <c r="E25" s="94" t="s">
        <v>70</v>
      </c>
      <c r="F25" s="94" t="s">
        <v>411</v>
      </c>
      <c r="G25" s="80" t="s">
        <v>71</v>
      </c>
      <c r="H25" s="1362" t="s">
        <v>1642</v>
      </c>
      <c r="I25" s="1907">
        <v>212</v>
      </c>
      <c r="J25" s="1008">
        <v>0</v>
      </c>
      <c r="K25" s="831"/>
      <c r="L25" s="1011">
        <v>304</v>
      </c>
      <c r="M25" s="764">
        <f>107100000-107100000</f>
        <v>0</v>
      </c>
      <c r="N25" s="1011"/>
      <c r="O25" s="764"/>
      <c r="P25" s="1228"/>
      <c r="Q25" s="830"/>
      <c r="R25" s="1087"/>
      <c r="S25" s="831"/>
      <c r="T25" s="831"/>
      <c r="U25" s="831"/>
      <c r="V25" s="831"/>
      <c r="W25" s="831"/>
      <c r="X25" s="831"/>
      <c r="Y25" s="831"/>
      <c r="Z25" s="831"/>
      <c r="AA25" s="831"/>
      <c r="AB25" s="1932"/>
      <c r="AC25" s="233">
        <f t="shared" si="0"/>
        <v>0</v>
      </c>
      <c r="AD25" s="182">
        <f t="shared" si="1"/>
        <v>0</v>
      </c>
      <c r="AF25" s="865">
        <v>212</v>
      </c>
      <c r="AG25" s="802" t="s">
        <v>417</v>
      </c>
      <c r="AH25" s="1067">
        <v>0</v>
      </c>
      <c r="AI25" s="606">
        <f t="shared" si="2"/>
        <v>0</v>
      </c>
      <c r="AJ25" s="154">
        <f>112200000-5100000-107100000</f>
        <v>0</v>
      </c>
      <c r="AK25" s="866">
        <f t="shared" si="3"/>
        <v>0</v>
      </c>
      <c r="AL25" s="822"/>
      <c r="AM25" s="1520">
        <f t="shared" si="4"/>
        <v>0</v>
      </c>
    </row>
    <row r="26" spans="1:39" s="813" customFormat="1">
      <c r="A26" s="832" t="s">
        <v>72</v>
      </c>
      <c r="B26" s="765">
        <f t="shared" si="5"/>
        <v>64000000</v>
      </c>
      <c r="C26" s="94" t="s">
        <v>36</v>
      </c>
      <c r="D26" s="94" t="s">
        <v>829</v>
      </c>
      <c r="E26" s="94" t="s">
        <v>70</v>
      </c>
      <c r="F26" s="94" t="s">
        <v>411</v>
      </c>
      <c r="G26" s="80" t="s">
        <v>71</v>
      </c>
      <c r="H26" s="1362" t="s">
        <v>1642</v>
      </c>
      <c r="I26" s="1907">
        <v>213</v>
      </c>
      <c r="J26" s="1008">
        <v>0</v>
      </c>
      <c r="K26" s="831"/>
      <c r="L26" s="1011">
        <v>363</v>
      </c>
      <c r="M26" s="764">
        <v>64000000</v>
      </c>
      <c r="N26" s="1011">
        <v>363</v>
      </c>
      <c r="O26" s="764">
        <v>64000000</v>
      </c>
      <c r="P26" s="1228">
        <v>289</v>
      </c>
      <c r="Q26" s="830"/>
      <c r="R26" s="1087"/>
      <c r="S26" s="831"/>
      <c r="T26" s="831">
        <f>4533333-4533333</f>
        <v>0</v>
      </c>
      <c r="U26" s="831">
        <f>4533333+8000000</f>
        <v>12533333</v>
      </c>
      <c r="V26" s="831">
        <v>8000000</v>
      </c>
      <c r="W26" s="831">
        <v>8000000</v>
      </c>
      <c r="X26" s="831">
        <v>8000000</v>
      </c>
      <c r="Y26" s="831">
        <v>8000000</v>
      </c>
      <c r="Z26" s="831"/>
      <c r="AA26" s="831"/>
      <c r="AB26" s="1932">
        <f>8000000+8000000+3466667</f>
        <v>19466667</v>
      </c>
      <c r="AC26" s="233">
        <f t="shared" si="0"/>
        <v>64000000</v>
      </c>
      <c r="AD26" s="182">
        <f t="shared" si="1"/>
        <v>0</v>
      </c>
      <c r="AF26" s="865">
        <v>213</v>
      </c>
      <c r="AG26" s="802" t="s">
        <v>433</v>
      </c>
      <c r="AH26" s="1067" t="s">
        <v>802</v>
      </c>
      <c r="AI26" s="606">
        <f t="shared" si="2"/>
        <v>289</v>
      </c>
      <c r="AJ26" s="154">
        <f>66000000+10000000-12000000</f>
        <v>64000000</v>
      </c>
      <c r="AK26" s="866">
        <f t="shared" si="3"/>
        <v>0</v>
      </c>
      <c r="AL26" s="822"/>
      <c r="AM26" s="1520">
        <f t="shared" si="4"/>
        <v>0</v>
      </c>
    </row>
    <row r="27" spans="1:39" s="813" customFormat="1">
      <c r="A27" s="832" t="s">
        <v>72</v>
      </c>
      <c r="B27" s="765">
        <f t="shared" si="5"/>
        <v>48000000</v>
      </c>
      <c r="C27" s="94" t="s">
        <v>36</v>
      </c>
      <c r="D27" s="94" t="s">
        <v>829</v>
      </c>
      <c r="E27" s="94" t="s">
        <v>70</v>
      </c>
      <c r="F27" s="94" t="s">
        <v>411</v>
      </c>
      <c r="G27" s="80" t="s">
        <v>71</v>
      </c>
      <c r="H27" s="1362" t="s">
        <v>1642</v>
      </c>
      <c r="I27" s="1907">
        <v>214</v>
      </c>
      <c r="J27" s="1008">
        <v>0</v>
      </c>
      <c r="K27" s="831"/>
      <c r="L27" s="1011">
        <v>305</v>
      </c>
      <c r="M27" s="764">
        <v>48000000</v>
      </c>
      <c r="N27" s="1011">
        <v>320</v>
      </c>
      <c r="O27" s="764">
        <v>48000000</v>
      </c>
      <c r="P27" s="1228">
        <v>269</v>
      </c>
      <c r="Q27" s="830"/>
      <c r="R27" s="1087"/>
      <c r="S27" s="831"/>
      <c r="T27" s="831">
        <f>VLOOKUP(N27,[8]Hoja2!N$63:T$105,7,0)</f>
        <v>7000000</v>
      </c>
      <c r="U27" s="831">
        <v>4200000</v>
      </c>
      <c r="V27" s="831">
        <f>1800000+6000000</f>
        <v>7800000</v>
      </c>
      <c r="W27" s="831">
        <v>6000000</v>
      </c>
      <c r="X27" s="831">
        <v>6000000</v>
      </c>
      <c r="Y27" s="831">
        <v>6000000</v>
      </c>
      <c r="Z27" s="831">
        <v>6000000</v>
      </c>
      <c r="AA27" s="831">
        <v>5000000</v>
      </c>
      <c r="AB27" s="1932"/>
      <c r="AC27" s="233">
        <f t="shared" si="0"/>
        <v>48000000</v>
      </c>
      <c r="AD27" s="182">
        <f t="shared" si="1"/>
        <v>0</v>
      </c>
      <c r="AF27" s="865">
        <v>214</v>
      </c>
      <c r="AG27" s="802" t="s">
        <v>418</v>
      </c>
      <c r="AH27" s="1067" t="s">
        <v>987</v>
      </c>
      <c r="AI27" s="606">
        <f t="shared" si="2"/>
        <v>269</v>
      </c>
      <c r="AJ27" s="154">
        <f>47010000+990000</f>
        <v>48000000</v>
      </c>
      <c r="AK27" s="866">
        <f t="shared" si="3"/>
        <v>0</v>
      </c>
      <c r="AL27" s="822"/>
      <c r="AM27" s="1520">
        <f t="shared" si="4"/>
        <v>0</v>
      </c>
    </row>
    <row r="28" spans="1:39" s="813" customFormat="1">
      <c r="A28" s="832" t="s">
        <v>72</v>
      </c>
      <c r="B28" s="765">
        <f t="shared" si="5"/>
        <v>32000000</v>
      </c>
      <c r="C28" s="94" t="s">
        <v>36</v>
      </c>
      <c r="D28" s="94" t="s">
        <v>829</v>
      </c>
      <c r="E28" s="94" t="s">
        <v>70</v>
      </c>
      <c r="F28" s="94" t="s">
        <v>411</v>
      </c>
      <c r="G28" s="80" t="s">
        <v>71</v>
      </c>
      <c r="H28" s="1362" t="s">
        <v>1642</v>
      </c>
      <c r="I28" s="1907">
        <v>215</v>
      </c>
      <c r="J28" s="1008">
        <v>0</v>
      </c>
      <c r="K28" s="831"/>
      <c r="L28" s="1011">
        <v>183</v>
      </c>
      <c r="M28" s="764">
        <v>32000000</v>
      </c>
      <c r="N28" s="1011">
        <v>188</v>
      </c>
      <c r="O28" s="764">
        <v>32000000</v>
      </c>
      <c r="P28" s="1228">
        <v>165</v>
      </c>
      <c r="Q28" s="830"/>
      <c r="R28" s="1087"/>
      <c r="S28" s="831">
        <v>4133333</v>
      </c>
      <c r="T28" s="831">
        <f>VLOOKUP(N28,[8]Hoja2!N$63:T$105,7,0)</f>
        <v>4000000</v>
      </c>
      <c r="U28" s="831">
        <v>4000000</v>
      </c>
      <c r="V28" s="831">
        <v>4000000</v>
      </c>
      <c r="W28" s="831">
        <v>4000000</v>
      </c>
      <c r="X28" s="831">
        <v>4000000</v>
      </c>
      <c r="Y28" s="831">
        <v>4000000</v>
      </c>
      <c r="Z28" s="831">
        <v>3866667</v>
      </c>
      <c r="AA28" s="831"/>
      <c r="AB28" s="1932"/>
      <c r="AC28" s="233">
        <f t="shared" si="0"/>
        <v>32000000</v>
      </c>
      <c r="AD28" s="182">
        <f t="shared" si="1"/>
        <v>0</v>
      </c>
      <c r="AF28" s="865">
        <v>215</v>
      </c>
      <c r="AG28" s="802" t="s">
        <v>419</v>
      </c>
      <c r="AH28" s="1067" t="s">
        <v>1176</v>
      </c>
      <c r="AI28" s="606">
        <f t="shared" si="2"/>
        <v>165</v>
      </c>
      <c r="AJ28" s="154">
        <v>32000000</v>
      </c>
      <c r="AK28" s="866">
        <f t="shared" si="3"/>
        <v>0</v>
      </c>
      <c r="AL28" s="822"/>
      <c r="AM28" s="1520">
        <f t="shared" si="4"/>
        <v>0</v>
      </c>
    </row>
    <row r="29" spans="1:39" s="813" customFormat="1">
      <c r="A29" s="832" t="s">
        <v>72</v>
      </c>
      <c r="B29" s="765">
        <f t="shared" si="5"/>
        <v>0</v>
      </c>
      <c r="C29" s="94" t="s">
        <v>36</v>
      </c>
      <c r="D29" s="94" t="s">
        <v>829</v>
      </c>
      <c r="E29" s="94" t="s">
        <v>70</v>
      </c>
      <c r="F29" s="94" t="s">
        <v>411</v>
      </c>
      <c r="G29" s="80" t="s">
        <v>71</v>
      </c>
      <c r="H29" s="1362" t="s">
        <v>1642</v>
      </c>
      <c r="I29" s="1907" t="s">
        <v>325</v>
      </c>
      <c r="J29" s="1008">
        <v>592</v>
      </c>
      <c r="K29" s="764">
        <f>12000000-12000000</f>
        <v>0</v>
      </c>
      <c r="L29" s="1011">
        <v>693</v>
      </c>
      <c r="M29" s="764">
        <f>12000000-12000000</f>
        <v>0</v>
      </c>
      <c r="N29" s="1011"/>
      <c r="O29" s="764"/>
      <c r="P29" s="1228">
        <v>165</v>
      </c>
      <c r="Q29" s="830"/>
      <c r="R29" s="1087"/>
      <c r="S29" s="831"/>
      <c r="T29" s="831"/>
      <c r="U29" s="831"/>
      <c r="V29" s="831"/>
      <c r="W29" s="831"/>
      <c r="X29" s="831"/>
      <c r="Y29" s="831"/>
      <c r="Z29" s="831"/>
      <c r="AA29" s="831"/>
      <c r="AB29" s="1932"/>
      <c r="AC29" s="233">
        <f t="shared" si="0"/>
        <v>0</v>
      </c>
      <c r="AD29" s="182">
        <f t="shared" si="1"/>
        <v>0</v>
      </c>
      <c r="AF29" s="865" t="s">
        <v>325</v>
      </c>
      <c r="AG29" s="802" t="s">
        <v>1214</v>
      </c>
      <c r="AH29" s="1067" t="s">
        <v>1176</v>
      </c>
      <c r="AI29" s="606">
        <f t="shared" si="2"/>
        <v>165</v>
      </c>
      <c r="AJ29" s="154">
        <f>12000000-12000000</f>
        <v>0</v>
      </c>
      <c r="AK29" s="866">
        <f t="shared" si="3"/>
        <v>0</v>
      </c>
      <c r="AL29" s="822"/>
      <c r="AM29" s="1520">
        <f t="shared" si="4"/>
        <v>0</v>
      </c>
    </row>
    <row r="30" spans="1:39" s="813" customFormat="1">
      <c r="A30" s="832" t="s">
        <v>72</v>
      </c>
      <c r="B30" s="765">
        <f t="shared" si="5"/>
        <v>40640000</v>
      </c>
      <c r="C30" s="94" t="s">
        <v>36</v>
      </c>
      <c r="D30" s="94" t="s">
        <v>829</v>
      </c>
      <c r="E30" s="94" t="s">
        <v>70</v>
      </c>
      <c r="F30" s="94" t="s">
        <v>411</v>
      </c>
      <c r="G30" s="80" t="s">
        <v>71</v>
      </c>
      <c r="H30" s="1362" t="s">
        <v>1642</v>
      </c>
      <c r="I30" s="1907">
        <v>216</v>
      </c>
      <c r="J30" s="1008">
        <v>0</v>
      </c>
      <c r="K30" s="831"/>
      <c r="L30" s="1011">
        <v>268</v>
      </c>
      <c r="M30" s="764">
        <v>40640000</v>
      </c>
      <c r="N30" s="1011">
        <v>314</v>
      </c>
      <c r="O30" s="764">
        <v>40640000</v>
      </c>
      <c r="P30" s="1228">
        <v>256</v>
      </c>
      <c r="Q30" s="830"/>
      <c r="R30" s="1087"/>
      <c r="S30" s="831">
        <v>1016000</v>
      </c>
      <c r="T30" s="831">
        <f>VLOOKUP(N30,[8]Hoja2!N$63:T$105,7,0)</f>
        <v>5080000</v>
      </c>
      <c r="U30" s="831">
        <v>5080000</v>
      </c>
      <c r="V30" s="831">
        <v>5080000</v>
      </c>
      <c r="W30" s="831">
        <v>5080000</v>
      </c>
      <c r="X30" s="831">
        <v>5080000</v>
      </c>
      <c r="Y30" s="831">
        <v>5080000</v>
      </c>
      <c r="Z30" s="831">
        <v>5080000</v>
      </c>
      <c r="AA30" s="831">
        <v>4064000</v>
      </c>
      <c r="AB30" s="1932"/>
      <c r="AC30" s="233">
        <f t="shared" si="0"/>
        <v>40640000</v>
      </c>
      <c r="AD30" s="182">
        <f t="shared" si="1"/>
        <v>0</v>
      </c>
      <c r="AF30" s="865">
        <v>216</v>
      </c>
      <c r="AG30" s="802" t="s">
        <v>420</v>
      </c>
      <c r="AH30" s="1067" t="s">
        <v>785</v>
      </c>
      <c r="AI30" s="606">
        <f t="shared" si="2"/>
        <v>256</v>
      </c>
      <c r="AJ30" s="154">
        <v>40640000</v>
      </c>
      <c r="AK30" s="866">
        <f t="shared" si="3"/>
        <v>0</v>
      </c>
      <c r="AL30" s="822"/>
      <c r="AM30" s="1520">
        <f t="shared" si="4"/>
        <v>0</v>
      </c>
    </row>
    <row r="31" spans="1:39" s="813" customFormat="1">
      <c r="A31" s="832" t="s">
        <v>72</v>
      </c>
      <c r="B31" s="765">
        <f t="shared" si="5"/>
        <v>7620000</v>
      </c>
      <c r="C31" s="94" t="s">
        <v>36</v>
      </c>
      <c r="D31" s="94" t="s">
        <v>829</v>
      </c>
      <c r="E31" s="94" t="s">
        <v>70</v>
      </c>
      <c r="F31" s="94" t="s">
        <v>411</v>
      </c>
      <c r="G31" s="80" t="s">
        <v>71</v>
      </c>
      <c r="H31" s="1362" t="s">
        <v>1642</v>
      </c>
      <c r="I31" s="1907" t="s">
        <v>325</v>
      </c>
      <c r="J31" s="1008">
        <v>648</v>
      </c>
      <c r="K31" s="831">
        <v>7620000</v>
      </c>
      <c r="L31" s="1011">
        <v>731</v>
      </c>
      <c r="M31" s="764">
        <v>7620000</v>
      </c>
      <c r="N31" s="1011">
        <v>912</v>
      </c>
      <c r="O31" s="764">
        <v>7620000</v>
      </c>
      <c r="P31" s="1228">
        <v>256</v>
      </c>
      <c r="Q31" s="830"/>
      <c r="R31" s="1087"/>
      <c r="S31" s="831"/>
      <c r="T31" s="831"/>
      <c r="U31" s="831"/>
      <c r="V31" s="831"/>
      <c r="W31" s="831"/>
      <c r="X31" s="831"/>
      <c r="Y31" s="831"/>
      <c r="Z31" s="831"/>
      <c r="AA31" s="831">
        <v>1016000</v>
      </c>
      <c r="AB31" s="1932">
        <f>5080000+1524000</f>
        <v>6604000</v>
      </c>
      <c r="AC31" s="233">
        <f t="shared" si="0"/>
        <v>7620000</v>
      </c>
      <c r="AD31" s="182">
        <f t="shared" si="1"/>
        <v>0</v>
      </c>
      <c r="AF31" s="865" t="s">
        <v>325</v>
      </c>
      <c r="AG31" s="802" t="s">
        <v>1299</v>
      </c>
      <c r="AH31" s="1067" t="s">
        <v>785</v>
      </c>
      <c r="AI31" s="606">
        <f t="shared" si="2"/>
        <v>256</v>
      </c>
      <c r="AJ31" s="154">
        <v>7620000</v>
      </c>
      <c r="AK31" s="866">
        <f t="shared" si="3"/>
        <v>0</v>
      </c>
      <c r="AL31" s="822"/>
      <c r="AM31" s="1520">
        <f t="shared" si="4"/>
        <v>0</v>
      </c>
    </row>
    <row r="32" spans="1:39" s="813" customFormat="1">
      <c r="A32" s="832" t="s">
        <v>72</v>
      </c>
      <c r="B32" s="765">
        <f t="shared" si="5"/>
        <v>30480000</v>
      </c>
      <c r="C32" s="94" t="s">
        <v>36</v>
      </c>
      <c r="D32" s="94" t="s">
        <v>829</v>
      </c>
      <c r="E32" s="94" t="s">
        <v>70</v>
      </c>
      <c r="F32" s="94" t="s">
        <v>411</v>
      </c>
      <c r="G32" s="80" t="s">
        <v>71</v>
      </c>
      <c r="H32" s="1362" t="s">
        <v>1642</v>
      </c>
      <c r="I32" s="1907">
        <v>217</v>
      </c>
      <c r="J32" s="1008">
        <v>0</v>
      </c>
      <c r="K32" s="831"/>
      <c r="L32" s="1011">
        <v>184</v>
      </c>
      <c r="M32" s="764">
        <v>30480000</v>
      </c>
      <c r="N32" s="1011">
        <v>247</v>
      </c>
      <c r="O32" s="764">
        <v>30480000</v>
      </c>
      <c r="P32" s="1228">
        <v>163</v>
      </c>
      <c r="Q32" s="830"/>
      <c r="R32" s="1087"/>
      <c r="S32" s="831">
        <v>4064000</v>
      </c>
      <c r="T32" s="831">
        <f>VLOOKUP(N32,[8]Hoja2!N$63:T$105,7,0)</f>
        <v>5080000</v>
      </c>
      <c r="U32" s="831">
        <v>5080000</v>
      </c>
      <c r="V32" s="831">
        <v>5080000</v>
      </c>
      <c r="W32" s="831">
        <v>5080000</v>
      </c>
      <c r="X32" s="831">
        <v>5080000</v>
      </c>
      <c r="Y32" s="831">
        <v>1016000</v>
      </c>
      <c r="Z32" s="831"/>
      <c r="AA32" s="831"/>
      <c r="AB32" s="1932"/>
      <c r="AC32" s="233">
        <f t="shared" si="0"/>
        <v>30480000</v>
      </c>
      <c r="AD32" s="182">
        <f t="shared" si="1"/>
        <v>0</v>
      </c>
      <c r="AF32" s="865">
        <v>217</v>
      </c>
      <c r="AG32" s="802" t="s">
        <v>420</v>
      </c>
      <c r="AH32" s="1067" t="s">
        <v>715</v>
      </c>
      <c r="AI32" s="606">
        <f t="shared" si="2"/>
        <v>163</v>
      </c>
      <c r="AJ32" s="154">
        <v>30480000</v>
      </c>
      <c r="AK32" s="866">
        <f t="shared" si="3"/>
        <v>0</v>
      </c>
      <c r="AL32" s="822"/>
      <c r="AM32" s="1520">
        <f t="shared" si="4"/>
        <v>0</v>
      </c>
    </row>
    <row r="33" spans="1:39" s="813" customFormat="1">
      <c r="A33" s="832" t="s">
        <v>72</v>
      </c>
      <c r="B33" s="765">
        <f t="shared" si="5"/>
        <v>15240000</v>
      </c>
      <c r="C33" s="94" t="s">
        <v>36</v>
      </c>
      <c r="D33" s="94" t="s">
        <v>829</v>
      </c>
      <c r="E33" s="94" t="s">
        <v>70</v>
      </c>
      <c r="F33" s="94" t="s">
        <v>411</v>
      </c>
      <c r="G33" s="80" t="s">
        <v>71</v>
      </c>
      <c r="H33" s="1362" t="s">
        <v>1642</v>
      </c>
      <c r="I33" s="1907">
        <v>580</v>
      </c>
      <c r="J33" s="764">
        <v>576</v>
      </c>
      <c r="K33" s="831">
        <v>15240000</v>
      </c>
      <c r="L33" s="1011">
        <v>664</v>
      </c>
      <c r="M33" s="764">
        <v>15240000</v>
      </c>
      <c r="N33" s="1011">
        <v>808</v>
      </c>
      <c r="O33" s="764">
        <v>15240000</v>
      </c>
      <c r="P33" s="1228">
        <v>163</v>
      </c>
      <c r="Q33" s="830"/>
      <c r="R33" s="1087"/>
      <c r="S33" s="831"/>
      <c r="T33" s="831"/>
      <c r="U33" s="831"/>
      <c r="V33" s="831"/>
      <c r="W33" s="831"/>
      <c r="X33" s="831"/>
      <c r="Y33" s="831"/>
      <c r="Z33" s="831">
        <v>4402667</v>
      </c>
      <c r="AA33" s="831">
        <v>5080000</v>
      </c>
      <c r="AB33" s="1932">
        <f>5080000+677333</f>
        <v>5757333</v>
      </c>
      <c r="AC33" s="233">
        <f t="shared" si="0"/>
        <v>15240000</v>
      </c>
      <c r="AD33" s="182">
        <f t="shared" si="1"/>
        <v>0</v>
      </c>
      <c r="AF33" s="865">
        <v>580</v>
      </c>
      <c r="AG33" s="802" t="s">
        <v>1217</v>
      </c>
      <c r="AH33" s="1067" t="s">
        <v>715</v>
      </c>
      <c r="AI33" s="606">
        <f t="shared" si="2"/>
        <v>163</v>
      </c>
      <c r="AJ33" s="154">
        <v>15240000</v>
      </c>
      <c r="AK33" s="866">
        <f t="shared" si="3"/>
        <v>0</v>
      </c>
      <c r="AL33" s="822"/>
      <c r="AM33" s="1520">
        <f t="shared" si="4"/>
        <v>0</v>
      </c>
    </row>
    <row r="34" spans="1:39" s="813" customFormat="1">
      <c r="A34" s="832" t="s">
        <v>72</v>
      </c>
      <c r="B34" s="765">
        <f t="shared" si="5"/>
        <v>40640000</v>
      </c>
      <c r="C34" s="94" t="s">
        <v>36</v>
      </c>
      <c r="D34" s="94" t="s">
        <v>829</v>
      </c>
      <c r="E34" s="94" t="s">
        <v>70</v>
      </c>
      <c r="F34" s="94" t="s">
        <v>411</v>
      </c>
      <c r="G34" s="80" t="s">
        <v>71</v>
      </c>
      <c r="H34" s="1362" t="s">
        <v>1642</v>
      </c>
      <c r="I34" s="1907">
        <v>218</v>
      </c>
      <c r="J34" s="1008">
        <v>0</v>
      </c>
      <c r="K34" s="831"/>
      <c r="L34" s="1011">
        <v>185</v>
      </c>
      <c r="M34" s="764">
        <v>40640000</v>
      </c>
      <c r="N34" s="1011">
        <v>264</v>
      </c>
      <c r="O34" s="764">
        <v>40640000</v>
      </c>
      <c r="P34" s="1228">
        <v>162</v>
      </c>
      <c r="Q34" s="830"/>
      <c r="R34" s="1087"/>
      <c r="S34" s="831">
        <v>3894667</v>
      </c>
      <c r="T34" s="831">
        <f>VLOOKUP(N34,[8]Hoja2!N$63:T$105,7,0)</f>
        <v>5080000</v>
      </c>
      <c r="U34" s="831">
        <v>5080000</v>
      </c>
      <c r="V34" s="831">
        <v>5080000</v>
      </c>
      <c r="W34" s="831">
        <v>5080000</v>
      </c>
      <c r="X34" s="831">
        <v>5080000</v>
      </c>
      <c r="Y34" s="831">
        <v>5080000</v>
      </c>
      <c r="Z34" s="831">
        <v>5080000</v>
      </c>
      <c r="AA34" s="831">
        <v>1185333</v>
      </c>
      <c r="AB34" s="1932"/>
      <c r="AC34" s="233">
        <f t="shared" si="0"/>
        <v>40640000</v>
      </c>
      <c r="AD34" s="182">
        <f t="shared" si="1"/>
        <v>0</v>
      </c>
      <c r="AF34" s="865">
        <v>218</v>
      </c>
      <c r="AG34" s="802" t="s">
        <v>421</v>
      </c>
      <c r="AH34" s="1067" t="s">
        <v>716</v>
      </c>
      <c r="AI34" s="606">
        <f t="shared" si="2"/>
        <v>162</v>
      </c>
      <c r="AJ34" s="154">
        <v>40640000</v>
      </c>
      <c r="AK34" s="866">
        <f t="shared" si="3"/>
        <v>0</v>
      </c>
      <c r="AL34" s="822"/>
      <c r="AM34" s="1520">
        <f t="shared" si="4"/>
        <v>0</v>
      </c>
    </row>
    <row r="35" spans="1:39" s="813" customFormat="1">
      <c r="A35" s="832" t="s">
        <v>72</v>
      </c>
      <c r="B35" s="765">
        <f t="shared" si="5"/>
        <v>7620000</v>
      </c>
      <c r="C35" s="94" t="s">
        <v>36</v>
      </c>
      <c r="D35" s="94" t="s">
        <v>829</v>
      </c>
      <c r="E35" s="94" t="s">
        <v>70</v>
      </c>
      <c r="F35" s="94" t="s">
        <v>411</v>
      </c>
      <c r="G35" s="80" t="s">
        <v>71</v>
      </c>
      <c r="H35" s="1362" t="s">
        <v>1642</v>
      </c>
      <c r="I35" s="1907" t="s">
        <v>325</v>
      </c>
      <c r="J35" s="1008">
        <v>647</v>
      </c>
      <c r="K35" s="831">
        <v>7620000</v>
      </c>
      <c r="L35" s="1011">
        <v>730</v>
      </c>
      <c r="M35" s="764">
        <v>7620000</v>
      </c>
      <c r="N35" s="1011">
        <v>875</v>
      </c>
      <c r="O35" s="764">
        <v>7620000</v>
      </c>
      <c r="P35" s="1228">
        <v>162</v>
      </c>
      <c r="Q35" s="830"/>
      <c r="R35" s="1087"/>
      <c r="S35" s="831"/>
      <c r="T35" s="831"/>
      <c r="U35" s="831"/>
      <c r="V35" s="831"/>
      <c r="W35" s="831"/>
      <c r="X35" s="831"/>
      <c r="Y35" s="831"/>
      <c r="Z35" s="831"/>
      <c r="AA35" s="831">
        <v>3894667</v>
      </c>
      <c r="AB35" s="1932">
        <v>3725333</v>
      </c>
      <c r="AC35" s="233">
        <f t="shared" si="0"/>
        <v>7620000</v>
      </c>
      <c r="AD35" s="182">
        <f t="shared" si="1"/>
        <v>0</v>
      </c>
      <c r="AF35" s="865" t="s">
        <v>325</v>
      </c>
      <c r="AG35" s="802" t="s">
        <v>1298</v>
      </c>
      <c r="AH35" s="1067" t="s">
        <v>716</v>
      </c>
      <c r="AI35" s="606">
        <f t="shared" si="2"/>
        <v>162</v>
      </c>
      <c r="AJ35" s="154">
        <v>7620000</v>
      </c>
      <c r="AK35" s="866">
        <f t="shared" si="3"/>
        <v>0</v>
      </c>
      <c r="AL35" s="822"/>
      <c r="AM35" s="1520">
        <f t="shared" si="4"/>
        <v>0</v>
      </c>
    </row>
    <row r="36" spans="1:39" s="813" customFormat="1">
      <c r="A36" s="832" t="s">
        <v>72</v>
      </c>
      <c r="B36" s="765">
        <f t="shared" si="5"/>
        <v>20000000</v>
      </c>
      <c r="C36" s="94" t="s">
        <v>36</v>
      </c>
      <c r="D36" s="94" t="s">
        <v>829</v>
      </c>
      <c r="E36" s="94" t="s">
        <v>70</v>
      </c>
      <c r="F36" s="94" t="s">
        <v>411</v>
      </c>
      <c r="G36" s="80" t="s">
        <v>71</v>
      </c>
      <c r="H36" s="1362" t="s">
        <v>1642</v>
      </c>
      <c r="I36" s="1907">
        <v>219</v>
      </c>
      <c r="J36" s="1008">
        <v>0</v>
      </c>
      <c r="K36" s="831"/>
      <c r="L36" s="1011">
        <v>186</v>
      </c>
      <c r="M36" s="764">
        <v>20000000</v>
      </c>
      <c r="N36" s="1011">
        <v>260</v>
      </c>
      <c r="O36" s="764">
        <v>20000000</v>
      </c>
      <c r="P36" s="1228">
        <v>173</v>
      </c>
      <c r="Q36" s="830"/>
      <c r="R36" s="1087"/>
      <c r="S36" s="831">
        <v>1833333</v>
      </c>
      <c r="T36" s="831">
        <f>VLOOKUP(N36,[8]Hoja2!N$63:T$105,7,0)</f>
        <v>2500000</v>
      </c>
      <c r="U36" s="831">
        <v>2500000</v>
      </c>
      <c r="V36" s="831">
        <v>2500000</v>
      </c>
      <c r="W36" s="831">
        <v>2500000</v>
      </c>
      <c r="X36" s="831">
        <v>2500000</v>
      </c>
      <c r="Y36" s="831">
        <v>2500000</v>
      </c>
      <c r="Z36" s="831">
        <v>2500000</v>
      </c>
      <c r="AA36" s="831">
        <v>666667</v>
      </c>
      <c r="AB36" s="1932"/>
      <c r="AC36" s="233">
        <f t="shared" si="0"/>
        <v>20000000</v>
      </c>
      <c r="AD36" s="182">
        <f t="shared" si="1"/>
        <v>0</v>
      </c>
      <c r="AF36" s="865">
        <v>219</v>
      </c>
      <c r="AG36" s="802" t="s">
        <v>422</v>
      </c>
      <c r="AH36" s="1067" t="s">
        <v>717</v>
      </c>
      <c r="AI36" s="606">
        <f t="shared" si="2"/>
        <v>173</v>
      </c>
      <c r="AJ36" s="154">
        <v>20000000</v>
      </c>
      <c r="AK36" s="866">
        <f t="shared" si="3"/>
        <v>0</v>
      </c>
      <c r="AL36" s="822"/>
      <c r="AM36" s="1520">
        <f t="shared" si="4"/>
        <v>0</v>
      </c>
    </row>
    <row r="37" spans="1:39" s="813" customFormat="1">
      <c r="A37" s="832" t="s">
        <v>72</v>
      </c>
      <c r="B37" s="765">
        <f t="shared" si="5"/>
        <v>5000000</v>
      </c>
      <c r="C37" s="94" t="s">
        <v>36</v>
      </c>
      <c r="D37" s="94" t="s">
        <v>829</v>
      </c>
      <c r="E37" s="94" t="s">
        <v>70</v>
      </c>
      <c r="F37" s="94" t="s">
        <v>411</v>
      </c>
      <c r="G37" s="80" t="s">
        <v>71</v>
      </c>
      <c r="H37" s="1362" t="s">
        <v>1642</v>
      </c>
      <c r="I37" s="1907" t="s">
        <v>325</v>
      </c>
      <c r="J37" s="1008">
        <v>649</v>
      </c>
      <c r="K37" s="831">
        <v>5000000</v>
      </c>
      <c r="L37" s="1011">
        <v>732</v>
      </c>
      <c r="M37" s="764">
        <v>5000000</v>
      </c>
      <c r="N37" s="1011">
        <v>881</v>
      </c>
      <c r="O37" s="764">
        <v>5000000</v>
      </c>
      <c r="P37" s="1228">
        <v>173</v>
      </c>
      <c r="Q37" s="830"/>
      <c r="R37" s="1087"/>
      <c r="S37" s="831"/>
      <c r="T37" s="831"/>
      <c r="U37" s="831"/>
      <c r="V37" s="831"/>
      <c r="W37" s="831"/>
      <c r="X37" s="831"/>
      <c r="Y37" s="831"/>
      <c r="Z37" s="831"/>
      <c r="AA37" s="831">
        <f>583333+1250000</f>
        <v>1833333</v>
      </c>
      <c r="AB37" s="1932">
        <f>2500000+666667</f>
        <v>3166667</v>
      </c>
      <c r="AC37" s="233">
        <f t="shared" si="0"/>
        <v>5000000</v>
      </c>
      <c r="AD37" s="182">
        <f t="shared" si="1"/>
        <v>0</v>
      </c>
      <c r="AF37" s="865" t="s">
        <v>325</v>
      </c>
      <c r="AG37" s="802" t="s">
        <v>1297</v>
      </c>
      <c r="AH37" s="1067" t="s">
        <v>717</v>
      </c>
      <c r="AI37" s="606">
        <f t="shared" si="2"/>
        <v>173</v>
      </c>
      <c r="AJ37" s="154">
        <v>5000000</v>
      </c>
      <c r="AK37" s="866">
        <f t="shared" si="3"/>
        <v>0</v>
      </c>
      <c r="AL37" s="822"/>
      <c r="AM37" s="1520">
        <f t="shared" si="4"/>
        <v>0</v>
      </c>
    </row>
    <row r="38" spans="1:39" s="813" customFormat="1">
      <c r="A38" s="832" t="s">
        <v>72</v>
      </c>
      <c r="B38" s="765">
        <f t="shared" si="5"/>
        <v>0</v>
      </c>
      <c r="C38" s="94" t="s">
        <v>36</v>
      </c>
      <c r="D38" s="94" t="s">
        <v>829</v>
      </c>
      <c r="E38" s="94" t="s">
        <v>70</v>
      </c>
      <c r="F38" s="94" t="s">
        <v>411</v>
      </c>
      <c r="G38" s="80" t="s">
        <v>71</v>
      </c>
      <c r="H38" s="1362" t="s">
        <v>1642</v>
      </c>
      <c r="I38" s="1907">
        <v>220</v>
      </c>
      <c r="J38" s="1008">
        <v>0</v>
      </c>
      <c r="K38" s="831"/>
      <c r="L38" s="1011"/>
      <c r="M38" s="764"/>
      <c r="N38" s="1011"/>
      <c r="O38" s="764"/>
      <c r="P38" s="1228"/>
      <c r="Q38" s="830"/>
      <c r="R38" s="1087"/>
      <c r="S38" s="831"/>
      <c r="T38" s="831"/>
      <c r="U38" s="831"/>
      <c r="V38" s="831"/>
      <c r="W38" s="831"/>
      <c r="X38" s="831"/>
      <c r="Y38" s="831"/>
      <c r="Z38" s="831"/>
      <c r="AA38" s="831"/>
      <c r="AB38" s="1932"/>
      <c r="AC38" s="233">
        <f t="shared" si="0"/>
        <v>0</v>
      </c>
      <c r="AD38" s="182">
        <f t="shared" si="1"/>
        <v>0</v>
      </c>
      <c r="AF38" s="865">
        <v>220</v>
      </c>
      <c r="AG38" s="802" t="s">
        <v>423</v>
      </c>
      <c r="AH38" s="1067" t="s">
        <v>173</v>
      </c>
      <c r="AI38" s="606">
        <f t="shared" si="2"/>
        <v>0</v>
      </c>
      <c r="AJ38" s="154">
        <f>66000000-3000000-63000000</f>
        <v>0</v>
      </c>
      <c r="AK38" s="866">
        <f t="shared" si="3"/>
        <v>0</v>
      </c>
      <c r="AL38" s="822"/>
      <c r="AM38" s="1520">
        <f t="shared" si="4"/>
        <v>0</v>
      </c>
    </row>
    <row r="39" spans="1:39" s="813" customFormat="1">
      <c r="A39" s="832" t="s">
        <v>72</v>
      </c>
      <c r="B39" s="765">
        <f t="shared" si="5"/>
        <v>44640000</v>
      </c>
      <c r="C39" s="94" t="s">
        <v>36</v>
      </c>
      <c r="D39" s="94" t="s">
        <v>829</v>
      </c>
      <c r="E39" s="94" t="s">
        <v>70</v>
      </c>
      <c r="F39" s="94" t="s">
        <v>411</v>
      </c>
      <c r="G39" s="80" t="s">
        <v>71</v>
      </c>
      <c r="H39" s="1362" t="s">
        <v>1642</v>
      </c>
      <c r="I39" s="1907">
        <v>221</v>
      </c>
      <c r="J39" s="1008">
        <v>0</v>
      </c>
      <c r="K39" s="831"/>
      <c r="L39" s="1011">
        <v>407</v>
      </c>
      <c r="M39" s="764">
        <f>48600000-3960000</f>
        <v>44640000</v>
      </c>
      <c r="N39" s="1011">
        <v>438</v>
      </c>
      <c r="O39" s="764">
        <f>48600000-3960000</f>
        <v>44640000</v>
      </c>
      <c r="P39" s="1228">
        <v>315</v>
      </c>
      <c r="Q39" s="830"/>
      <c r="R39" s="1087"/>
      <c r="S39" s="831"/>
      <c r="T39" s="831"/>
      <c r="U39" s="831">
        <v>1440000</v>
      </c>
      <c r="V39" s="831">
        <v>5400000</v>
      </c>
      <c r="W39" s="831">
        <v>5400000</v>
      </c>
      <c r="X39" s="831">
        <v>5400000</v>
      </c>
      <c r="Y39" s="831">
        <v>5400000</v>
      </c>
      <c r="Z39" s="831">
        <v>5400000</v>
      </c>
      <c r="AA39" s="831"/>
      <c r="AB39" s="1932">
        <f>5400000+5400000</f>
        <v>10800000</v>
      </c>
      <c r="AC39" s="233">
        <f t="shared" si="0"/>
        <v>39240000</v>
      </c>
      <c r="AD39" s="182">
        <f t="shared" si="1"/>
        <v>5400000</v>
      </c>
      <c r="AF39" s="865">
        <v>221</v>
      </c>
      <c r="AG39" s="802" t="s">
        <v>424</v>
      </c>
      <c r="AH39" s="1067" t="s">
        <v>908</v>
      </c>
      <c r="AI39" s="606">
        <f t="shared" si="2"/>
        <v>315</v>
      </c>
      <c r="AJ39" s="154">
        <f>46800000+5200000+200000-3600000-3960000</f>
        <v>44640000</v>
      </c>
      <c r="AK39" s="866">
        <f t="shared" si="3"/>
        <v>0</v>
      </c>
      <c r="AL39" s="822"/>
      <c r="AM39" s="1520">
        <f t="shared" si="4"/>
        <v>0</v>
      </c>
    </row>
    <row r="40" spans="1:39" s="813" customFormat="1">
      <c r="A40" s="832" t="s">
        <v>72</v>
      </c>
      <c r="B40" s="765">
        <f t="shared" si="5"/>
        <v>11100000</v>
      </c>
      <c r="C40" s="94" t="s">
        <v>36</v>
      </c>
      <c r="D40" s="94" t="s">
        <v>829</v>
      </c>
      <c r="E40" s="94" t="s">
        <v>70</v>
      </c>
      <c r="F40" s="94" t="s">
        <v>411</v>
      </c>
      <c r="G40" s="80" t="s">
        <v>71</v>
      </c>
      <c r="H40" s="1362" t="s">
        <v>1642</v>
      </c>
      <c r="I40" s="1907">
        <v>224</v>
      </c>
      <c r="J40" s="1008">
        <v>0</v>
      </c>
      <c r="K40" s="831"/>
      <c r="L40" s="1011">
        <v>12</v>
      </c>
      <c r="M40" s="764">
        <v>11100000</v>
      </c>
      <c r="N40" s="1011">
        <v>141</v>
      </c>
      <c r="O40" s="764">
        <v>11100000</v>
      </c>
      <c r="P40" s="1228">
        <v>55</v>
      </c>
      <c r="Q40" s="830"/>
      <c r="R40" s="1087">
        <v>986667</v>
      </c>
      <c r="S40" s="831">
        <v>3700000</v>
      </c>
      <c r="T40" s="831">
        <f>VLOOKUP(N40,[8]Hoja2!N$63:T$105,7,0)</f>
        <v>3700000</v>
      </c>
      <c r="U40" s="831">
        <v>2713333</v>
      </c>
      <c r="V40" s="831"/>
      <c r="W40" s="831"/>
      <c r="X40" s="831"/>
      <c r="Y40" s="831"/>
      <c r="Z40" s="831"/>
      <c r="AA40" s="831"/>
      <c r="AB40" s="1932"/>
      <c r="AC40" s="233">
        <f t="shared" si="0"/>
        <v>11100000</v>
      </c>
      <c r="AD40" s="182">
        <f t="shared" si="1"/>
        <v>0</v>
      </c>
      <c r="AF40" s="865">
        <v>224</v>
      </c>
      <c r="AG40" s="802" t="s">
        <v>425</v>
      </c>
      <c r="AH40" s="1067" t="s">
        <v>905</v>
      </c>
      <c r="AI40" s="606">
        <f t="shared" si="2"/>
        <v>55</v>
      </c>
      <c r="AJ40" s="154">
        <v>11100000</v>
      </c>
      <c r="AK40" s="866">
        <f t="shared" si="3"/>
        <v>0</v>
      </c>
      <c r="AL40" s="822"/>
      <c r="AM40" s="1520">
        <f t="shared" si="4"/>
        <v>0</v>
      </c>
    </row>
    <row r="41" spans="1:39" s="813" customFormat="1">
      <c r="A41" s="832" t="s">
        <v>72</v>
      </c>
      <c r="B41" s="765">
        <f t="shared" si="5"/>
        <v>3700000</v>
      </c>
      <c r="C41" s="94" t="s">
        <v>36</v>
      </c>
      <c r="D41" s="94" t="s">
        <v>829</v>
      </c>
      <c r="E41" s="94" t="s">
        <v>70</v>
      </c>
      <c r="F41" s="94" t="s">
        <v>411</v>
      </c>
      <c r="G41" s="80" t="s">
        <v>71</v>
      </c>
      <c r="H41" s="1362" t="s">
        <v>1642</v>
      </c>
      <c r="I41" s="1907">
        <v>224</v>
      </c>
      <c r="J41" s="1008"/>
      <c r="K41" s="831"/>
      <c r="L41" s="1011">
        <v>425</v>
      </c>
      <c r="M41" s="764">
        <v>3700000</v>
      </c>
      <c r="N41" s="1011">
        <v>432</v>
      </c>
      <c r="O41" s="764">
        <v>3700000</v>
      </c>
      <c r="P41" s="1228">
        <v>55</v>
      </c>
      <c r="Q41" s="830"/>
      <c r="R41" s="1087"/>
      <c r="S41" s="831"/>
      <c r="T41" s="831"/>
      <c r="U41" s="831">
        <v>986667</v>
      </c>
      <c r="V41" s="831">
        <v>2713333</v>
      </c>
      <c r="W41" s="831"/>
      <c r="X41" s="831"/>
      <c r="Y41" s="831"/>
      <c r="Z41" s="831"/>
      <c r="AA41" s="831"/>
      <c r="AB41" s="1932"/>
      <c r="AC41" s="233">
        <f t="shared" si="0"/>
        <v>3700000</v>
      </c>
      <c r="AD41" s="182">
        <f t="shared" si="1"/>
        <v>0</v>
      </c>
      <c r="AF41" s="865">
        <v>224</v>
      </c>
      <c r="AG41" s="802" t="s">
        <v>895</v>
      </c>
      <c r="AH41" s="1067" t="s">
        <v>905</v>
      </c>
      <c r="AI41" s="606">
        <f t="shared" si="2"/>
        <v>55</v>
      </c>
      <c r="AJ41" s="154">
        <v>3700000</v>
      </c>
      <c r="AK41" s="866">
        <f t="shared" si="3"/>
        <v>0</v>
      </c>
      <c r="AL41" s="822"/>
      <c r="AM41" s="1520">
        <f t="shared" si="4"/>
        <v>0</v>
      </c>
    </row>
    <row r="42" spans="1:39" s="813" customFormat="1">
      <c r="A42" s="832" t="s">
        <v>72</v>
      </c>
      <c r="B42" s="765">
        <f t="shared" si="5"/>
        <v>1726667</v>
      </c>
      <c r="C42" s="94" t="s">
        <v>36</v>
      </c>
      <c r="D42" s="94" t="s">
        <v>829</v>
      </c>
      <c r="E42" s="94" t="s">
        <v>70</v>
      </c>
      <c r="F42" s="94" t="s">
        <v>411</v>
      </c>
      <c r="G42" s="80" t="s">
        <v>71</v>
      </c>
      <c r="H42" s="1362" t="s">
        <v>1642</v>
      </c>
      <c r="I42" s="1907">
        <v>224</v>
      </c>
      <c r="J42" s="1008"/>
      <c r="K42" s="831"/>
      <c r="L42" s="1011">
        <v>496</v>
      </c>
      <c r="M42" s="764">
        <f>1850000-123333</f>
        <v>1726667</v>
      </c>
      <c r="N42" s="1011">
        <v>521</v>
      </c>
      <c r="O42" s="764">
        <f>1850000-123333</f>
        <v>1726667</v>
      </c>
      <c r="P42" s="1228">
        <v>55</v>
      </c>
      <c r="Q42" s="830"/>
      <c r="R42" s="1087"/>
      <c r="S42" s="831"/>
      <c r="T42" s="831"/>
      <c r="U42" s="831"/>
      <c r="V42" s="831">
        <v>986667</v>
      </c>
      <c r="W42" s="831">
        <v>740000</v>
      </c>
      <c r="X42" s="831"/>
      <c r="Y42" s="831"/>
      <c r="Z42" s="831"/>
      <c r="AA42" s="831"/>
      <c r="AB42" s="1932"/>
      <c r="AC42" s="233">
        <f t="shared" si="0"/>
        <v>1726667</v>
      </c>
      <c r="AD42" s="182">
        <f t="shared" si="1"/>
        <v>0</v>
      </c>
      <c r="AF42" s="865">
        <v>224</v>
      </c>
      <c r="AG42" s="802" t="s">
        <v>938</v>
      </c>
      <c r="AH42" s="1067" t="s">
        <v>905</v>
      </c>
      <c r="AI42" s="606">
        <f t="shared" si="2"/>
        <v>55</v>
      </c>
      <c r="AJ42" s="154">
        <f>1850000-123333</f>
        <v>1726667</v>
      </c>
      <c r="AK42" s="866">
        <f t="shared" si="3"/>
        <v>0</v>
      </c>
      <c r="AL42" s="822"/>
      <c r="AM42" s="1520">
        <f t="shared" si="4"/>
        <v>0</v>
      </c>
    </row>
    <row r="43" spans="1:39" s="813" customFormat="1">
      <c r="A43" s="832" t="s">
        <v>72</v>
      </c>
      <c r="B43" s="765">
        <f t="shared" si="5"/>
        <v>38780000</v>
      </c>
      <c r="C43" s="94" t="s">
        <v>36</v>
      </c>
      <c r="D43" s="94" t="s">
        <v>829</v>
      </c>
      <c r="E43" s="94" t="s">
        <v>70</v>
      </c>
      <c r="F43" s="94" t="s">
        <v>411</v>
      </c>
      <c r="G43" s="80" t="s">
        <v>71</v>
      </c>
      <c r="H43" s="1362" t="s">
        <v>1642</v>
      </c>
      <c r="I43" s="1907">
        <v>225</v>
      </c>
      <c r="J43" s="1008">
        <v>0</v>
      </c>
      <c r="K43" s="831"/>
      <c r="L43" s="1011">
        <v>30</v>
      </c>
      <c r="M43" s="764">
        <f>60940000-22160000</f>
        <v>38780000</v>
      </c>
      <c r="N43" s="1011">
        <v>100</v>
      </c>
      <c r="O43" s="764">
        <f>60940000-22160000</f>
        <v>38780000</v>
      </c>
      <c r="P43" s="1228">
        <v>36</v>
      </c>
      <c r="Q43" s="830"/>
      <c r="R43" s="1087">
        <v>1477333</v>
      </c>
      <c r="S43" s="831">
        <v>5540000</v>
      </c>
      <c r="T43" s="831">
        <f>VLOOKUP(N43,[8]Hoja2!N$63:T$105,7,0)</f>
        <v>5540000</v>
      </c>
      <c r="U43" s="831">
        <v>5540000</v>
      </c>
      <c r="V43" s="831">
        <v>5540000</v>
      </c>
      <c r="W43" s="831">
        <v>5540000</v>
      </c>
      <c r="X43" s="831">
        <v>5540000</v>
      </c>
      <c r="Y43" s="831">
        <v>4062667</v>
      </c>
      <c r="Z43" s="831"/>
      <c r="AA43" s="831"/>
      <c r="AB43" s="1932"/>
      <c r="AC43" s="233">
        <f t="shared" si="0"/>
        <v>38780000</v>
      </c>
      <c r="AD43" s="182">
        <f t="shared" si="1"/>
        <v>0</v>
      </c>
      <c r="AF43" s="865">
        <v>225</v>
      </c>
      <c r="AG43" s="802" t="s">
        <v>426</v>
      </c>
      <c r="AH43" s="1067" t="str">
        <f>VLOOKUP(N43,[5]Hoja2!J$48:N$75,5,0)</f>
        <v>CARLOS ERNESTO LINCE RODRIGUEZ</v>
      </c>
      <c r="AI43" s="606">
        <f t="shared" si="2"/>
        <v>36</v>
      </c>
      <c r="AJ43" s="154">
        <f>60940000-22160000</f>
        <v>38780000</v>
      </c>
      <c r="AK43" s="866">
        <f t="shared" si="3"/>
        <v>0</v>
      </c>
      <c r="AL43" s="822"/>
      <c r="AM43" s="1520">
        <f t="shared" si="4"/>
        <v>0</v>
      </c>
    </row>
    <row r="44" spans="1:39" s="813" customFormat="1">
      <c r="A44" s="832" t="s">
        <v>72</v>
      </c>
      <c r="B44" s="765">
        <f t="shared" si="5"/>
        <v>22000000</v>
      </c>
      <c r="C44" s="94" t="s">
        <v>36</v>
      </c>
      <c r="D44" s="94" t="s">
        <v>829</v>
      </c>
      <c r="E44" s="94" t="s">
        <v>70</v>
      </c>
      <c r="F44" s="94" t="s">
        <v>411</v>
      </c>
      <c r="G44" s="80" t="s">
        <v>71</v>
      </c>
      <c r="H44" s="1362" t="s">
        <v>1642</v>
      </c>
      <c r="I44" s="1907">
        <v>227</v>
      </c>
      <c r="J44" s="1008">
        <v>0</v>
      </c>
      <c r="K44" s="831"/>
      <c r="L44" s="1011">
        <v>5</v>
      </c>
      <c r="M44" s="764">
        <v>22000000</v>
      </c>
      <c r="N44" s="1011">
        <v>52</v>
      </c>
      <c r="O44" s="764">
        <v>22000000</v>
      </c>
      <c r="P44" s="1228">
        <v>44</v>
      </c>
      <c r="Q44" s="830"/>
      <c r="R44" s="1087">
        <v>2383333</v>
      </c>
      <c r="S44" s="831">
        <v>5500000</v>
      </c>
      <c r="T44" s="831">
        <f>VLOOKUP(N44,[8]Hoja2!N$63:T$105,7,0)</f>
        <v>5500000</v>
      </c>
      <c r="U44" s="831">
        <v>5500000</v>
      </c>
      <c r="V44" s="831">
        <v>3116667</v>
      </c>
      <c r="W44" s="831"/>
      <c r="X44" s="831"/>
      <c r="Y44" s="831"/>
      <c r="Z44" s="831"/>
      <c r="AA44" s="831"/>
      <c r="AB44" s="1932"/>
      <c r="AC44" s="233">
        <f t="shared" si="0"/>
        <v>22000000</v>
      </c>
      <c r="AD44" s="182">
        <f t="shared" si="1"/>
        <v>0</v>
      </c>
      <c r="AF44" s="865">
        <v>227</v>
      </c>
      <c r="AG44" s="802" t="s">
        <v>427</v>
      </c>
      <c r="AH44" s="1067" t="s">
        <v>989</v>
      </c>
      <c r="AI44" s="606">
        <f t="shared" si="2"/>
        <v>44</v>
      </c>
      <c r="AJ44" s="154">
        <v>22000000</v>
      </c>
      <c r="AK44" s="866">
        <f t="shared" si="3"/>
        <v>0</v>
      </c>
      <c r="AL44" s="822"/>
      <c r="AM44" s="1520">
        <f t="shared" si="4"/>
        <v>0</v>
      </c>
    </row>
    <row r="45" spans="1:39" s="813" customFormat="1">
      <c r="A45" s="832" t="s">
        <v>72</v>
      </c>
      <c r="B45" s="765">
        <f t="shared" si="5"/>
        <v>2750000</v>
      </c>
      <c r="C45" s="94" t="s">
        <v>36</v>
      </c>
      <c r="D45" s="94" t="s">
        <v>829</v>
      </c>
      <c r="E45" s="94" t="s">
        <v>70</v>
      </c>
      <c r="F45" s="94" t="s">
        <v>411</v>
      </c>
      <c r="G45" s="80" t="s">
        <v>71</v>
      </c>
      <c r="H45" s="1362" t="s">
        <v>1642</v>
      </c>
      <c r="I45" s="1907">
        <v>227</v>
      </c>
      <c r="J45" s="1008"/>
      <c r="K45" s="831"/>
      <c r="L45" s="1011">
        <v>477</v>
      </c>
      <c r="M45" s="764">
        <v>2750000</v>
      </c>
      <c r="N45" s="1011">
        <v>510</v>
      </c>
      <c r="O45" s="764">
        <v>2750000</v>
      </c>
      <c r="P45" s="1228">
        <v>44</v>
      </c>
      <c r="Q45" s="830"/>
      <c r="R45" s="1087"/>
      <c r="S45" s="831"/>
      <c r="T45" s="831"/>
      <c r="U45" s="831"/>
      <c r="V45" s="831">
        <v>2383333</v>
      </c>
      <c r="W45" s="831">
        <v>366667</v>
      </c>
      <c r="X45" s="831"/>
      <c r="Y45" s="831"/>
      <c r="Z45" s="831"/>
      <c r="AA45" s="831"/>
      <c r="AB45" s="1932"/>
      <c r="AC45" s="233">
        <f t="shared" si="0"/>
        <v>2750000</v>
      </c>
      <c r="AD45" s="182">
        <f t="shared" si="1"/>
        <v>0</v>
      </c>
      <c r="AF45" s="865">
        <v>227</v>
      </c>
      <c r="AG45" s="802" t="s">
        <v>941</v>
      </c>
      <c r="AH45" s="1067" t="s">
        <v>989</v>
      </c>
      <c r="AI45" s="606">
        <f t="shared" si="2"/>
        <v>44</v>
      </c>
      <c r="AJ45" s="154">
        <v>2750000</v>
      </c>
      <c r="AK45" s="866">
        <f t="shared" si="3"/>
        <v>0</v>
      </c>
      <c r="AL45" s="822"/>
      <c r="AM45" s="1520">
        <f t="shared" si="4"/>
        <v>0</v>
      </c>
    </row>
    <row r="46" spans="1:39" s="813" customFormat="1">
      <c r="A46" s="832" t="s">
        <v>72</v>
      </c>
      <c r="B46" s="765">
        <f t="shared" si="5"/>
        <v>0</v>
      </c>
      <c r="C46" s="94" t="s">
        <v>36</v>
      </c>
      <c r="D46" s="94" t="s">
        <v>829</v>
      </c>
      <c r="E46" s="94" t="s">
        <v>70</v>
      </c>
      <c r="F46" s="94" t="s">
        <v>411</v>
      </c>
      <c r="G46" s="80" t="s">
        <v>71</v>
      </c>
      <c r="H46" s="1362" t="s">
        <v>1642</v>
      </c>
      <c r="I46" s="1907">
        <v>228</v>
      </c>
      <c r="J46" s="1008">
        <v>0</v>
      </c>
      <c r="K46" s="831"/>
      <c r="L46" s="1011"/>
      <c r="M46" s="764"/>
      <c r="N46" s="1011"/>
      <c r="O46" s="764"/>
      <c r="P46" s="1228"/>
      <c r="Q46" s="830"/>
      <c r="R46" s="1087"/>
      <c r="S46" s="831"/>
      <c r="T46" s="831"/>
      <c r="U46" s="831"/>
      <c r="V46" s="831"/>
      <c r="W46" s="831"/>
      <c r="X46" s="831"/>
      <c r="Y46" s="831"/>
      <c r="Z46" s="831"/>
      <c r="AA46" s="831"/>
      <c r="AB46" s="1932"/>
      <c r="AC46" s="233">
        <f t="shared" si="0"/>
        <v>0</v>
      </c>
      <c r="AD46" s="182">
        <f t="shared" si="1"/>
        <v>0</v>
      </c>
      <c r="AF46" s="865">
        <v>228</v>
      </c>
      <c r="AG46" s="802" t="s">
        <v>428</v>
      </c>
      <c r="AH46" s="1067" t="s">
        <v>173</v>
      </c>
      <c r="AI46" s="606">
        <f t="shared" si="2"/>
        <v>0</v>
      </c>
      <c r="AJ46" s="154">
        <f>60550000-15010000-6200000-25200000-2060000-12080000</f>
        <v>0</v>
      </c>
      <c r="AK46" s="866">
        <f t="shared" si="3"/>
        <v>0</v>
      </c>
      <c r="AL46" s="822"/>
      <c r="AM46" s="1520">
        <f t="shared" si="4"/>
        <v>0</v>
      </c>
    </row>
    <row r="47" spans="1:39" s="813" customFormat="1">
      <c r="A47" s="832" t="s">
        <v>72</v>
      </c>
      <c r="B47" s="765">
        <f t="shared" si="5"/>
        <v>0</v>
      </c>
      <c r="C47" s="94" t="s">
        <v>36</v>
      </c>
      <c r="D47" s="94" t="s">
        <v>829</v>
      </c>
      <c r="E47" s="94" t="s">
        <v>70</v>
      </c>
      <c r="F47" s="94" t="s">
        <v>411</v>
      </c>
      <c r="G47" s="80" t="s">
        <v>71</v>
      </c>
      <c r="H47" s="1362" t="s">
        <v>1642</v>
      </c>
      <c r="I47" s="1907">
        <v>229</v>
      </c>
      <c r="J47" s="1008">
        <v>0</v>
      </c>
      <c r="K47" s="831"/>
      <c r="L47" s="1011"/>
      <c r="M47" s="764"/>
      <c r="N47" s="1011"/>
      <c r="O47" s="764"/>
      <c r="P47" s="1228"/>
      <c r="Q47" s="830"/>
      <c r="R47" s="1087"/>
      <c r="S47" s="831"/>
      <c r="T47" s="831"/>
      <c r="U47" s="831"/>
      <c r="V47" s="831"/>
      <c r="W47" s="831"/>
      <c r="X47" s="831"/>
      <c r="Y47" s="831"/>
      <c r="Z47" s="831"/>
      <c r="AA47" s="831"/>
      <c r="AB47" s="1932"/>
      <c r="AC47" s="233">
        <f t="shared" si="0"/>
        <v>0</v>
      </c>
      <c r="AD47" s="182">
        <f t="shared" si="1"/>
        <v>0</v>
      </c>
      <c r="AF47" s="865">
        <v>229</v>
      </c>
      <c r="AG47" s="802" t="s">
        <v>429</v>
      </c>
      <c r="AH47" s="1067" t="s">
        <v>173</v>
      </c>
      <c r="AI47" s="606">
        <f t="shared" si="2"/>
        <v>0</v>
      </c>
      <c r="AJ47" s="154">
        <f>16900000-16900000</f>
        <v>0</v>
      </c>
      <c r="AK47" s="866">
        <f t="shared" si="3"/>
        <v>0</v>
      </c>
      <c r="AL47" s="822"/>
      <c r="AM47" s="1520">
        <f t="shared" si="4"/>
        <v>0</v>
      </c>
    </row>
    <row r="48" spans="1:39" s="813" customFormat="1">
      <c r="A48" s="832" t="s">
        <v>72</v>
      </c>
      <c r="B48" s="765">
        <f t="shared" si="5"/>
        <v>17783333</v>
      </c>
      <c r="C48" s="94" t="s">
        <v>36</v>
      </c>
      <c r="D48" s="94" t="s">
        <v>829</v>
      </c>
      <c r="E48" s="94" t="s">
        <v>70</v>
      </c>
      <c r="F48" s="94" t="s">
        <v>411</v>
      </c>
      <c r="G48" s="80" t="s">
        <v>71</v>
      </c>
      <c r="H48" s="1362" t="s">
        <v>1642</v>
      </c>
      <c r="I48" s="1907">
        <v>230</v>
      </c>
      <c r="J48" s="1008">
        <v>0</v>
      </c>
      <c r="K48" s="831"/>
      <c r="L48" s="1011">
        <v>7</v>
      </c>
      <c r="M48" s="764">
        <f>22000000-4216667</f>
        <v>17783333</v>
      </c>
      <c r="N48" s="1011">
        <v>150</v>
      </c>
      <c r="O48" s="764">
        <f>22000000-4216667</f>
        <v>17783333</v>
      </c>
      <c r="P48" s="1228">
        <v>45</v>
      </c>
      <c r="Q48" s="830"/>
      <c r="R48" s="1087">
        <v>1283333</v>
      </c>
      <c r="S48" s="831">
        <v>5500000</v>
      </c>
      <c r="T48" s="831">
        <v>5500000</v>
      </c>
      <c r="U48" s="831">
        <v>5500000</v>
      </c>
      <c r="V48" s="831"/>
      <c r="W48" s="831"/>
      <c r="X48" s="831"/>
      <c r="Y48" s="831"/>
      <c r="Z48" s="831"/>
      <c r="AA48" s="831"/>
      <c r="AB48" s="1932"/>
      <c r="AC48" s="233">
        <f t="shared" si="0"/>
        <v>17783333</v>
      </c>
      <c r="AD48" s="182">
        <f t="shared" si="1"/>
        <v>0</v>
      </c>
      <c r="AF48" s="865">
        <v>230</v>
      </c>
      <c r="AG48" s="802" t="s">
        <v>430</v>
      </c>
      <c r="AH48" s="1067" t="str">
        <f>VLOOKUP(N48,[5]Hoja2!J$48:N$75,5,0)</f>
        <v>ANA GABRIELA PINILLA GONZALEZ</v>
      </c>
      <c r="AI48" s="606">
        <f t="shared" si="2"/>
        <v>45</v>
      </c>
      <c r="AJ48" s="154">
        <f>22000000-4216667</f>
        <v>17783333</v>
      </c>
      <c r="AK48" s="866">
        <f t="shared" si="3"/>
        <v>0</v>
      </c>
      <c r="AL48" s="822"/>
      <c r="AM48" s="1520">
        <f t="shared" si="4"/>
        <v>0</v>
      </c>
    </row>
    <row r="49" spans="1:39" s="813" customFormat="1">
      <c r="A49" s="832" t="s">
        <v>72</v>
      </c>
      <c r="B49" s="765">
        <f t="shared" si="5"/>
        <v>31166667</v>
      </c>
      <c r="C49" s="94" t="s">
        <v>36</v>
      </c>
      <c r="D49" s="94" t="s">
        <v>829</v>
      </c>
      <c r="E49" s="94" t="s">
        <v>70</v>
      </c>
      <c r="F49" s="94" t="s">
        <v>411</v>
      </c>
      <c r="G49" s="80" t="s">
        <v>71</v>
      </c>
      <c r="H49" s="1362" t="s">
        <v>1642</v>
      </c>
      <c r="I49" s="1907">
        <v>231</v>
      </c>
      <c r="J49" s="1008">
        <v>0</v>
      </c>
      <c r="K49" s="831"/>
      <c r="L49" s="1011">
        <v>580</v>
      </c>
      <c r="M49" s="764">
        <v>31166667</v>
      </c>
      <c r="N49" s="1011">
        <v>665</v>
      </c>
      <c r="O49" s="764">
        <v>31166667</v>
      </c>
      <c r="P49" s="1228">
        <v>408</v>
      </c>
      <c r="Q49" s="830"/>
      <c r="R49" s="1087"/>
      <c r="S49" s="831"/>
      <c r="T49" s="831"/>
      <c r="U49" s="831"/>
      <c r="V49" s="831"/>
      <c r="W49" s="831"/>
      <c r="X49" s="831">
        <v>4216667</v>
      </c>
      <c r="Y49" s="831">
        <v>5500000</v>
      </c>
      <c r="Z49" s="831">
        <v>5500000</v>
      </c>
      <c r="AA49" s="831">
        <v>5500000</v>
      </c>
      <c r="AB49" s="1932">
        <f>5500000+4950000</f>
        <v>10450000</v>
      </c>
      <c r="AC49" s="233">
        <f t="shared" si="0"/>
        <v>31166667</v>
      </c>
      <c r="AD49" s="182">
        <f t="shared" si="1"/>
        <v>0</v>
      </c>
      <c r="AF49" s="865">
        <v>231</v>
      </c>
      <c r="AG49" s="802" t="s">
        <v>1067</v>
      </c>
      <c r="AH49" s="1067" t="s">
        <v>1135</v>
      </c>
      <c r="AI49" s="606">
        <f t="shared" si="2"/>
        <v>408</v>
      </c>
      <c r="AJ49" s="154">
        <f>27500000+5500000-1833333</f>
        <v>31166667</v>
      </c>
      <c r="AK49" s="866">
        <f t="shared" si="3"/>
        <v>0</v>
      </c>
      <c r="AL49" s="822"/>
      <c r="AM49" s="1520">
        <f t="shared" si="4"/>
        <v>0</v>
      </c>
    </row>
    <row r="50" spans="1:39" s="813" customFormat="1">
      <c r="A50" s="832" t="s">
        <v>72</v>
      </c>
      <c r="B50" s="765">
        <f t="shared" si="5"/>
        <v>111180000</v>
      </c>
      <c r="C50" s="94" t="s">
        <v>36</v>
      </c>
      <c r="D50" s="94" t="s">
        <v>829</v>
      </c>
      <c r="E50" s="94" t="s">
        <v>70</v>
      </c>
      <c r="F50" s="94" t="s">
        <v>411</v>
      </c>
      <c r="G50" s="80" t="s">
        <v>71</v>
      </c>
      <c r="H50" s="1362" t="s">
        <v>1642</v>
      </c>
      <c r="I50" s="1907">
        <v>232</v>
      </c>
      <c r="J50" s="1008">
        <v>0</v>
      </c>
      <c r="K50" s="831"/>
      <c r="L50" s="1011">
        <v>235</v>
      </c>
      <c r="M50" s="764">
        <f>112200000-1020000</f>
        <v>111180000</v>
      </c>
      <c r="N50" s="1011">
        <v>219</v>
      </c>
      <c r="O50" s="764">
        <f>112200000-1020000</f>
        <v>111180000</v>
      </c>
      <c r="P50" s="1228">
        <v>190</v>
      </c>
      <c r="Q50" s="830"/>
      <c r="R50" s="1087"/>
      <c r="S50" s="831">
        <v>9180000</v>
      </c>
      <c r="T50" s="831">
        <v>10200000</v>
      </c>
      <c r="U50" s="831">
        <v>10200000</v>
      </c>
      <c r="V50" s="831">
        <v>10200000</v>
      </c>
      <c r="W50" s="831">
        <v>10200000</v>
      </c>
      <c r="X50" s="831">
        <v>10200000</v>
      </c>
      <c r="Y50" s="831">
        <v>10200000</v>
      </c>
      <c r="Z50" s="831">
        <v>10200000</v>
      </c>
      <c r="AA50" s="831">
        <v>10200000</v>
      </c>
      <c r="AB50" s="1932">
        <f>10200000+10200000</f>
        <v>20400000</v>
      </c>
      <c r="AC50" s="233">
        <f t="shared" ref="AC50:AC81" si="6">SUM(Q50:AB50)</f>
        <v>111180000</v>
      </c>
      <c r="AD50" s="182">
        <f t="shared" ref="AD50:AD81" si="7">O50-AC50</f>
        <v>0</v>
      </c>
      <c r="AF50" s="865">
        <v>232</v>
      </c>
      <c r="AG50" s="802" t="s">
        <v>431</v>
      </c>
      <c r="AH50" s="1067" t="s">
        <v>720</v>
      </c>
      <c r="AI50" s="606">
        <f t="shared" ref="AI50:AI81" si="8">P50</f>
        <v>190</v>
      </c>
      <c r="AJ50" s="154">
        <f>112200000-1020000</f>
        <v>111180000</v>
      </c>
      <c r="AK50" s="866">
        <f t="shared" ref="AK50:AK81" si="9">AJ50-O50</f>
        <v>0</v>
      </c>
      <c r="AL50" s="822"/>
      <c r="AM50" s="1520">
        <f t="shared" ref="AM50:AM81" si="10">AJ50-M50</f>
        <v>0</v>
      </c>
    </row>
    <row r="51" spans="1:39" s="813" customFormat="1">
      <c r="A51" s="832" t="s">
        <v>72</v>
      </c>
      <c r="B51" s="765">
        <f t="shared" si="5"/>
        <v>111360000</v>
      </c>
      <c r="C51" s="94" t="s">
        <v>36</v>
      </c>
      <c r="D51" s="94" t="s">
        <v>829</v>
      </c>
      <c r="E51" s="94" t="s">
        <v>70</v>
      </c>
      <c r="F51" s="94" t="s">
        <v>411</v>
      </c>
      <c r="G51" s="80" t="s">
        <v>71</v>
      </c>
      <c r="H51" s="1362" t="s">
        <v>1642</v>
      </c>
      <c r="I51" s="1907">
        <v>233</v>
      </c>
      <c r="J51" s="1008">
        <v>0</v>
      </c>
      <c r="K51" s="831"/>
      <c r="L51" s="1011">
        <v>253</v>
      </c>
      <c r="M51" s="764">
        <v>111360000</v>
      </c>
      <c r="N51" s="1011">
        <v>259</v>
      </c>
      <c r="O51" s="764">
        <v>111360000</v>
      </c>
      <c r="P51" s="1228">
        <v>231</v>
      </c>
      <c r="Q51" s="830"/>
      <c r="R51" s="1087"/>
      <c r="S51" s="831">
        <v>6960000</v>
      </c>
      <c r="T51" s="831">
        <v>10440000</v>
      </c>
      <c r="U51" s="831">
        <v>10440000</v>
      </c>
      <c r="V51" s="831">
        <v>10440000</v>
      </c>
      <c r="W51" s="831">
        <v>10440000</v>
      </c>
      <c r="X51" s="831">
        <v>10440000</v>
      </c>
      <c r="Y51" s="831">
        <v>10440000</v>
      </c>
      <c r="Z51" s="831">
        <v>10440000</v>
      </c>
      <c r="AA51" s="831">
        <v>10440000</v>
      </c>
      <c r="AB51" s="1932">
        <f>10440000+10440000</f>
        <v>20880000</v>
      </c>
      <c r="AC51" s="233">
        <f t="shared" si="6"/>
        <v>111360000</v>
      </c>
      <c r="AD51" s="182">
        <f t="shared" si="7"/>
        <v>0</v>
      </c>
      <c r="AF51" s="865">
        <v>233</v>
      </c>
      <c r="AG51" s="802" t="s">
        <v>432</v>
      </c>
      <c r="AH51" s="1067" t="s">
        <v>723</v>
      </c>
      <c r="AI51" s="606">
        <f t="shared" si="8"/>
        <v>231</v>
      </c>
      <c r="AJ51" s="154">
        <f>114840000-3480000</f>
        <v>111360000</v>
      </c>
      <c r="AK51" s="866">
        <f t="shared" si="9"/>
        <v>0</v>
      </c>
      <c r="AL51" s="822"/>
      <c r="AM51" s="1520">
        <f t="shared" si="10"/>
        <v>0</v>
      </c>
    </row>
    <row r="52" spans="1:39" s="813" customFormat="1">
      <c r="A52" s="832" t="s">
        <v>72</v>
      </c>
      <c r="B52" s="765">
        <f t="shared" si="5"/>
        <v>96900000</v>
      </c>
      <c r="C52" s="94" t="s">
        <v>36</v>
      </c>
      <c r="D52" s="94" t="s">
        <v>829</v>
      </c>
      <c r="E52" s="94" t="s">
        <v>70</v>
      </c>
      <c r="F52" s="94" t="s">
        <v>411</v>
      </c>
      <c r="G52" s="80" t="s">
        <v>71</v>
      </c>
      <c r="H52" s="1362" t="s">
        <v>1642</v>
      </c>
      <c r="I52" s="1907">
        <v>234</v>
      </c>
      <c r="J52" s="1008">
        <v>0</v>
      </c>
      <c r="K52" s="831"/>
      <c r="L52" s="1011">
        <v>306</v>
      </c>
      <c r="M52" s="764">
        <v>96900000</v>
      </c>
      <c r="N52" s="1011">
        <v>342</v>
      </c>
      <c r="O52" s="764">
        <v>96900000</v>
      </c>
      <c r="P52" s="1228">
        <v>274</v>
      </c>
      <c r="Q52" s="830"/>
      <c r="R52" s="1087"/>
      <c r="S52" s="831"/>
      <c r="T52" s="831">
        <v>8500000</v>
      </c>
      <c r="U52" s="831">
        <v>10200000</v>
      </c>
      <c r="V52" s="831">
        <v>10200000</v>
      </c>
      <c r="W52" s="831">
        <v>10200000</v>
      </c>
      <c r="X52" s="831">
        <v>10200000</v>
      </c>
      <c r="Y52" s="831">
        <v>10200000</v>
      </c>
      <c r="Z52" s="831">
        <v>10200000</v>
      </c>
      <c r="AA52" s="831">
        <v>10200000</v>
      </c>
      <c r="AB52" s="1932">
        <f>10200000+6800000</f>
        <v>17000000</v>
      </c>
      <c r="AC52" s="233">
        <f t="shared" si="6"/>
        <v>96900000</v>
      </c>
      <c r="AD52" s="182">
        <f t="shared" si="7"/>
        <v>0</v>
      </c>
      <c r="AF52" s="865">
        <v>234</v>
      </c>
      <c r="AG52" s="802" t="s">
        <v>497</v>
      </c>
      <c r="AH52" s="1067" t="s">
        <v>792</v>
      </c>
      <c r="AI52" s="606">
        <f t="shared" si="8"/>
        <v>274</v>
      </c>
      <c r="AJ52" s="154">
        <f>112200000-15300000</f>
        <v>96900000</v>
      </c>
      <c r="AK52" s="866">
        <f t="shared" si="9"/>
        <v>0</v>
      </c>
      <c r="AL52" s="822"/>
      <c r="AM52" s="1520">
        <f t="shared" si="10"/>
        <v>0</v>
      </c>
    </row>
    <row r="53" spans="1:39" s="813" customFormat="1">
      <c r="A53" s="832" t="s">
        <v>72</v>
      </c>
      <c r="B53" s="765">
        <f t="shared" si="5"/>
        <v>0</v>
      </c>
      <c r="C53" s="94" t="s">
        <v>36</v>
      </c>
      <c r="D53" s="94" t="s">
        <v>829</v>
      </c>
      <c r="E53" s="94" t="s">
        <v>70</v>
      </c>
      <c r="F53" s="94" t="s">
        <v>411</v>
      </c>
      <c r="G53" s="80" t="s">
        <v>71</v>
      </c>
      <c r="H53" s="1362" t="s">
        <v>1642</v>
      </c>
      <c r="I53" s="1907">
        <v>235</v>
      </c>
      <c r="J53" s="1008">
        <v>0</v>
      </c>
      <c r="K53" s="831"/>
      <c r="L53" s="1011"/>
      <c r="M53" s="764"/>
      <c r="N53" s="1011"/>
      <c r="O53" s="764"/>
      <c r="P53" s="1228"/>
      <c r="Q53" s="830"/>
      <c r="R53" s="1087"/>
      <c r="S53" s="831"/>
      <c r="T53" s="831"/>
      <c r="U53" s="831"/>
      <c r="V53" s="831"/>
      <c r="W53" s="831"/>
      <c r="X53" s="831"/>
      <c r="Y53" s="831"/>
      <c r="Z53" s="831"/>
      <c r="AA53" s="831"/>
      <c r="AB53" s="1932"/>
      <c r="AC53" s="233">
        <f t="shared" si="6"/>
        <v>0</v>
      </c>
      <c r="AD53" s="182">
        <f t="shared" si="7"/>
        <v>0</v>
      </c>
      <c r="AF53" s="865">
        <v>235</v>
      </c>
      <c r="AG53" s="802" t="s">
        <v>434</v>
      </c>
      <c r="AH53" s="1067" t="s">
        <v>173</v>
      </c>
      <c r="AI53" s="606">
        <f t="shared" si="8"/>
        <v>0</v>
      </c>
      <c r="AJ53" s="154">
        <v>0</v>
      </c>
      <c r="AK53" s="866">
        <f t="shared" si="9"/>
        <v>0</v>
      </c>
      <c r="AL53" s="822"/>
      <c r="AM53" s="1520">
        <f t="shared" si="10"/>
        <v>0</v>
      </c>
    </row>
    <row r="54" spans="1:39" s="813" customFormat="1">
      <c r="A54" s="832" t="s">
        <v>72</v>
      </c>
      <c r="B54" s="765">
        <f t="shared" si="5"/>
        <v>12360000</v>
      </c>
      <c r="C54" s="94" t="s">
        <v>36</v>
      </c>
      <c r="D54" s="94" t="s">
        <v>829</v>
      </c>
      <c r="E54" s="94" t="s">
        <v>70</v>
      </c>
      <c r="F54" s="94" t="s">
        <v>411</v>
      </c>
      <c r="G54" s="80" t="s">
        <v>71</v>
      </c>
      <c r="H54" s="1362" t="s">
        <v>1642</v>
      </c>
      <c r="I54" s="1907">
        <v>237</v>
      </c>
      <c r="J54" s="1008">
        <v>0</v>
      </c>
      <c r="K54" s="831"/>
      <c r="L54" s="1011">
        <v>17</v>
      </c>
      <c r="M54" s="764">
        <v>12360000</v>
      </c>
      <c r="N54" s="1011">
        <v>139</v>
      </c>
      <c r="O54" s="764">
        <v>12360000</v>
      </c>
      <c r="P54" s="1228">
        <v>60</v>
      </c>
      <c r="Q54" s="830"/>
      <c r="R54" s="1087">
        <v>1098667</v>
      </c>
      <c r="S54" s="831">
        <v>4120000</v>
      </c>
      <c r="T54" s="831">
        <v>4120000</v>
      </c>
      <c r="U54" s="831">
        <v>2060000</v>
      </c>
      <c r="V54" s="831">
        <v>961333</v>
      </c>
      <c r="W54" s="831"/>
      <c r="X54" s="831"/>
      <c r="Y54" s="831"/>
      <c r="Z54" s="831"/>
      <c r="AA54" s="831"/>
      <c r="AB54" s="1932"/>
      <c r="AC54" s="233">
        <f t="shared" si="6"/>
        <v>12360000</v>
      </c>
      <c r="AD54" s="182">
        <f t="shared" si="7"/>
        <v>0</v>
      </c>
      <c r="AF54" s="865">
        <v>237</v>
      </c>
      <c r="AG54" s="802" t="s">
        <v>416</v>
      </c>
      <c r="AH54" s="1067" t="s">
        <v>894</v>
      </c>
      <c r="AI54" s="606">
        <f t="shared" si="8"/>
        <v>60</v>
      </c>
      <c r="AJ54" s="154">
        <v>12360000</v>
      </c>
      <c r="AK54" s="866">
        <f t="shared" si="9"/>
        <v>0</v>
      </c>
      <c r="AL54" s="822"/>
      <c r="AM54" s="1520">
        <f t="shared" si="10"/>
        <v>0</v>
      </c>
    </row>
    <row r="55" spans="1:39" s="813" customFormat="1">
      <c r="A55" s="832" t="s">
        <v>72</v>
      </c>
      <c r="B55" s="765">
        <f t="shared" si="5"/>
        <v>2060000</v>
      </c>
      <c r="C55" s="94" t="s">
        <v>36</v>
      </c>
      <c r="D55" s="94" t="s">
        <v>829</v>
      </c>
      <c r="E55" s="94" t="s">
        <v>70</v>
      </c>
      <c r="F55" s="94" t="s">
        <v>411</v>
      </c>
      <c r="G55" s="80" t="s">
        <v>71</v>
      </c>
      <c r="H55" s="1362" t="s">
        <v>1642</v>
      </c>
      <c r="I55" s="1907">
        <v>237</v>
      </c>
      <c r="J55" s="1008"/>
      <c r="K55" s="831"/>
      <c r="L55" s="1011">
        <v>424</v>
      </c>
      <c r="M55" s="764">
        <v>2060000</v>
      </c>
      <c r="N55" s="1011">
        <v>463</v>
      </c>
      <c r="O55" s="764">
        <v>2060000</v>
      </c>
      <c r="P55" s="1228">
        <v>60</v>
      </c>
      <c r="Q55" s="830"/>
      <c r="R55" s="1087"/>
      <c r="S55" s="831"/>
      <c r="T55" s="831"/>
      <c r="U55" s="831"/>
      <c r="V55" s="831">
        <v>2060000</v>
      </c>
      <c r="W55" s="831"/>
      <c r="X55" s="831"/>
      <c r="Y55" s="831"/>
      <c r="Z55" s="831"/>
      <c r="AA55" s="831"/>
      <c r="AB55" s="1932"/>
      <c r="AC55" s="233">
        <f t="shared" si="6"/>
        <v>2060000</v>
      </c>
      <c r="AD55" s="182">
        <f t="shared" si="7"/>
        <v>0</v>
      </c>
      <c r="AF55" s="865">
        <v>237</v>
      </c>
      <c r="AG55" s="802" t="s">
        <v>893</v>
      </c>
      <c r="AH55" s="1067" t="s">
        <v>894</v>
      </c>
      <c r="AI55" s="606">
        <f t="shared" si="8"/>
        <v>60</v>
      </c>
      <c r="AJ55" s="154">
        <v>2060000.0000000002</v>
      </c>
      <c r="AK55" s="866">
        <f t="shared" si="9"/>
        <v>0</v>
      </c>
      <c r="AL55" s="822"/>
      <c r="AM55" s="1520">
        <f t="shared" si="10"/>
        <v>0</v>
      </c>
    </row>
    <row r="56" spans="1:39" s="813" customFormat="1">
      <c r="A56" s="832" t="s">
        <v>72</v>
      </c>
      <c r="B56" s="765">
        <f t="shared" si="5"/>
        <v>1922667</v>
      </c>
      <c r="C56" s="94" t="s">
        <v>36</v>
      </c>
      <c r="D56" s="94" t="s">
        <v>829</v>
      </c>
      <c r="E56" s="94" t="s">
        <v>70</v>
      </c>
      <c r="F56" s="94" t="s">
        <v>411</v>
      </c>
      <c r="G56" s="80" t="s">
        <v>71</v>
      </c>
      <c r="H56" s="1362" t="s">
        <v>1642</v>
      </c>
      <c r="I56" s="1907">
        <v>237</v>
      </c>
      <c r="J56" s="1008"/>
      <c r="K56" s="831"/>
      <c r="L56" s="1011">
        <v>498</v>
      </c>
      <c r="M56" s="764">
        <f>2060000-137333</f>
        <v>1922667</v>
      </c>
      <c r="N56" s="1011">
        <v>518</v>
      </c>
      <c r="O56" s="764">
        <f>2060000-137333</f>
        <v>1922667</v>
      </c>
      <c r="P56" s="1228">
        <v>60</v>
      </c>
      <c r="Q56" s="830"/>
      <c r="R56" s="1087"/>
      <c r="S56" s="831"/>
      <c r="T56" s="831"/>
      <c r="U56" s="831"/>
      <c r="V56" s="831">
        <v>1098667</v>
      </c>
      <c r="W56" s="831">
        <v>824000</v>
      </c>
      <c r="X56" s="831"/>
      <c r="Y56" s="831"/>
      <c r="Z56" s="831"/>
      <c r="AA56" s="831"/>
      <c r="AB56" s="1932"/>
      <c r="AC56" s="233">
        <f t="shared" si="6"/>
        <v>1922667</v>
      </c>
      <c r="AD56" s="182">
        <f t="shared" si="7"/>
        <v>0</v>
      </c>
      <c r="AF56" s="865">
        <v>237</v>
      </c>
      <c r="AG56" s="802" t="s">
        <v>937</v>
      </c>
      <c r="AH56" s="1067" t="s">
        <v>894</v>
      </c>
      <c r="AI56" s="606">
        <f t="shared" si="8"/>
        <v>60</v>
      </c>
      <c r="AJ56" s="154">
        <f>2060000-137333</f>
        <v>1922667</v>
      </c>
      <c r="AK56" s="866">
        <f t="shared" si="9"/>
        <v>0</v>
      </c>
      <c r="AL56" s="822"/>
      <c r="AM56" s="1520">
        <f t="shared" si="10"/>
        <v>0</v>
      </c>
    </row>
    <row r="57" spans="1:39" s="813" customFormat="1">
      <c r="A57" s="832" t="s">
        <v>72</v>
      </c>
      <c r="B57" s="765">
        <f t="shared" si="5"/>
        <v>12360000</v>
      </c>
      <c r="C57" s="94" t="s">
        <v>36</v>
      </c>
      <c r="D57" s="94" t="s">
        <v>829</v>
      </c>
      <c r="E57" s="94" t="s">
        <v>70</v>
      </c>
      <c r="F57" s="94" t="s">
        <v>411</v>
      </c>
      <c r="G57" s="80" t="s">
        <v>71</v>
      </c>
      <c r="H57" s="1362" t="s">
        <v>1642</v>
      </c>
      <c r="I57" s="1907">
        <v>238</v>
      </c>
      <c r="J57" s="1008">
        <v>0</v>
      </c>
      <c r="K57" s="831"/>
      <c r="L57" s="1011">
        <v>15</v>
      </c>
      <c r="M57" s="764">
        <v>12360000</v>
      </c>
      <c r="N57" s="1011">
        <v>66</v>
      </c>
      <c r="O57" s="764">
        <v>12360000</v>
      </c>
      <c r="P57" s="1228">
        <v>61</v>
      </c>
      <c r="Q57" s="830"/>
      <c r="R57" s="1087">
        <v>1373333</v>
      </c>
      <c r="S57" s="831">
        <v>4120000</v>
      </c>
      <c r="T57" s="831">
        <v>4120000</v>
      </c>
      <c r="U57" s="831">
        <v>2746667</v>
      </c>
      <c r="V57" s="831"/>
      <c r="W57" s="831"/>
      <c r="X57" s="831"/>
      <c r="Y57" s="831"/>
      <c r="Z57" s="831"/>
      <c r="AA57" s="831"/>
      <c r="AB57" s="1932"/>
      <c r="AC57" s="233">
        <f t="shared" si="6"/>
        <v>12360000</v>
      </c>
      <c r="AD57" s="182">
        <f t="shared" si="7"/>
        <v>0</v>
      </c>
      <c r="AF57" s="865">
        <v>238</v>
      </c>
      <c r="AG57" s="802" t="s">
        <v>416</v>
      </c>
      <c r="AH57" s="1067" t="s">
        <v>897</v>
      </c>
      <c r="AI57" s="606">
        <f t="shared" si="8"/>
        <v>61</v>
      </c>
      <c r="AJ57" s="154">
        <v>12360000</v>
      </c>
      <c r="AK57" s="866">
        <f t="shared" si="9"/>
        <v>0</v>
      </c>
      <c r="AL57" s="822"/>
      <c r="AM57" s="1520">
        <f t="shared" si="10"/>
        <v>0</v>
      </c>
    </row>
    <row r="58" spans="1:39" s="813" customFormat="1">
      <c r="A58" s="832" t="s">
        <v>72</v>
      </c>
      <c r="B58" s="765">
        <f t="shared" si="5"/>
        <v>4120000</v>
      </c>
      <c r="C58" s="94" t="s">
        <v>36</v>
      </c>
      <c r="D58" s="94" t="s">
        <v>829</v>
      </c>
      <c r="E58" s="94" t="s">
        <v>70</v>
      </c>
      <c r="F58" s="94" t="s">
        <v>411</v>
      </c>
      <c r="G58" s="80" t="s">
        <v>71</v>
      </c>
      <c r="H58" s="1362" t="s">
        <v>1642</v>
      </c>
      <c r="I58" s="1907" t="s">
        <v>173</v>
      </c>
      <c r="J58" s="1008"/>
      <c r="K58" s="831"/>
      <c r="L58" s="1011">
        <v>426</v>
      </c>
      <c r="M58" s="764">
        <v>4120000</v>
      </c>
      <c r="N58" s="1011">
        <v>429</v>
      </c>
      <c r="O58" s="764">
        <v>4120000</v>
      </c>
      <c r="P58" s="1228">
        <v>61</v>
      </c>
      <c r="Q58" s="830"/>
      <c r="R58" s="1087"/>
      <c r="S58" s="831"/>
      <c r="T58" s="831"/>
      <c r="U58" s="831">
        <v>1373333</v>
      </c>
      <c r="V58" s="831">
        <v>2746667</v>
      </c>
      <c r="W58" s="831"/>
      <c r="X58" s="831"/>
      <c r="Y58" s="831"/>
      <c r="Z58" s="831"/>
      <c r="AA58" s="831"/>
      <c r="AB58" s="1932"/>
      <c r="AC58" s="233">
        <f t="shared" si="6"/>
        <v>4120000</v>
      </c>
      <c r="AD58" s="182">
        <f t="shared" si="7"/>
        <v>0</v>
      </c>
      <c r="AF58" s="865" t="s">
        <v>325</v>
      </c>
      <c r="AG58" s="802" t="s">
        <v>896</v>
      </c>
      <c r="AH58" s="1067" t="s">
        <v>897</v>
      </c>
      <c r="AI58" s="606">
        <f t="shared" si="8"/>
        <v>61</v>
      </c>
      <c r="AJ58" s="154">
        <v>4120000</v>
      </c>
      <c r="AK58" s="866">
        <f t="shared" si="9"/>
        <v>0</v>
      </c>
      <c r="AL58" s="822"/>
      <c r="AM58" s="1520">
        <f t="shared" si="10"/>
        <v>0</v>
      </c>
    </row>
    <row r="59" spans="1:39" s="813" customFormat="1">
      <c r="A59" s="832" t="s">
        <v>72</v>
      </c>
      <c r="B59" s="765">
        <f t="shared" si="5"/>
        <v>11100000</v>
      </c>
      <c r="C59" s="94" t="s">
        <v>36</v>
      </c>
      <c r="D59" s="94" t="s">
        <v>829</v>
      </c>
      <c r="E59" s="94" t="s">
        <v>70</v>
      </c>
      <c r="F59" s="94" t="s">
        <v>411</v>
      </c>
      <c r="G59" s="80" t="s">
        <v>71</v>
      </c>
      <c r="H59" s="1362" t="s">
        <v>1642</v>
      </c>
      <c r="I59" s="1907">
        <v>239</v>
      </c>
      <c r="J59" s="1008">
        <v>0</v>
      </c>
      <c r="K59" s="831"/>
      <c r="L59" s="1011">
        <v>13</v>
      </c>
      <c r="M59" s="764">
        <v>11100000</v>
      </c>
      <c r="N59" s="1011">
        <v>136</v>
      </c>
      <c r="O59" s="764">
        <v>11100000</v>
      </c>
      <c r="P59" s="1228">
        <v>62</v>
      </c>
      <c r="Q59" s="830"/>
      <c r="R59" s="1087">
        <v>986667</v>
      </c>
      <c r="S59" s="831">
        <v>3700000</v>
      </c>
      <c r="T59" s="831">
        <v>3700000</v>
      </c>
      <c r="U59" s="831">
        <v>2713333</v>
      </c>
      <c r="V59" s="831"/>
      <c r="W59" s="831"/>
      <c r="X59" s="831"/>
      <c r="Y59" s="831"/>
      <c r="Z59" s="831"/>
      <c r="AA59" s="831"/>
      <c r="AB59" s="1932"/>
      <c r="AC59" s="233">
        <f t="shared" si="6"/>
        <v>11100000</v>
      </c>
      <c r="AD59" s="182">
        <f t="shared" si="7"/>
        <v>0</v>
      </c>
      <c r="AF59" s="865">
        <v>239</v>
      </c>
      <c r="AG59" s="802" t="s">
        <v>425</v>
      </c>
      <c r="AH59" s="1067" t="str">
        <f>VLOOKUP(N59,[5]Hoja2!J$48:N$75,5,0)</f>
        <v>CAMILO ANDRES BECERRA SANCHEZ</v>
      </c>
      <c r="AI59" s="606">
        <f t="shared" si="8"/>
        <v>62</v>
      </c>
      <c r="AJ59" s="154">
        <v>11100000</v>
      </c>
      <c r="AK59" s="866">
        <f t="shared" si="9"/>
        <v>0</v>
      </c>
      <c r="AL59" s="822"/>
      <c r="AM59" s="1520">
        <f t="shared" si="10"/>
        <v>0</v>
      </c>
    </row>
    <row r="60" spans="1:39" s="813" customFormat="1">
      <c r="A60" s="832" t="s">
        <v>72</v>
      </c>
      <c r="B60" s="765">
        <f t="shared" si="5"/>
        <v>40700000</v>
      </c>
      <c r="C60" s="94" t="s">
        <v>36</v>
      </c>
      <c r="D60" s="94" t="s">
        <v>829</v>
      </c>
      <c r="E60" s="94" t="s">
        <v>70</v>
      </c>
      <c r="F60" s="94" t="s">
        <v>411</v>
      </c>
      <c r="G60" s="80" t="s">
        <v>71</v>
      </c>
      <c r="H60" s="1362" t="s">
        <v>1642</v>
      </c>
      <c r="I60" s="1907">
        <v>240</v>
      </c>
      <c r="J60" s="1008">
        <v>0</v>
      </c>
      <c r="K60" s="831"/>
      <c r="L60" s="1011">
        <v>31</v>
      </c>
      <c r="M60" s="764">
        <v>40700000</v>
      </c>
      <c r="N60" s="1011">
        <v>135</v>
      </c>
      <c r="O60" s="764">
        <v>40700000</v>
      </c>
      <c r="P60" s="1228">
        <v>37</v>
      </c>
      <c r="Q60" s="830"/>
      <c r="R60" s="1087">
        <v>986667</v>
      </c>
      <c r="S60" s="831">
        <v>3700000</v>
      </c>
      <c r="T60" s="831">
        <v>3700000</v>
      </c>
      <c r="U60" s="831">
        <v>3700000</v>
      </c>
      <c r="V60" s="831">
        <v>3700000</v>
      </c>
      <c r="W60" s="831">
        <v>3700000</v>
      </c>
      <c r="X60" s="831">
        <v>3700000</v>
      </c>
      <c r="Y60" s="831">
        <v>3700000</v>
      </c>
      <c r="Z60" s="831">
        <v>3700000</v>
      </c>
      <c r="AA60" s="831">
        <v>3700000</v>
      </c>
      <c r="AB60" s="1932">
        <f>3700000+2713333</f>
        <v>6413333</v>
      </c>
      <c r="AC60" s="233">
        <f t="shared" si="6"/>
        <v>40700000</v>
      </c>
      <c r="AD60" s="182">
        <f t="shared" si="7"/>
        <v>0</v>
      </c>
      <c r="AF60" s="865">
        <v>240</v>
      </c>
      <c r="AG60" s="802" t="s">
        <v>435</v>
      </c>
      <c r="AH60" s="1067" t="str">
        <f>VLOOKUP(N60,[5]Hoja2!J$48:N$75,5,0)</f>
        <v>Jorge Eliecer Rodriguez Casallas</v>
      </c>
      <c r="AI60" s="606">
        <f t="shared" si="8"/>
        <v>37</v>
      </c>
      <c r="AJ60" s="154">
        <v>40700000</v>
      </c>
      <c r="AK60" s="866">
        <f t="shared" si="9"/>
        <v>0</v>
      </c>
      <c r="AL60" s="822"/>
      <c r="AM60" s="1520">
        <f t="shared" si="10"/>
        <v>0</v>
      </c>
    </row>
    <row r="61" spans="1:39" s="813" customFormat="1" ht="15">
      <c r="A61" s="832" t="s">
        <v>72</v>
      </c>
      <c r="B61" s="765">
        <f t="shared" si="5"/>
        <v>9660000</v>
      </c>
      <c r="C61" s="94" t="s">
        <v>36</v>
      </c>
      <c r="D61" s="94" t="s">
        <v>829</v>
      </c>
      <c r="E61" s="94" t="s">
        <v>70</v>
      </c>
      <c r="F61" s="94" t="s">
        <v>411</v>
      </c>
      <c r="G61" s="80" t="s">
        <v>71</v>
      </c>
      <c r="H61" s="1362" t="s">
        <v>1642</v>
      </c>
      <c r="I61" s="1907">
        <v>241</v>
      </c>
      <c r="J61" s="1008">
        <v>0</v>
      </c>
      <c r="K61" s="831"/>
      <c r="L61" s="1011">
        <v>307</v>
      </c>
      <c r="M61" s="764">
        <f>55200000-45540000</f>
        <v>9660000</v>
      </c>
      <c r="N61" s="1011">
        <v>303</v>
      </c>
      <c r="O61" s="764">
        <f>55200000-45540000</f>
        <v>9660000</v>
      </c>
      <c r="P61" s="1228">
        <v>145</v>
      </c>
      <c r="Q61" s="830"/>
      <c r="R61" s="1087"/>
      <c r="S61" s="831">
        <v>2300000</v>
      </c>
      <c r="T61" s="831">
        <v>6900000</v>
      </c>
      <c r="U61" s="831">
        <v>460000</v>
      </c>
      <c r="V61" s="831"/>
      <c r="W61" s="831"/>
      <c r="X61" s="831"/>
      <c r="Y61" s="831"/>
      <c r="Z61" s="831"/>
      <c r="AA61" s="831"/>
      <c r="AB61" s="1932"/>
      <c r="AC61" s="233">
        <f t="shared" si="6"/>
        <v>9660000</v>
      </c>
      <c r="AD61" s="182">
        <f t="shared" si="7"/>
        <v>0</v>
      </c>
      <c r="AF61" s="865">
        <v>241</v>
      </c>
      <c r="AG61" s="802" t="s">
        <v>436</v>
      </c>
      <c r="AH61" s="1387" t="s">
        <v>742</v>
      </c>
      <c r="AI61" s="606">
        <f t="shared" si="8"/>
        <v>145</v>
      </c>
      <c r="AJ61" s="154">
        <f>60500000-2750000-48090000</f>
        <v>9660000</v>
      </c>
      <c r="AK61" s="866">
        <f t="shared" si="9"/>
        <v>0</v>
      </c>
      <c r="AL61" s="822"/>
      <c r="AM61" s="1520">
        <f t="shared" si="10"/>
        <v>0</v>
      </c>
    </row>
    <row r="62" spans="1:39" s="813" customFormat="1">
      <c r="A62" s="832" t="s">
        <v>72</v>
      </c>
      <c r="B62" s="765">
        <f t="shared" si="5"/>
        <v>11100000</v>
      </c>
      <c r="C62" s="94" t="s">
        <v>36</v>
      </c>
      <c r="D62" s="94" t="s">
        <v>829</v>
      </c>
      <c r="E62" s="94" t="s">
        <v>70</v>
      </c>
      <c r="F62" s="94" t="s">
        <v>411</v>
      </c>
      <c r="G62" s="80" t="s">
        <v>71</v>
      </c>
      <c r="H62" s="1362" t="s">
        <v>1642</v>
      </c>
      <c r="I62" s="1907">
        <v>242</v>
      </c>
      <c r="J62" s="1008">
        <v>0</v>
      </c>
      <c r="K62" s="831"/>
      <c r="L62" s="1011">
        <v>10</v>
      </c>
      <c r="M62" s="764">
        <v>11100000</v>
      </c>
      <c r="N62" s="1011">
        <v>35</v>
      </c>
      <c r="O62" s="764">
        <v>11100000</v>
      </c>
      <c r="P62" s="1228">
        <v>48</v>
      </c>
      <c r="Q62" s="830"/>
      <c r="R62" s="1087">
        <v>986667</v>
      </c>
      <c r="S62" s="831">
        <v>3700000</v>
      </c>
      <c r="T62" s="831">
        <v>3700000</v>
      </c>
      <c r="U62" s="831">
        <v>2713333</v>
      </c>
      <c r="V62" s="831"/>
      <c r="W62" s="831"/>
      <c r="X62" s="831"/>
      <c r="Y62" s="831"/>
      <c r="Z62" s="831"/>
      <c r="AA62" s="831"/>
      <c r="AB62" s="1932"/>
      <c r="AC62" s="233">
        <f t="shared" si="6"/>
        <v>11100000</v>
      </c>
      <c r="AD62" s="182">
        <f t="shared" si="7"/>
        <v>0</v>
      </c>
      <c r="AF62" s="865">
        <v>242</v>
      </c>
      <c r="AG62" s="802" t="s">
        <v>437</v>
      </c>
      <c r="AH62" s="1067" t="str">
        <f>VLOOKUP(N62,[5]Hoja2!J$48:N$75,5,0)</f>
        <v>JUAN JOSE ALVEAR MEJIA</v>
      </c>
      <c r="AI62" s="606">
        <f t="shared" si="8"/>
        <v>48</v>
      </c>
      <c r="AJ62" s="154">
        <v>11100000</v>
      </c>
      <c r="AK62" s="866">
        <f t="shared" si="9"/>
        <v>0</v>
      </c>
      <c r="AL62" s="822"/>
      <c r="AM62" s="1520">
        <f t="shared" si="10"/>
        <v>0</v>
      </c>
    </row>
    <row r="63" spans="1:39" s="813" customFormat="1">
      <c r="A63" s="832" t="s">
        <v>72</v>
      </c>
      <c r="B63" s="765">
        <f t="shared" si="5"/>
        <v>11100000</v>
      </c>
      <c r="C63" s="94" t="s">
        <v>36</v>
      </c>
      <c r="D63" s="94" t="s">
        <v>829</v>
      </c>
      <c r="E63" s="94" t="s">
        <v>70</v>
      </c>
      <c r="F63" s="94" t="s">
        <v>411</v>
      </c>
      <c r="G63" s="80" t="s">
        <v>71</v>
      </c>
      <c r="H63" s="1362" t="s">
        <v>1642</v>
      </c>
      <c r="I63" s="1907">
        <v>243</v>
      </c>
      <c r="J63" s="1008">
        <v>0</v>
      </c>
      <c r="K63" s="831"/>
      <c r="L63" s="1011">
        <v>8</v>
      </c>
      <c r="M63" s="764">
        <v>11100000</v>
      </c>
      <c r="N63" s="1011">
        <v>140</v>
      </c>
      <c r="O63" s="764">
        <v>11100000</v>
      </c>
      <c r="P63" s="1228">
        <v>51</v>
      </c>
      <c r="Q63" s="830"/>
      <c r="R63" s="1087">
        <v>986667</v>
      </c>
      <c r="S63" s="831">
        <v>3700000</v>
      </c>
      <c r="T63" s="831">
        <v>3700000</v>
      </c>
      <c r="U63" s="831">
        <v>2713333</v>
      </c>
      <c r="V63" s="831"/>
      <c r="W63" s="831"/>
      <c r="X63" s="831"/>
      <c r="Y63" s="831"/>
      <c r="Z63" s="831"/>
      <c r="AA63" s="831"/>
      <c r="AB63" s="1932"/>
      <c r="AC63" s="233">
        <f t="shared" si="6"/>
        <v>11100000</v>
      </c>
      <c r="AD63" s="182">
        <f t="shared" si="7"/>
        <v>0</v>
      </c>
      <c r="AF63" s="865">
        <v>243</v>
      </c>
      <c r="AG63" s="802" t="s">
        <v>437</v>
      </c>
      <c r="AH63" s="1067" t="str">
        <f>VLOOKUP(N63,[5]Hoja2!J$48:N$75,5,0)</f>
        <v>JUAN CARLOS SARMIENTO NOVOA</v>
      </c>
      <c r="AI63" s="606">
        <f t="shared" si="8"/>
        <v>51</v>
      </c>
      <c r="AJ63" s="154">
        <v>11100000</v>
      </c>
      <c r="AK63" s="866">
        <f t="shared" si="9"/>
        <v>0</v>
      </c>
      <c r="AL63" s="822"/>
      <c r="AM63" s="1520">
        <f t="shared" si="10"/>
        <v>0</v>
      </c>
    </row>
    <row r="64" spans="1:39" s="813" customFormat="1">
      <c r="A64" s="832" t="s">
        <v>72</v>
      </c>
      <c r="B64" s="765">
        <f t="shared" si="5"/>
        <v>11100000</v>
      </c>
      <c r="C64" s="94" t="s">
        <v>36</v>
      </c>
      <c r="D64" s="94" t="s">
        <v>829</v>
      </c>
      <c r="E64" s="94" t="s">
        <v>70</v>
      </c>
      <c r="F64" s="94" t="s">
        <v>411</v>
      </c>
      <c r="G64" s="80" t="s">
        <v>71</v>
      </c>
      <c r="H64" s="1362" t="s">
        <v>1642</v>
      </c>
      <c r="I64" s="1907">
        <v>244</v>
      </c>
      <c r="J64" s="1008">
        <v>0</v>
      </c>
      <c r="K64" s="831"/>
      <c r="L64" s="1011">
        <v>9</v>
      </c>
      <c r="M64" s="764">
        <v>11100000</v>
      </c>
      <c r="N64" s="1011">
        <v>44</v>
      </c>
      <c r="O64" s="764">
        <v>11100000</v>
      </c>
      <c r="P64" s="1228">
        <v>53</v>
      </c>
      <c r="Q64" s="830"/>
      <c r="R64" s="1087">
        <v>1603333</v>
      </c>
      <c r="S64" s="831">
        <v>3700000</v>
      </c>
      <c r="T64" s="831">
        <v>3700000</v>
      </c>
      <c r="U64" s="831">
        <v>2096667</v>
      </c>
      <c r="V64" s="831"/>
      <c r="W64" s="831"/>
      <c r="X64" s="831"/>
      <c r="Y64" s="831"/>
      <c r="Z64" s="831"/>
      <c r="AA64" s="831"/>
      <c r="AB64" s="1932"/>
      <c r="AC64" s="233">
        <f t="shared" si="6"/>
        <v>11100000</v>
      </c>
      <c r="AD64" s="182">
        <f t="shared" si="7"/>
        <v>0</v>
      </c>
      <c r="AF64" s="865">
        <v>244</v>
      </c>
      <c r="AG64" s="802" t="s">
        <v>437</v>
      </c>
      <c r="AH64" s="1067" t="str">
        <f>VLOOKUP(N64,[5]Hoja2!J$48:N$75,5,0)</f>
        <v>JUAN PABLO SANCHEZ CHAVES</v>
      </c>
      <c r="AI64" s="606">
        <f t="shared" si="8"/>
        <v>53</v>
      </c>
      <c r="AJ64" s="154">
        <v>11100000</v>
      </c>
      <c r="AK64" s="866">
        <f t="shared" si="9"/>
        <v>0</v>
      </c>
      <c r="AL64" s="822"/>
      <c r="AM64" s="1520">
        <f t="shared" si="10"/>
        <v>0</v>
      </c>
    </row>
    <row r="65" spans="1:39" s="813" customFormat="1">
      <c r="A65" s="832" t="s">
        <v>72</v>
      </c>
      <c r="B65" s="765">
        <f t="shared" si="5"/>
        <v>12360000</v>
      </c>
      <c r="C65" s="94" t="s">
        <v>36</v>
      </c>
      <c r="D65" s="94" t="s">
        <v>829</v>
      </c>
      <c r="E65" s="94" t="s">
        <v>70</v>
      </c>
      <c r="F65" s="94" t="s">
        <v>411</v>
      </c>
      <c r="G65" s="80" t="s">
        <v>71</v>
      </c>
      <c r="H65" s="1362" t="s">
        <v>1642</v>
      </c>
      <c r="I65" s="1907">
        <v>246</v>
      </c>
      <c r="J65" s="1008">
        <v>0</v>
      </c>
      <c r="K65" s="831"/>
      <c r="L65" s="1011">
        <v>14</v>
      </c>
      <c r="M65" s="764">
        <v>12360000</v>
      </c>
      <c r="N65" s="1011">
        <v>77</v>
      </c>
      <c r="O65" s="764">
        <v>12360000</v>
      </c>
      <c r="P65" s="1228">
        <v>52</v>
      </c>
      <c r="Q65" s="830"/>
      <c r="R65" s="1087">
        <v>1098667</v>
      </c>
      <c r="S65" s="831">
        <v>4120000</v>
      </c>
      <c r="T65" s="831">
        <v>4120000</v>
      </c>
      <c r="U65" s="831">
        <v>3021333</v>
      </c>
      <c r="V65" s="831"/>
      <c r="W65" s="831"/>
      <c r="X65" s="831"/>
      <c r="Y65" s="831"/>
      <c r="Z65" s="831"/>
      <c r="AA65" s="831"/>
      <c r="AB65" s="1932"/>
      <c r="AC65" s="233">
        <f t="shared" si="6"/>
        <v>12360000</v>
      </c>
      <c r="AD65" s="182">
        <f t="shared" si="7"/>
        <v>0</v>
      </c>
      <c r="AF65" s="865">
        <v>246</v>
      </c>
      <c r="AG65" s="802" t="s">
        <v>416</v>
      </c>
      <c r="AH65" s="1067" t="s">
        <v>906</v>
      </c>
      <c r="AI65" s="606">
        <f t="shared" si="8"/>
        <v>52</v>
      </c>
      <c r="AJ65" s="154">
        <v>12360000</v>
      </c>
      <c r="AK65" s="866">
        <f t="shared" si="9"/>
        <v>0</v>
      </c>
      <c r="AL65" s="822"/>
      <c r="AM65" s="1520">
        <f t="shared" si="10"/>
        <v>0</v>
      </c>
    </row>
    <row r="66" spans="1:39" s="813" customFormat="1">
      <c r="A66" s="832" t="s">
        <v>72</v>
      </c>
      <c r="B66" s="765">
        <f t="shared" si="5"/>
        <v>4120000</v>
      </c>
      <c r="C66" s="94" t="s">
        <v>36</v>
      </c>
      <c r="D66" s="94" t="s">
        <v>829</v>
      </c>
      <c r="E66" s="94" t="s">
        <v>70</v>
      </c>
      <c r="F66" s="94" t="s">
        <v>411</v>
      </c>
      <c r="G66" s="80" t="s">
        <v>71</v>
      </c>
      <c r="H66" s="1362" t="s">
        <v>1642</v>
      </c>
      <c r="I66" s="1907">
        <v>246</v>
      </c>
      <c r="J66" s="1008"/>
      <c r="K66" s="831"/>
      <c r="L66" s="1011">
        <v>428</v>
      </c>
      <c r="M66" s="764">
        <v>4120000</v>
      </c>
      <c r="N66" s="1011">
        <v>431</v>
      </c>
      <c r="O66" s="764">
        <v>4120000</v>
      </c>
      <c r="P66" s="1228">
        <v>52</v>
      </c>
      <c r="Q66" s="830"/>
      <c r="R66" s="1087"/>
      <c r="S66" s="831"/>
      <c r="T66" s="831"/>
      <c r="U66" s="831">
        <v>1098667</v>
      </c>
      <c r="V66" s="831">
        <v>3021333</v>
      </c>
      <c r="W66" s="831"/>
      <c r="X66" s="831"/>
      <c r="Y66" s="831"/>
      <c r="Z66" s="831"/>
      <c r="AA66" s="831"/>
      <c r="AB66" s="1932"/>
      <c r="AC66" s="233">
        <f t="shared" si="6"/>
        <v>4120000</v>
      </c>
      <c r="AD66" s="182">
        <f t="shared" si="7"/>
        <v>0</v>
      </c>
      <c r="AF66" s="865">
        <v>246</v>
      </c>
      <c r="AG66" s="802" t="s">
        <v>898</v>
      </c>
      <c r="AH66" s="1067" t="s">
        <v>906</v>
      </c>
      <c r="AI66" s="606">
        <f t="shared" si="8"/>
        <v>52</v>
      </c>
      <c r="AJ66" s="154">
        <v>4120000</v>
      </c>
      <c r="AK66" s="866">
        <f t="shared" si="9"/>
        <v>0</v>
      </c>
      <c r="AL66" s="822"/>
      <c r="AM66" s="1520">
        <f t="shared" si="10"/>
        <v>0</v>
      </c>
    </row>
    <row r="67" spans="1:39" s="813" customFormat="1">
      <c r="A67" s="832" t="s">
        <v>72</v>
      </c>
      <c r="B67" s="765">
        <f t="shared" si="5"/>
        <v>1922667</v>
      </c>
      <c r="C67" s="94" t="s">
        <v>36</v>
      </c>
      <c r="D67" s="94" t="s">
        <v>829</v>
      </c>
      <c r="E67" s="94" t="s">
        <v>70</v>
      </c>
      <c r="F67" s="94" t="s">
        <v>411</v>
      </c>
      <c r="G67" s="80" t="s">
        <v>71</v>
      </c>
      <c r="H67" s="1362" t="s">
        <v>1642</v>
      </c>
      <c r="I67" s="1907">
        <v>246</v>
      </c>
      <c r="J67" s="1008"/>
      <c r="K67" s="831"/>
      <c r="L67" s="1011">
        <v>499</v>
      </c>
      <c r="M67" s="764">
        <f>2060000-137333</f>
        <v>1922667</v>
      </c>
      <c r="N67" s="1011">
        <v>519</v>
      </c>
      <c r="O67" s="764">
        <f>2060000-137333</f>
        <v>1922667</v>
      </c>
      <c r="P67" s="1228">
        <v>52</v>
      </c>
      <c r="Q67" s="830"/>
      <c r="R67" s="1087"/>
      <c r="S67" s="831"/>
      <c r="T67" s="831"/>
      <c r="U67" s="831"/>
      <c r="V67" s="831">
        <v>1098667</v>
      </c>
      <c r="W67" s="831">
        <v>824000</v>
      </c>
      <c r="X67" s="831"/>
      <c r="Y67" s="831"/>
      <c r="Z67" s="831"/>
      <c r="AA67" s="831"/>
      <c r="AB67" s="1932"/>
      <c r="AC67" s="233">
        <f t="shared" si="6"/>
        <v>1922667</v>
      </c>
      <c r="AD67" s="182">
        <f t="shared" si="7"/>
        <v>0</v>
      </c>
      <c r="AF67" s="865">
        <v>246</v>
      </c>
      <c r="AG67" s="802" t="s">
        <v>939</v>
      </c>
      <c r="AH67" s="1067" t="s">
        <v>906</v>
      </c>
      <c r="AI67" s="606">
        <f t="shared" si="8"/>
        <v>52</v>
      </c>
      <c r="AJ67" s="154">
        <f>2060000-137333</f>
        <v>1922667</v>
      </c>
      <c r="AK67" s="866">
        <f t="shared" si="9"/>
        <v>0</v>
      </c>
      <c r="AL67" s="822"/>
      <c r="AM67" s="1520">
        <f t="shared" si="10"/>
        <v>0</v>
      </c>
    </row>
    <row r="68" spans="1:39" s="813" customFormat="1">
      <c r="A68" s="832" t="s">
        <v>72</v>
      </c>
      <c r="B68" s="765">
        <f t="shared" si="5"/>
        <v>22560000</v>
      </c>
      <c r="C68" s="94" t="s">
        <v>36</v>
      </c>
      <c r="D68" s="94" t="s">
        <v>829</v>
      </c>
      <c r="E68" s="94" t="s">
        <v>70</v>
      </c>
      <c r="F68" s="94" t="s">
        <v>411</v>
      </c>
      <c r="G68" s="80" t="s">
        <v>71</v>
      </c>
      <c r="H68" s="1362" t="s">
        <v>1642</v>
      </c>
      <c r="I68" s="1907">
        <v>247</v>
      </c>
      <c r="J68" s="1008">
        <v>0</v>
      </c>
      <c r="K68" s="831"/>
      <c r="L68" s="1011">
        <v>6</v>
      </c>
      <c r="M68" s="764">
        <v>22560000</v>
      </c>
      <c r="N68" s="1011">
        <v>46</v>
      </c>
      <c r="O68" s="764">
        <v>22560000</v>
      </c>
      <c r="P68" s="1228">
        <v>42</v>
      </c>
      <c r="Q68" s="830"/>
      <c r="R68" s="1087">
        <v>2005333</v>
      </c>
      <c r="S68" s="831">
        <v>3008000</v>
      </c>
      <c r="T68" s="831">
        <v>6517333</v>
      </c>
      <c r="U68" s="831">
        <v>7520000</v>
      </c>
      <c r="V68" s="831">
        <v>3509334</v>
      </c>
      <c r="W68" s="831"/>
      <c r="X68" s="831"/>
      <c r="Y68" s="831"/>
      <c r="Z68" s="831"/>
      <c r="AA68" s="831"/>
      <c r="AB68" s="1932"/>
      <c r="AC68" s="233">
        <f t="shared" si="6"/>
        <v>22560000</v>
      </c>
      <c r="AD68" s="182">
        <f t="shared" si="7"/>
        <v>0</v>
      </c>
      <c r="AF68" s="865">
        <v>247</v>
      </c>
      <c r="AG68" s="802" t="s">
        <v>438</v>
      </c>
      <c r="AH68" s="1067" t="str">
        <f>VLOOKUP(N68,[5]Hoja2!J$48:N$75,5,0)</f>
        <v>LEONOR ISBELIA GOMEZ HERNANDEZ</v>
      </c>
      <c r="AI68" s="606">
        <f t="shared" si="8"/>
        <v>42</v>
      </c>
      <c r="AJ68" s="154">
        <v>22560000</v>
      </c>
      <c r="AK68" s="866">
        <f t="shared" si="9"/>
        <v>0</v>
      </c>
      <c r="AL68" s="822"/>
      <c r="AM68" s="1520">
        <f t="shared" si="10"/>
        <v>0</v>
      </c>
    </row>
    <row r="69" spans="1:39" s="813" customFormat="1">
      <c r="A69" s="832" t="s">
        <v>72</v>
      </c>
      <c r="B69" s="765">
        <f t="shared" si="5"/>
        <v>10778666</v>
      </c>
      <c r="C69" s="94" t="s">
        <v>36</v>
      </c>
      <c r="D69" s="94" t="s">
        <v>829</v>
      </c>
      <c r="E69" s="94" t="s">
        <v>70</v>
      </c>
      <c r="F69" s="94" t="s">
        <v>411</v>
      </c>
      <c r="G69" s="80" t="s">
        <v>71</v>
      </c>
      <c r="H69" s="1362" t="s">
        <v>1642</v>
      </c>
      <c r="I69" s="1907">
        <v>247</v>
      </c>
      <c r="J69" s="1008">
        <v>476</v>
      </c>
      <c r="K69" s="831"/>
      <c r="L69" s="1011">
        <v>476</v>
      </c>
      <c r="M69" s="764">
        <f>11280000-501334</f>
        <v>10778666</v>
      </c>
      <c r="N69" s="1011">
        <v>488</v>
      </c>
      <c r="O69" s="764">
        <f>11280000-501334</f>
        <v>10778666</v>
      </c>
      <c r="P69" s="1228">
        <v>42</v>
      </c>
      <c r="Q69" s="830"/>
      <c r="R69" s="1087"/>
      <c r="S69" s="831"/>
      <c r="T69" s="831"/>
      <c r="U69" s="831"/>
      <c r="V69" s="831">
        <v>4010666</v>
      </c>
      <c r="W69" s="831">
        <v>6768000</v>
      </c>
      <c r="X69" s="831"/>
      <c r="Y69" s="831"/>
      <c r="Z69" s="831"/>
      <c r="AA69" s="831"/>
      <c r="AB69" s="1932"/>
      <c r="AC69" s="233">
        <f t="shared" si="6"/>
        <v>10778666</v>
      </c>
      <c r="AD69" s="182">
        <f t="shared" si="7"/>
        <v>0</v>
      </c>
      <c r="AF69" s="865">
        <v>247</v>
      </c>
      <c r="AG69" s="802" t="s">
        <v>942</v>
      </c>
      <c r="AH69" s="1067" t="s">
        <v>981</v>
      </c>
      <c r="AI69" s="606">
        <f t="shared" si="8"/>
        <v>42</v>
      </c>
      <c r="AJ69" s="154">
        <f>11280000-501334</f>
        <v>10778666</v>
      </c>
      <c r="AK69" s="866">
        <f t="shared" si="9"/>
        <v>0</v>
      </c>
      <c r="AL69" s="822"/>
      <c r="AM69" s="1520">
        <f t="shared" si="10"/>
        <v>0</v>
      </c>
    </row>
    <row r="70" spans="1:39" s="813" customFormat="1">
      <c r="A70" s="832" t="s">
        <v>72</v>
      </c>
      <c r="B70" s="765">
        <f t="shared" si="5"/>
        <v>36000000</v>
      </c>
      <c r="C70" s="94" t="s">
        <v>36</v>
      </c>
      <c r="D70" s="94" t="s">
        <v>829</v>
      </c>
      <c r="E70" s="94" t="s">
        <v>70</v>
      </c>
      <c r="F70" s="94" t="s">
        <v>411</v>
      </c>
      <c r="G70" s="80" t="s">
        <v>71</v>
      </c>
      <c r="H70" s="1362" t="s">
        <v>1642</v>
      </c>
      <c r="I70" s="1907">
        <v>248</v>
      </c>
      <c r="J70" s="1008">
        <v>0</v>
      </c>
      <c r="K70" s="831"/>
      <c r="L70" s="1011">
        <v>570</v>
      </c>
      <c r="M70" s="764">
        <v>36000000</v>
      </c>
      <c r="N70" s="1011">
        <v>645</v>
      </c>
      <c r="O70" s="764">
        <v>36000000</v>
      </c>
      <c r="P70" s="1228">
        <v>403</v>
      </c>
      <c r="Q70" s="830"/>
      <c r="R70" s="1087"/>
      <c r="S70" s="831"/>
      <c r="T70" s="831"/>
      <c r="U70" s="831"/>
      <c r="V70" s="831"/>
      <c r="W70" s="831"/>
      <c r="X70" s="831">
        <v>5800000</v>
      </c>
      <c r="Y70" s="831">
        <v>6000000</v>
      </c>
      <c r="Z70" s="831">
        <v>6000000</v>
      </c>
      <c r="AA70" s="831">
        <v>6000000</v>
      </c>
      <c r="AB70" s="1932">
        <f>6000000+6000000</f>
        <v>12000000</v>
      </c>
      <c r="AC70" s="233">
        <f t="shared" si="6"/>
        <v>35800000</v>
      </c>
      <c r="AD70" s="182">
        <f t="shared" si="7"/>
        <v>200000</v>
      </c>
      <c r="AF70" s="865">
        <v>248</v>
      </c>
      <c r="AG70" s="802" t="s">
        <v>1066</v>
      </c>
      <c r="AH70" s="1067" t="s">
        <v>1134</v>
      </c>
      <c r="AI70" s="606">
        <f t="shared" si="8"/>
        <v>403</v>
      </c>
      <c r="AJ70" s="154">
        <f>30000000+6000000</f>
        <v>36000000</v>
      </c>
      <c r="AK70" s="866">
        <f t="shared" si="9"/>
        <v>0</v>
      </c>
      <c r="AL70" s="822"/>
      <c r="AM70" s="1520">
        <f t="shared" si="10"/>
        <v>0</v>
      </c>
    </row>
    <row r="71" spans="1:39" s="813" customFormat="1">
      <c r="A71" s="832" t="s">
        <v>72</v>
      </c>
      <c r="B71" s="765">
        <f t="shared" si="5"/>
        <v>1800000</v>
      </c>
      <c r="C71" s="94" t="s">
        <v>36</v>
      </c>
      <c r="D71" s="94" t="s">
        <v>829</v>
      </c>
      <c r="E71" s="94" t="s">
        <v>70</v>
      </c>
      <c r="F71" s="94" t="s">
        <v>411</v>
      </c>
      <c r="G71" s="80" t="s">
        <v>71</v>
      </c>
      <c r="H71" s="1362" t="s">
        <v>1642</v>
      </c>
      <c r="I71" s="1907" t="s">
        <v>325</v>
      </c>
      <c r="J71" s="1008">
        <v>874</v>
      </c>
      <c r="K71" s="831">
        <v>1800000</v>
      </c>
      <c r="L71" s="1011">
        <v>986</v>
      </c>
      <c r="M71" s="764">
        <v>1800000</v>
      </c>
      <c r="N71" s="1011">
        <v>1174</v>
      </c>
      <c r="O71" s="764">
        <v>1800000</v>
      </c>
      <c r="P71" s="1228">
        <v>403</v>
      </c>
      <c r="Q71" s="830"/>
      <c r="R71" s="1087"/>
      <c r="S71" s="831"/>
      <c r="T71" s="831"/>
      <c r="U71" s="831"/>
      <c r="V71" s="831"/>
      <c r="W71" s="831"/>
      <c r="X71" s="831"/>
      <c r="Y71" s="831"/>
      <c r="Z71" s="831"/>
      <c r="AA71" s="831"/>
      <c r="AB71" s="1932"/>
      <c r="AC71" s="233">
        <f t="shared" si="6"/>
        <v>0</v>
      </c>
      <c r="AD71" s="182">
        <f t="shared" si="7"/>
        <v>1800000</v>
      </c>
      <c r="AF71" s="865" t="s">
        <v>325</v>
      </c>
      <c r="AG71" s="802" t="s">
        <v>1583</v>
      </c>
      <c r="AH71" s="1067" t="s">
        <v>1134</v>
      </c>
      <c r="AI71" s="606">
        <f t="shared" si="8"/>
        <v>403</v>
      </c>
      <c r="AJ71" s="154">
        <v>1800000</v>
      </c>
      <c r="AK71" s="866">
        <f t="shared" si="9"/>
        <v>0</v>
      </c>
      <c r="AL71" s="822"/>
      <c r="AM71" s="1520">
        <f t="shared" si="10"/>
        <v>0</v>
      </c>
    </row>
    <row r="72" spans="1:39" s="813" customFormat="1">
      <c r="A72" s="832" t="s">
        <v>72</v>
      </c>
      <c r="B72" s="765">
        <f t="shared" si="5"/>
        <v>27800000</v>
      </c>
      <c r="C72" s="94" t="s">
        <v>36</v>
      </c>
      <c r="D72" s="94" t="s">
        <v>829</v>
      </c>
      <c r="E72" s="94" t="s">
        <v>70</v>
      </c>
      <c r="F72" s="94" t="s">
        <v>411</v>
      </c>
      <c r="G72" s="80" t="s">
        <v>71</v>
      </c>
      <c r="H72" s="1362" t="s">
        <v>1642</v>
      </c>
      <c r="I72" s="1907">
        <v>249</v>
      </c>
      <c r="J72" s="1008">
        <v>0</v>
      </c>
      <c r="K72" s="831"/>
      <c r="L72" s="1011">
        <v>165</v>
      </c>
      <c r="M72" s="764">
        <f>28000000-200000</f>
        <v>27800000</v>
      </c>
      <c r="N72" s="1011">
        <v>187</v>
      </c>
      <c r="O72" s="764">
        <f>28000000-200000</f>
        <v>27800000</v>
      </c>
      <c r="P72" s="1228">
        <v>145</v>
      </c>
      <c r="Q72" s="830"/>
      <c r="R72" s="1087"/>
      <c r="S72" s="831">
        <v>6200000</v>
      </c>
      <c r="T72" s="831">
        <f>VLOOKUP(N72,[8]Hoja2!N$63:T$105,7,0)</f>
        <v>6000000</v>
      </c>
      <c r="U72" s="831">
        <v>6000000</v>
      </c>
      <c r="V72" s="831">
        <v>5200000</v>
      </c>
      <c r="W72" s="831">
        <v>4400000</v>
      </c>
      <c r="X72" s="831"/>
      <c r="Y72" s="831"/>
      <c r="Z72" s="831"/>
      <c r="AA72" s="831"/>
      <c r="AB72" s="1932"/>
      <c r="AC72" s="233">
        <f t="shared" si="6"/>
        <v>27800000</v>
      </c>
      <c r="AD72" s="182">
        <f t="shared" si="7"/>
        <v>0</v>
      </c>
      <c r="AF72" s="865">
        <v>249</v>
      </c>
      <c r="AG72" s="802" t="s">
        <v>439</v>
      </c>
      <c r="AH72" s="1067" t="s">
        <v>1134</v>
      </c>
      <c r="AI72" s="606">
        <f t="shared" si="8"/>
        <v>145</v>
      </c>
      <c r="AJ72" s="154">
        <f>30000000-2000000-200000</f>
        <v>27800000</v>
      </c>
      <c r="AK72" s="866">
        <f t="shared" si="9"/>
        <v>0</v>
      </c>
      <c r="AL72" s="822"/>
      <c r="AM72" s="1520">
        <f t="shared" si="10"/>
        <v>0</v>
      </c>
    </row>
    <row r="73" spans="1:39" s="813" customFormat="1">
      <c r="A73" s="832" t="s">
        <v>72</v>
      </c>
      <c r="B73" s="765">
        <f t="shared" si="5"/>
        <v>37333333</v>
      </c>
      <c r="C73" s="94" t="s">
        <v>36</v>
      </c>
      <c r="D73" s="94" t="s">
        <v>829</v>
      </c>
      <c r="E73" s="94" t="s">
        <v>70</v>
      </c>
      <c r="F73" s="94" t="s">
        <v>411</v>
      </c>
      <c r="G73" s="80" t="s">
        <v>71</v>
      </c>
      <c r="H73" s="1362" t="s">
        <v>1642</v>
      </c>
      <c r="I73" s="1907">
        <v>250</v>
      </c>
      <c r="J73" s="1008">
        <v>0</v>
      </c>
      <c r="K73" s="831"/>
      <c r="L73" s="1011">
        <v>187</v>
      </c>
      <c r="M73" s="764">
        <v>37333333</v>
      </c>
      <c r="N73" s="1011">
        <v>217</v>
      </c>
      <c r="O73" s="764">
        <v>37333333</v>
      </c>
      <c r="P73" s="1228">
        <v>164</v>
      </c>
      <c r="Q73" s="830"/>
      <c r="R73" s="1087"/>
      <c r="S73" s="831">
        <v>6133333</v>
      </c>
      <c r="T73" s="831">
        <f>VLOOKUP(N73,[8]Hoja2!N$63:T$105,7,0)</f>
        <v>8000000</v>
      </c>
      <c r="U73" s="831">
        <v>8000000</v>
      </c>
      <c r="V73" s="831">
        <v>8000000</v>
      </c>
      <c r="W73" s="831">
        <v>7200000</v>
      </c>
      <c r="X73" s="831"/>
      <c r="Y73" s="831"/>
      <c r="Z73" s="831"/>
      <c r="AA73" s="831"/>
      <c r="AB73" s="1932"/>
      <c r="AC73" s="233">
        <f t="shared" si="6"/>
        <v>37333333</v>
      </c>
      <c r="AD73" s="182">
        <f t="shared" si="7"/>
        <v>0</v>
      </c>
      <c r="AF73" s="865">
        <v>250</v>
      </c>
      <c r="AG73" s="802" t="s">
        <v>440</v>
      </c>
      <c r="AH73" s="1067" t="s">
        <v>718</v>
      </c>
      <c r="AI73" s="606">
        <f t="shared" si="8"/>
        <v>164</v>
      </c>
      <c r="AJ73" s="154">
        <f>40000000-2266667-400000</f>
        <v>37333333</v>
      </c>
      <c r="AK73" s="866">
        <f t="shared" si="9"/>
        <v>0</v>
      </c>
      <c r="AL73" s="822"/>
      <c r="AM73" s="1520">
        <f t="shared" si="10"/>
        <v>0</v>
      </c>
    </row>
    <row r="74" spans="1:39" s="813" customFormat="1">
      <c r="A74" s="832" t="s">
        <v>72</v>
      </c>
      <c r="B74" s="765">
        <f t="shared" si="5"/>
        <v>46666667</v>
      </c>
      <c r="C74" s="94" t="s">
        <v>36</v>
      </c>
      <c r="D74" s="94" t="s">
        <v>829</v>
      </c>
      <c r="E74" s="94" t="s">
        <v>70</v>
      </c>
      <c r="F74" s="94" t="s">
        <v>411</v>
      </c>
      <c r="G74" s="80" t="s">
        <v>71</v>
      </c>
      <c r="H74" s="1362" t="s">
        <v>1642</v>
      </c>
      <c r="I74" s="1907">
        <v>260</v>
      </c>
      <c r="J74" s="1008">
        <v>0</v>
      </c>
      <c r="K74" s="831"/>
      <c r="L74" s="1011">
        <v>571</v>
      </c>
      <c r="M74" s="764">
        <f>48000000-1333333</f>
        <v>46666667</v>
      </c>
      <c r="N74" s="1011">
        <v>652</v>
      </c>
      <c r="O74" s="764">
        <v>46666667</v>
      </c>
      <c r="P74" s="1228">
        <v>395</v>
      </c>
      <c r="Q74" s="830"/>
      <c r="R74" s="1087"/>
      <c r="S74" s="831"/>
      <c r="T74" s="831"/>
      <c r="U74" s="831"/>
      <c r="V74" s="831"/>
      <c r="W74" s="831"/>
      <c r="X74" s="831">
        <v>7466667</v>
      </c>
      <c r="Y74" s="831">
        <v>8000000</v>
      </c>
      <c r="Z74" s="831">
        <v>8000000</v>
      </c>
      <c r="AA74" s="831">
        <v>8000000</v>
      </c>
      <c r="AB74" s="1932">
        <f>8000000+7200000</f>
        <v>15200000</v>
      </c>
      <c r="AC74" s="233">
        <f t="shared" si="6"/>
        <v>46666667</v>
      </c>
      <c r="AD74" s="182">
        <f t="shared" si="7"/>
        <v>0</v>
      </c>
      <c r="AF74" s="865">
        <v>260</v>
      </c>
      <c r="AG74" s="802" t="s">
        <v>441</v>
      </c>
      <c r="AH74" s="1067" t="s">
        <v>718</v>
      </c>
      <c r="AI74" s="606">
        <f t="shared" si="8"/>
        <v>395</v>
      </c>
      <c r="AJ74" s="154">
        <f>40000000+8000000-1333333</f>
        <v>46666667</v>
      </c>
      <c r="AK74" s="866">
        <f t="shared" si="9"/>
        <v>0</v>
      </c>
      <c r="AL74" s="822"/>
      <c r="AM74" s="1520">
        <f t="shared" si="10"/>
        <v>0</v>
      </c>
    </row>
    <row r="75" spans="1:39" s="813" customFormat="1">
      <c r="A75" s="832" t="s">
        <v>72</v>
      </c>
      <c r="B75" s="765">
        <f t="shared" si="5"/>
        <v>55000000</v>
      </c>
      <c r="C75" s="94" t="s">
        <v>36</v>
      </c>
      <c r="D75" s="94" t="s">
        <v>829</v>
      </c>
      <c r="E75" s="94" t="s">
        <v>70</v>
      </c>
      <c r="F75" s="94" t="s">
        <v>411</v>
      </c>
      <c r="G75" s="80" t="s">
        <v>71</v>
      </c>
      <c r="H75" s="1362" t="s">
        <v>1642</v>
      </c>
      <c r="I75" s="1907">
        <v>267</v>
      </c>
      <c r="J75" s="1008">
        <v>0</v>
      </c>
      <c r="K75" s="831"/>
      <c r="L75" s="1011">
        <v>106</v>
      </c>
      <c r="M75" s="764">
        <v>55000000</v>
      </c>
      <c r="N75" s="1011">
        <v>148</v>
      </c>
      <c r="O75" s="764">
        <v>55000000</v>
      </c>
      <c r="P75" s="1228">
        <v>90</v>
      </c>
      <c r="Q75" s="830"/>
      <c r="R75" s="1087"/>
      <c r="S75" s="831">
        <f>5000000+1166667</f>
        <v>6166667</v>
      </c>
      <c r="T75" s="831">
        <f>VLOOKUP(N75,[8]Hoja2!N$63:T$105,7,0)</f>
        <v>5000000</v>
      </c>
      <c r="U75" s="831">
        <v>5000000</v>
      </c>
      <c r="V75" s="831">
        <v>5000000</v>
      </c>
      <c r="W75" s="831">
        <v>5000000</v>
      </c>
      <c r="X75" s="831">
        <v>5000000</v>
      </c>
      <c r="Y75" s="831">
        <v>5000000</v>
      </c>
      <c r="Z75" s="831">
        <v>5000000</v>
      </c>
      <c r="AA75" s="831">
        <v>5000000</v>
      </c>
      <c r="AB75" s="1932">
        <f>5000000+3833333</f>
        <v>8833333</v>
      </c>
      <c r="AC75" s="233">
        <f t="shared" si="6"/>
        <v>55000000</v>
      </c>
      <c r="AD75" s="182">
        <f t="shared" si="7"/>
        <v>0</v>
      </c>
      <c r="AF75" s="865">
        <v>267</v>
      </c>
      <c r="AG75" s="802" t="s">
        <v>442</v>
      </c>
      <c r="AH75" s="1067" t="str">
        <f>VLOOKUP(N75,[5]Hoja2!J$48:N$75,5,0)</f>
        <v>PAOLA ANDREA LUNA CORTES</v>
      </c>
      <c r="AI75" s="606">
        <f t="shared" si="8"/>
        <v>90</v>
      </c>
      <c r="AJ75" s="154">
        <v>55000000</v>
      </c>
      <c r="AK75" s="866">
        <f t="shared" si="9"/>
        <v>0</v>
      </c>
      <c r="AL75" s="822"/>
      <c r="AM75" s="1520">
        <f t="shared" si="10"/>
        <v>0</v>
      </c>
    </row>
    <row r="76" spans="1:39" s="813" customFormat="1">
      <c r="A76" s="832" t="s">
        <v>72</v>
      </c>
      <c r="B76" s="765">
        <f t="shared" si="5"/>
        <v>11100000</v>
      </c>
      <c r="C76" s="94" t="s">
        <v>36</v>
      </c>
      <c r="D76" s="94" t="s">
        <v>829</v>
      </c>
      <c r="E76" s="94" t="s">
        <v>70</v>
      </c>
      <c r="F76" s="94" t="s">
        <v>411</v>
      </c>
      <c r="G76" s="80" t="s">
        <v>71</v>
      </c>
      <c r="H76" s="1362" t="s">
        <v>1642</v>
      </c>
      <c r="I76" s="1907">
        <v>270</v>
      </c>
      <c r="J76" s="1008">
        <v>0</v>
      </c>
      <c r="K76" s="831"/>
      <c r="L76" s="1011">
        <v>11</v>
      </c>
      <c r="M76" s="764">
        <v>11100000</v>
      </c>
      <c r="N76" s="1011">
        <v>45</v>
      </c>
      <c r="O76" s="764">
        <v>11100000</v>
      </c>
      <c r="P76" s="1228">
        <v>56</v>
      </c>
      <c r="Q76" s="830"/>
      <c r="R76" s="1087">
        <v>1233333</v>
      </c>
      <c r="S76" s="831">
        <v>3700000</v>
      </c>
      <c r="T76" s="831">
        <f>VLOOKUP(N76,[8]Hoja2!N$63:T$105,7,0)</f>
        <v>3700000</v>
      </c>
      <c r="U76" s="831">
        <v>2466667</v>
      </c>
      <c r="V76" s="831"/>
      <c r="W76" s="831"/>
      <c r="X76" s="831"/>
      <c r="Y76" s="831"/>
      <c r="Z76" s="831"/>
      <c r="AA76" s="831"/>
      <c r="AB76" s="1932"/>
      <c r="AC76" s="233">
        <f t="shared" si="6"/>
        <v>11100000</v>
      </c>
      <c r="AD76" s="182">
        <f t="shared" si="7"/>
        <v>0</v>
      </c>
      <c r="AF76" s="865">
        <v>270</v>
      </c>
      <c r="AG76" s="802" t="s">
        <v>425</v>
      </c>
      <c r="AH76" s="1067" t="str">
        <f>VLOOKUP(N76,[5]Hoja2!J$48:N$75,5,0)</f>
        <v>johan camilo prieto carreño</v>
      </c>
      <c r="AI76" s="606">
        <f t="shared" si="8"/>
        <v>56</v>
      </c>
      <c r="AJ76" s="154">
        <v>11100000</v>
      </c>
      <c r="AK76" s="866">
        <f t="shared" si="9"/>
        <v>0</v>
      </c>
      <c r="AL76" s="822"/>
      <c r="AM76" s="1520">
        <f t="shared" si="10"/>
        <v>0</v>
      </c>
    </row>
    <row r="77" spans="1:39" s="813" customFormat="1">
      <c r="A77" s="832" t="s">
        <v>72</v>
      </c>
      <c r="B77" s="765">
        <f t="shared" si="5"/>
        <v>0</v>
      </c>
      <c r="C77" s="94" t="s">
        <v>36</v>
      </c>
      <c r="D77" s="94" t="s">
        <v>829</v>
      </c>
      <c r="E77" s="94" t="s">
        <v>70</v>
      </c>
      <c r="F77" s="94" t="s">
        <v>411</v>
      </c>
      <c r="G77" s="80" t="s">
        <v>71</v>
      </c>
      <c r="H77" s="1362" t="s">
        <v>1642</v>
      </c>
      <c r="I77" s="1361" t="s">
        <v>173</v>
      </c>
      <c r="J77" s="1008">
        <v>0</v>
      </c>
      <c r="K77" s="831"/>
      <c r="L77" s="1011"/>
      <c r="M77" s="764"/>
      <c r="N77" s="1011"/>
      <c r="O77" s="764"/>
      <c r="P77" s="1228"/>
      <c r="Q77" s="830"/>
      <c r="R77" s="830"/>
      <c r="S77" s="831"/>
      <c r="T77" s="831"/>
      <c r="U77" s="831"/>
      <c r="V77" s="831"/>
      <c r="W77" s="831"/>
      <c r="X77" s="831"/>
      <c r="Y77" s="831"/>
      <c r="Z77" s="831"/>
      <c r="AA77" s="831"/>
      <c r="AB77" s="1932"/>
      <c r="AC77" s="233">
        <f t="shared" si="6"/>
        <v>0</v>
      </c>
      <c r="AD77" s="182">
        <f t="shared" si="7"/>
        <v>0</v>
      </c>
      <c r="AF77" s="868" t="s">
        <v>147</v>
      </c>
      <c r="AG77" s="857" t="s">
        <v>499</v>
      </c>
      <c r="AH77" s="1067" t="s">
        <v>173</v>
      </c>
      <c r="AI77" s="606">
        <f t="shared" si="8"/>
        <v>0</v>
      </c>
      <c r="AJ77" s="154">
        <f>5100000-5100000</f>
        <v>0</v>
      </c>
      <c r="AK77" s="866">
        <f t="shared" si="9"/>
        <v>0</v>
      </c>
      <c r="AL77" s="822"/>
      <c r="AM77" s="1520">
        <f t="shared" si="10"/>
        <v>0</v>
      </c>
    </row>
    <row r="78" spans="1:39" s="813" customFormat="1">
      <c r="A78" s="832" t="s">
        <v>72</v>
      </c>
      <c r="B78" s="765">
        <f t="shared" si="5"/>
        <v>13037500</v>
      </c>
      <c r="C78" s="94" t="s">
        <v>36</v>
      </c>
      <c r="D78" s="94" t="s">
        <v>829</v>
      </c>
      <c r="E78" s="94" t="s">
        <v>70</v>
      </c>
      <c r="F78" s="94" t="s">
        <v>411</v>
      </c>
      <c r="G78" s="80" t="s">
        <v>71</v>
      </c>
      <c r="H78" s="1362" t="s">
        <v>1642</v>
      </c>
      <c r="I78" s="1361">
        <v>438</v>
      </c>
      <c r="J78" s="1008">
        <v>0</v>
      </c>
      <c r="K78" s="831"/>
      <c r="L78" s="1011">
        <v>308</v>
      </c>
      <c r="M78" s="764">
        <f>26250000-13212500</f>
        <v>13037500</v>
      </c>
      <c r="N78" s="1011">
        <v>298</v>
      </c>
      <c r="O78" s="764">
        <f>26250000-13212500</f>
        <v>13037500</v>
      </c>
      <c r="P78" s="1228">
        <v>260</v>
      </c>
      <c r="Q78" s="830"/>
      <c r="R78" s="830"/>
      <c r="S78" s="831">
        <v>875000</v>
      </c>
      <c r="T78" s="831">
        <f>VLOOKUP(N78,[8]Hoja2!N$63:T$105,7,0)</f>
        <v>2625000</v>
      </c>
      <c r="U78" s="831">
        <v>2625000</v>
      </c>
      <c r="V78" s="831">
        <v>2625000</v>
      </c>
      <c r="W78" s="831">
        <v>2625000</v>
      </c>
      <c r="X78" s="831">
        <v>1662500</v>
      </c>
      <c r="Y78" s="831"/>
      <c r="Z78" s="831"/>
      <c r="AA78" s="831"/>
      <c r="AB78" s="1932"/>
      <c r="AC78" s="233">
        <f t="shared" si="6"/>
        <v>13037500</v>
      </c>
      <c r="AD78" s="182">
        <f t="shared" si="7"/>
        <v>0</v>
      </c>
      <c r="AF78" s="868">
        <v>438</v>
      </c>
      <c r="AG78" s="857" t="s">
        <v>569</v>
      </c>
      <c r="AH78" s="1067" t="s">
        <v>725</v>
      </c>
      <c r="AI78" s="606">
        <f t="shared" si="8"/>
        <v>260</v>
      </c>
      <c r="AJ78" s="154">
        <f>26250000-13212500</f>
        <v>13037500</v>
      </c>
      <c r="AK78" s="866">
        <f t="shared" si="9"/>
        <v>0</v>
      </c>
      <c r="AL78" s="822"/>
      <c r="AM78" s="1520">
        <f t="shared" si="10"/>
        <v>0</v>
      </c>
    </row>
    <row r="79" spans="1:39" s="813" customFormat="1">
      <c r="A79" s="832" t="s">
        <v>72</v>
      </c>
      <c r="B79" s="765">
        <f t="shared" si="5"/>
        <v>6000000</v>
      </c>
      <c r="C79" s="94" t="s">
        <v>36</v>
      </c>
      <c r="D79" s="94" t="s">
        <v>829</v>
      </c>
      <c r="E79" s="94" t="s">
        <v>70</v>
      </c>
      <c r="F79" s="94" t="s">
        <v>411</v>
      </c>
      <c r="G79" s="80" t="s">
        <v>71</v>
      </c>
      <c r="H79" s="1362" t="s">
        <v>1642</v>
      </c>
      <c r="I79" s="1008">
        <v>450</v>
      </c>
      <c r="J79" s="1008">
        <v>0</v>
      </c>
      <c r="K79" s="764"/>
      <c r="L79" s="1216">
        <v>373</v>
      </c>
      <c r="M79" s="765">
        <v>6000000</v>
      </c>
      <c r="N79" s="1216">
        <v>387</v>
      </c>
      <c r="O79" s="504">
        <v>6000000</v>
      </c>
      <c r="P79" s="754">
        <v>305</v>
      </c>
      <c r="Q79" s="827"/>
      <c r="R79" s="828"/>
      <c r="S79" s="831"/>
      <c r="T79" s="831"/>
      <c r="U79" s="765"/>
      <c r="V79" s="831"/>
      <c r="W79" s="831"/>
      <c r="X79" s="831"/>
      <c r="Y79" s="831"/>
      <c r="Z79" s="831">
        <v>2366395</v>
      </c>
      <c r="AA79" s="831"/>
      <c r="AB79" s="1932">
        <v>3633605</v>
      </c>
      <c r="AC79" s="233">
        <f t="shared" si="6"/>
        <v>6000000</v>
      </c>
      <c r="AD79" s="182">
        <f t="shared" si="7"/>
        <v>0</v>
      </c>
      <c r="AF79" s="868">
        <v>450</v>
      </c>
      <c r="AG79" s="857" t="s">
        <v>284</v>
      </c>
      <c r="AH79" s="1067" t="s">
        <v>816</v>
      </c>
      <c r="AI79" s="606">
        <f t="shared" si="8"/>
        <v>305</v>
      </c>
      <c r="AJ79" s="154">
        <v>6000000</v>
      </c>
      <c r="AK79" s="866">
        <f t="shared" si="9"/>
        <v>0</v>
      </c>
      <c r="AL79" s="822"/>
      <c r="AM79" s="1520">
        <f t="shared" si="10"/>
        <v>0</v>
      </c>
    </row>
    <row r="80" spans="1:39" s="813" customFormat="1">
      <c r="A80" s="832" t="s">
        <v>72</v>
      </c>
      <c r="B80" s="765">
        <f t="shared" si="5"/>
        <v>12600000</v>
      </c>
      <c r="C80" s="94" t="s">
        <v>36</v>
      </c>
      <c r="D80" s="94" t="s">
        <v>829</v>
      </c>
      <c r="E80" s="94" t="s">
        <v>70</v>
      </c>
      <c r="F80" s="94" t="s">
        <v>411</v>
      </c>
      <c r="G80" s="80" t="s">
        <v>71</v>
      </c>
      <c r="H80" s="1362" t="s">
        <v>1642</v>
      </c>
      <c r="I80" s="1008">
        <v>456</v>
      </c>
      <c r="J80" s="1008">
        <v>0</v>
      </c>
      <c r="K80" s="764"/>
      <c r="L80" s="1216">
        <v>503</v>
      </c>
      <c r="M80" s="765">
        <v>12600000</v>
      </c>
      <c r="N80" s="1216">
        <v>559</v>
      </c>
      <c r="O80" s="504">
        <v>12600000</v>
      </c>
      <c r="P80" s="754">
        <v>369</v>
      </c>
      <c r="Q80" s="827"/>
      <c r="R80" s="828"/>
      <c r="S80" s="831"/>
      <c r="T80" s="504"/>
      <c r="U80" s="765"/>
      <c r="V80" s="831"/>
      <c r="W80" s="831">
        <v>4620000</v>
      </c>
      <c r="X80" s="831">
        <v>4200000</v>
      </c>
      <c r="Y80" s="831">
        <v>3780000</v>
      </c>
      <c r="Z80" s="831"/>
      <c r="AA80" s="831"/>
      <c r="AB80" s="1932"/>
      <c r="AC80" s="233">
        <f t="shared" si="6"/>
        <v>12600000</v>
      </c>
      <c r="AD80" s="182">
        <f t="shared" si="7"/>
        <v>0</v>
      </c>
      <c r="AF80" s="868">
        <v>456</v>
      </c>
      <c r="AG80" s="857" t="s">
        <v>852</v>
      </c>
      <c r="AH80" s="1067" t="s">
        <v>1024</v>
      </c>
      <c r="AI80" s="606">
        <f t="shared" si="8"/>
        <v>369</v>
      </c>
      <c r="AJ80" s="154">
        <v>12600000</v>
      </c>
      <c r="AK80" s="866">
        <f t="shared" si="9"/>
        <v>0</v>
      </c>
      <c r="AL80" s="822"/>
      <c r="AM80" s="1520">
        <f t="shared" si="10"/>
        <v>0</v>
      </c>
    </row>
    <row r="81" spans="1:39" s="813" customFormat="1">
      <c r="A81" s="832" t="s">
        <v>72</v>
      </c>
      <c r="B81" s="765">
        <f t="shared" si="5"/>
        <v>12600000</v>
      </c>
      <c r="C81" s="94" t="s">
        <v>36</v>
      </c>
      <c r="D81" s="94" t="s">
        <v>829</v>
      </c>
      <c r="E81" s="94" t="s">
        <v>70</v>
      </c>
      <c r="F81" s="94" t="s">
        <v>411</v>
      </c>
      <c r="G81" s="80" t="s">
        <v>71</v>
      </c>
      <c r="H81" s="1362"/>
      <c r="I81" s="1008">
        <v>457</v>
      </c>
      <c r="J81" s="1008">
        <v>0</v>
      </c>
      <c r="K81" s="764"/>
      <c r="L81" s="1216">
        <v>504</v>
      </c>
      <c r="M81" s="765">
        <v>12600000</v>
      </c>
      <c r="N81" s="1216">
        <v>560</v>
      </c>
      <c r="O81" s="504">
        <v>12600000</v>
      </c>
      <c r="P81" s="754">
        <v>370</v>
      </c>
      <c r="Q81" s="827"/>
      <c r="R81" s="828"/>
      <c r="S81" s="504"/>
      <c r="T81" s="504"/>
      <c r="U81" s="765"/>
      <c r="V81" s="831"/>
      <c r="W81" s="831">
        <v>4620000</v>
      </c>
      <c r="X81" s="831">
        <v>4200000</v>
      </c>
      <c r="Y81" s="831">
        <v>3780000</v>
      </c>
      <c r="Z81" s="831"/>
      <c r="AA81" s="831"/>
      <c r="AB81" s="1932"/>
      <c r="AC81" s="233">
        <f t="shared" si="6"/>
        <v>12600000</v>
      </c>
      <c r="AD81" s="182">
        <f t="shared" si="7"/>
        <v>0</v>
      </c>
      <c r="AF81" s="868">
        <v>457</v>
      </c>
      <c r="AG81" s="857" t="s">
        <v>852</v>
      </c>
      <c r="AH81" s="1067" t="s">
        <v>1023</v>
      </c>
      <c r="AI81" s="606">
        <f t="shared" si="8"/>
        <v>370</v>
      </c>
      <c r="AJ81" s="154">
        <v>12600000</v>
      </c>
      <c r="AK81" s="866">
        <f t="shared" si="9"/>
        <v>0</v>
      </c>
      <c r="AL81" s="822"/>
      <c r="AM81" s="1520">
        <f t="shared" si="10"/>
        <v>0</v>
      </c>
    </row>
    <row r="82" spans="1:39" s="813" customFormat="1">
      <c r="A82" s="832" t="s">
        <v>72</v>
      </c>
      <c r="B82" s="765">
        <f t="shared" si="5"/>
        <v>0</v>
      </c>
      <c r="C82" s="94" t="s">
        <v>36</v>
      </c>
      <c r="D82" s="94" t="s">
        <v>829</v>
      </c>
      <c r="E82" s="94" t="s">
        <v>70</v>
      </c>
      <c r="F82" s="94" t="s">
        <v>411</v>
      </c>
      <c r="G82" s="80" t="s">
        <v>71</v>
      </c>
      <c r="H82" s="1362"/>
      <c r="I82" s="1008" t="s">
        <v>173</v>
      </c>
      <c r="J82" s="1008"/>
      <c r="K82" s="764"/>
      <c r="L82" s="1216"/>
      <c r="M82" s="765"/>
      <c r="N82" s="1216"/>
      <c r="O82" s="504"/>
      <c r="P82" s="754"/>
      <c r="Q82" s="827"/>
      <c r="R82" s="828"/>
      <c r="S82" s="504"/>
      <c r="T82" s="504"/>
      <c r="U82" s="765"/>
      <c r="V82" s="504"/>
      <c r="W82" s="828"/>
      <c r="X82" s="504"/>
      <c r="Y82" s="831"/>
      <c r="Z82" s="831"/>
      <c r="AA82" s="831"/>
      <c r="AB82" s="1932"/>
      <c r="AC82" s="233">
        <f t="shared" ref="AC82:AC87" si="11">SUM(Q82:AB82)</f>
        <v>0</v>
      </c>
      <c r="AD82" s="182">
        <f t="shared" ref="AD82:AD87" si="12">O82-AC82</f>
        <v>0</v>
      </c>
      <c r="AF82" s="868">
        <v>516</v>
      </c>
      <c r="AG82" s="857" t="s">
        <v>935</v>
      </c>
      <c r="AH82" s="1067" t="s">
        <v>173</v>
      </c>
      <c r="AI82" s="606">
        <f t="shared" ref="AI82:AI87" si="13">P82</f>
        <v>0</v>
      </c>
      <c r="AJ82" s="154">
        <f>42000000-42000000</f>
        <v>0</v>
      </c>
      <c r="AK82" s="866">
        <f t="shared" ref="AK82:AK87" si="14">AJ82-O82</f>
        <v>0</v>
      </c>
      <c r="AL82" s="822"/>
      <c r="AM82" s="1520">
        <f t="shared" ref="AM82:AM87" si="15">AJ82-M82</f>
        <v>0</v>
      </c>
    </row>
    <row r="83" spans="1:39" s="813" customFormat="1">
      <c r="A83" s="832" t="s">
        <v>72</v>
      </c>
      <c r="B83" s="765">
        <f t="shared" si="5"/>
        <v>17400000</v>
      </c>
      <c r="C83" s="94" t="s">
        <v>36</v>
      </c>
      <c r="D83" s="94" t="s">
        <v>829</v>
      </c>
      <c r="E83" s="94" t="s">
        <v>70</v>
      </c>
      <c r="F83" s="94" t="s">
        <v>411</v>
      </c>
      <c r="G83" s="80" t="s">
        <v>71</v>
      </c>
      <c r="H83" s="1362"/>
      <c r="I83" s="1008">
        <v>581</v>
      </c>
      <c r="J83" s="1008">
        <v>578</v>
      </c>
      <c r="K83" s="764">
        <f>18000000-600000</f>
        <v>17400000</v>
      </c>
      <c r="L83" s="1216">
        <v>665</v>
      </c>
      <c r="M83" s="764">
        <f>18000000-600000</f>
        <v>17400000</v>
      </c>
      <c r="N83" s="1216">
        <v>807</v>
      </c>
      <c r="O83" s="504">
        <v>17400000</v>
      </c>
      <c r="P83" s="754">
        <v>459</v>
      </c>
      <c r="Q83" s="827"/>
      <c r="R83" s="828"/>
      <c r="S83" s="504"/>
      <c r="T83" s="504"/>
      <c r="U83" s="765"/>
      <c r="V83" s="504"/>
      <c r="W83" s="828"/>
      <c r="X83" s="504"/>
      <c r="Y83" s="831"/>
      <c r="Z83" s="831">
        <v>3900000</v>
      </c>
      <c r="AA83" s="831">
        <v>4500000</v>
      </c>
      <c r="AB83" s="1932">
        <f>4500000+4500000</f>
        <v>9000000</v>
      </c>
      <c r="AC83" s="233">
        <f t="shared" si="11"/>
        <v>17400000</v>
      </c>
      <c r="AD83" s="182">
        <f t="shared" si="12"/>
        <v>0</v>
      </c>
      <c r="AF83" s="868">
        <v>581</v>
      </c>
      <c r="AG83" s="857" t="s">
        <v>1216</v>
      </c>
      <c r="AH83" s="1067" t="s">
        <v>1023</v>
      </c>
      <c r="AI83" s="606">
        <f t="shared" si="13"/>
        <v>459</v>
      </c>
      <c r="AJ83" s="154">
        <f>18000000-600000</f>
        <v>17400000</v>
      </c>
      <c r="AK83" s="866">
        <f t="shared" si="14"/>
        <v>0</v>
      </c>
      <c r="AL83" s="822"/>
      <c r="AM83" s="1520">
        <f t="shared" si="15"/>
        <v>0</v>
      </c>
    </row>
    <row r="84" spans="1:39" s="813" customFormat="1">
      <c r="A84" s="832" t="s">
        <v>72</v>
      </c>
      <c r="B84" s="765">
        <f t="shared" si="5"/>
        <v>17400000</v>
      </c>
      <c r="C84" s="94" t="s">
        <v>36</v>
      </c>
      <c r="D84" s="94" t="s">
        <v>829</v>
      </c>
      <c r="E84" s="94" t="s">
        <v>70</v>
      </c>
      <c r="F84" s="94" t="s">
        <v>411</v>
      </c>
      <c r="G84" s="80" t="s">
        <v>71</v>
      </c>
      <c r="H84" s="1362"/>
      <c r="I84" s="1008">
        <v>582</v>
      </c>
      <c r="J84" s="1008">
        <v>577</v>
      </c>
      <c r="K84" s="764">
        <f>18000000-600000</f>
        <v>17400000</v>
      </c>
      <c r="L84" s="1216">
        <v>666</v>
      </c>
      <c r="M84" s="764">
        <f>18000000-600000</f>
        <v>17400000</v>
      </c>
      <c r="N84" s="1216">
        <v>806</v>
      </c>
      <c r="O84" s="504">
        <v>17400000</v>
      </c>
      <c r="P84" s="754">
        <v>458</v>
      </c>
      <c r="Q84" s="827"/>
      <c r="R84" s="828"/>
      <c r="S84" s="504"/>
      <c r="T84" s="504"/>
      <c r="U84" s="765"/>
      <c r="V84" s="504"/>
      <c r="W84" s="828"/>
      <c r="X84" s="504"/>
      <c r="Y84" s="831"/>
      <c r="Z84" s="831">
        <v>3900000</v>
      </c>
      <c r="AA84" s="831">
        <v>4500000</v>
      </c>
      <c r="AB84" s="1932">
        <f>4500000+4500000</f>
        <v>9000000</v>
      </c>
      <c r="AC84" s="233">
        <f t="shared" si="11"/>
        <v>17400000</v>
      </c>
      <c r="AD84" s="182">
        <f t="shared" si="12"/>
        <v>0</v>
      </c>
      <c r="AF84" s="868">
        <v>582</v>
      </c>
      <c r="AG84" s="857" t="s">
        <v>1216</v>
      </c>
      <c r="AH84" s="1067" t="s">
        <v>1024</v>
      </c>
      <c r="AI84" s="606">
        <f t="shared" si="13"/>
        <v>458</v>
      </c>
      <c r="AJ84" s="154">
        <f>18000000-600000</f>
        <v>17400000</v>
      </c>
      <c r="AK84" s="866">
        <f t="shared" si="14"/>
        <v>0</v>
      </c>
      <c r="AL84" s="822"/>
      <c r="AM84" s="1520">
        <f t="shared" si="15"/>
        <v>0</v>
      </c>
    </row>
    <row r="85" spans="1:39" s="813" customFormat="1">
      <c r="A85" s="832" t="s">
        <v>72</v>
      </c>
      <c r="B85" s="765">
        <f t="shared" si="5"/>
        <v>6500000</v>
      </c>
      <c r="C85" s="94" t="s">
        <v>36</v>
      </c>
      <c r="D85" s="94" t="s">
        <v>829</v>
      </c>
      <c r="E85" s="94" t="s">
        <v>70</v>
      </c>
      <c r="F85" s="94" t="s">
        <v>411</v>
      </c>
      <c r="G85" s="80" t="s">
        <v>71</v>
      </c>
      <c r="H85" s="1362"/>
      <c r="I85" s="1008">
        <v>620</v>
      </c>
      <c r="J85" s="1008">
        <v>726</v>
      </c>
      <c r="K85" s="764">
        <v>6500000</v>
      </c>
      <c r="L85" s="1216">
        <v>832</v>
      </c>
      <c r="M85" s="764">
        <v>6500000</v>
      </c>
      <c r="N85" s="1216">
        <v>1001</v>
      </c>
      <c r="O85" s="504">
        <v>6500000</v>
      </c>
      <c r="P85" s="754">
        <v>500</v>
      </c>
      <c r="Q85" s="827"/>
      <c r="R85" s="828"/>
      <c r="S85" s="504"/>
      <c r="T85" s="504"/>
      <c r="U85" s="765"/>
      <c r="V85" s="504"/>
      <c r="W85" s="828"/>
      <c r="X85" s="504"/>
      <c r="Y85" s="831"/>
      <c r="Z85" s="831"/>
      <c r="AA85" s="828"/>
      <c r="AB85" s="1932">
        <v>6500000</v>
      </c>
      <c r="AC85" s="233">
        <f t="shared" si="11"/>
        <v>6500000</v>
      </c>
      <c r="AD85" s="182">
        <f t="shared" si="12"/>
        <v>0</v>
      </c>
      <c r="AF85" s="868">
        <v>620</v>
      </c>
      <c r="AG85" s="857" t="s">
        <v>1425</v>
      </c>
      <c r="AH85" s="1067" t="s">
        <v>1536</v>
      </c>
      <c r="AI85" s="606">
        <f t="shared" si="13"/>
        <v>500</v>
      </c>
      <c r="AJ85" s="154">
        <v>6500000</v>
      </c>
      <c r="AK85" s="866">
        <f t="shared" si="14"/>
        <v>0</v>
      </c>
      <c r="AL85" s="822"/>
      <c r="AM85" s="1520">
        <f t="shared" si="15"/>
        <v>0</v>
      </c>
    </row>
    <row r="86" spans="1:39" s="813" customFormat="1">
      <c r="A86" s="832" t="s">
        <v>72</v>
      </c>
      <c r="B86" s="765">
        <f t="shared" si="5"/>
        <v>3250000</v>
      </c>
      <c r="C86" s="94" t="s">
        <v>36</v>
      </c>
      <c r="D86" s="94" t="s">
        <v>829</v>
      </c>
      <c r="E86" s="94" t="s">
        <v>70</v>
      </c>
      <c r="F86" s="94" t="s">
        <v>411</v>
      </c>
      <c r="G86" s="80" t="s">
        <v>71</v>
      </c>
      <c r="H86" s="1362"/>
      <c r="I86" s="1008" t="s">
        <v>173</v>
      </c>
      <c r="J86" s="1008">
        <v>873</v>
      </c>
      <c r="K86" s="764">
        <v>3250000</v>
      </c>
      <c r="L86" s="1216">
        <v>996</v>
      </c>
      <c r="M86" s="764">
        <v>3250000</v>
      </c>
      <c r="N86" s="1216">
        <v>1173</v>
      </c>
      <c r="O86" s="504">
        <v>3250000</v>
      </c>
      <c r="P86" s="754">
        <v>500</v>
      </c>
      <c r="Q86" s="827"/>
      <c r="R86" s="828"/>
      <c r="S86" s="504"/>
      <c r="T86" s="504"/>
      <c r="U86" s="765"/>
      <c r="V86" s="504"/>
      <c r="W86" s="828"/>
      <c r="X86" s="504"/>
      <c r="Y86" s="831"/>
      <c r="Z86" s="831"/>
      <c r="AA86" s="828"/>
      <c r="AB86" s="829"/>
      <c r="AC86" s="233">
        <f t="shared" si="11"/>
        <v>0</v>
      </c>
      <c r="AD86" s="182">
        <f t="shared" si="12"/>
        <v>3250000</v>
      </c>
      <c r="AF86" s="868" t="s">
        <v>325</v>
      </c>
      <c r="AG86" s="857" t="s">
        <v>1582</v>
      </c>
      <c r="AH86" s="1067" t="s">
        <v>1536</v>
      </c>
      <c r="AI86" s="606">
        <f t="shared" si="13"/>
        <v>500</v>
      </c>
      <c r="AJ86" s="154">
        <v>3250000</v>
      </c>
      <c r="AK86" s="866">
        <f t="shared" si="14"/>
        <v>0</v>
      </c>
      <c r="AL86" s="822"/>
      <c r="AM86" s="1520">
        <f t="shared" si="15"/>
        <v>0</v>
      </c>
    </row>
    <row r="87" spans="1:39" s="813" customFormat="1">
      <c r="A87" s="832" t="s">
        <v>72</v>
      </c>
      <c r="B87" s="765">
        <f t="shared" si="5"/>
        <v>0</v>
      </c>
      <c r="C87" s="94" t="s">
        <v>36</v>
      </c>
      <c r="D87" s="94" t="s">
        <v>829</v>
      </c>
      <c r="E87" s="94" t="s">
        <v>70</v>
      </c>
      <c r="F87" s="94" t="s">
        <v>411</v>
      </c>
      <c r="G87" s="80" t="s">
        <v>71</v>
      </c>
      <c r="H87" s="1362"/>
      <c r="I87" s="1008" t="s">
        <v>173</v>
      </c>
      <c r="J87" s="1008">
        <v>0</v>
      </c>
      <c r="K87" s="764"/>
      <c r="L87" s="1216"/>
      <c r="M87" s="765"/>
      <c r="N87" s="1216"/>
      <c r="O87" s="504"/>
      <c r="P87" s="754"/>
      <c r="Q87" s="827"/>
      <c r="R87" s="828"/>
      <c r="S87" s="504"/>
      <c r="T87" s="504"/>
      <c r="U87" s="765"/>
      <c r="V87" s="504"/>
      <c r="W87" s="828"/>
      <c r="X87" s="504"/>
      <c r="Y87" s="504"/>
      <c r="Z87" s="765"/>
      <c r="AA87" s="828"/>
      <c r="AB87" s="829"/>
      <c r="AC87" s="233">
        <f t="shared" si="11"/>
        <v>0</v>
      </c>
      <c r="AD87" s="182">
        <f t="shared" si="12"/>
        <v>0</v>
      </c>
      <c r="AF87" s="868" t="s">
        <v>325</v>
      </c>
      <c r="AG87" s="857" t="s">
        <v>493</v>
      </c>
      <c r="AH87" s="1067" t="s">
        <v>173</v>
      </c>
      <c r="AI87" s="606">
        <f t="shared" si="13"/>
        <v>0</v>
      </c>
      <c r="AJ87" s="154">
        <f>840000+43040000+93373334+9600000-107596667+7765833-4911668-25840000+2436667+12000000-25637333-5070166</f>
        <v>0</v>
      </c>
      <c r="AK87" s="866">
        <f t="shared" si="14"/>
        <v>0</v>
      </c>
      <c r="AL87" s="822"/>
      <c r="AM87" s="1520">
        <f t="shared" si="15"/>
        <v>0</v>
      </c>
    </row>
    <row r="88" spans="1:39" s="8" customFormat="1">
      <c r="A88" s="167" t="s">
        <v>24</v>
      </c>
      <c r="B88" s="488">
        <f>B17-SUM(B18:B87)</f>
        <v>0</v>
      </c>
      <c r="C88" s="83"/>
      <c r="D88" s="83"/>
      <c r="E88" s="83"/>
      <c r="F88" s="83"/>
      <c r="G88" s="83"/>
      <c r="H88" s="2070"/>
      <c r="I88" s="1000"/>
      <c r="J88" s="1009"/>
      <c r="K88" s="843">
        <f>SUM(K18:K87)</f>
        <v>84830000</v>
      </c>
      <c r="L88" s="1217"/>
      <c r="M88" s="843">
        <f>SUM(M18:M87)</f>
        <v>1440474166</v>
      </c>
      <c r="N88" s="1217"/>
      <c r="O88" s="843">
        <f>SUM(O18:O87)</f>
        <v>1440474166</v>
      </c>
      <c r="P88" s="1230"/>
      <c r="Q88" s="54">
        <f t="shared" ref="Q88:AB88" si="16">SUM(Q18:Q87)</f>
        <v>0</v>
      </c>
      <c r="R88" s="54">
        <f t="shared" si="16"/>
        <v>22370000</v>
      </c>
      <c r="S88" s="54">
        <f t="shared" si="16"/>
        <v>125654333</v>
      </c>
      <c r="T88" s="54">
        <f t="shared" si="16"/>
        <v>163862333</v>
      </c>
      <c r="U88" s="54">
        <f t="shared" si="16"/>
        <v>163441666</v>
      </c>
      <c r="V88" s="54">
        <f t="shared" si="16"/>
        <v>147691667</v>
      </c>
      <c r="W88" s="54">
        <f t="shared" si="16"/>
        <v>129270333</v>
      </c>
      <c r="X88" s="54">
        <f t="shared" si="16"/>
        <v>123865834</v>
      </c>
      <c r="Y88" s="54">
        <f t="shared" si="16"/>
        <v>120238667</v>
      </c>
      <c r="Z88" s="54">
        <f t="shared" si="16"/>
        <v>114035729</v>
      </c>
      <c r="AA88" s="54">
        <f t="shared" si="16"/>
        <v>103280000</v>
      </c>
      <c r="AB88" s="1933">
        <f t="shared" si="16"/>
        <v>213563604</v>
      </c>
      <c r="AC88" s="54">
        <f>SUM(AC18:AC87)</f>
        <v>1427274166</v>
      </c>
      <c r="AD88" s="54">
        <f>SUM(AD18:AD87)</f>
        <v>13200000</v>
      </c>
      <c r="AF88" s="867"/>
      <c r="AG88" s="839"/>
      <c r="AH88" s="1068"/>
      <c r="AI88" s="1068"/>
      <c r="AJ88" s="54">
        <f>SUM(AJ18:AJ87)</f>
        <v>1440474166</v>
      </c>
      <c r="AK88" s="180">
        <f>SUM(AK18:AK87)</f>
        <v>0</v>
      </c>
      <c r="AL88" s="822">
        <f>B17-AJ88</f>
        <v>0</v>
      </c>
      <c r="AM88" s="1341"/>
    </row>
    <row r="89" spans="1:39" s="8" customFormat="1" ht="37.5" customHeight="1">
      <c r="A89" s="1538" t="s">
        <v>1332</v>
      </c>
      <c r="B89" s="486">
        <v>499660347</v>
      </c>
      <c r="C89" s="1538" t="s">
        <v>39</v>
      </c>
      <c r="D89" s="1538" t="s">
        <v>829</v>
      </c>
      <c r="E89" s="1538" t="s">
        <v>70</v>
      </c>
      <c r="F89" s="1538" t="s">
        <v>1334</v>
      </c>
      <c r="G89" s="1538" t="s">
        <v>71</v>
      </c>
      <c r="H89" s="1867" t="s">
        <v>1642</v>
      </c>
      <c r="I89" s="1540"/>
      <c r="J89" s="1541"/>
      <c r="K89" s="1542"/>
      <c r="L89" s="1543"/>
      <c r="M89" s="1544"/>
      <c r="N89" s="1543"/>
      <c r="O89" s="1544"/>
      <c r="P89" s="1545"/>
      <c r="Q89" s="1546"/>
      <c r="R89" s="1547"/>
      <c r="S89" s="1547"/>
      <c r="T89" s="1547"/>
      <c r="U89" s="1547"/>
      <c r="V89" s="1547"/>
      <c r="W89" s="1547"/>
      <c r="X89" s="1547"/>
      <c r="Y89" s="1547"/>
      <c r="Z89" s="1547"/>
      <c r="AA89" s="1547"/>
      <c r="AB89" s="1934"/>
      <c r="AC89" s="1546"/>
      <c r="AD89" s="1551"/>
      <c r="AF89" s="1548"/>
      <c r="AG89" s="1549"/>
      <c r="AH89" s="1550"/>
      <c r="AI89" s="1550"/>
      <c r="AJ89" s="1547"/>
      <c r="AK89" s="1551"/>
      <c r="AL89" s="822"/>
      <c r="AM89" s="1341"/>
    </row>
    <row r="90" spans="1:39" s="8" customFormat="1" ht="15">
      <c r="A90" s="1539" t="s">
        <v>1332</v>
      </c>
      <c r="B90" s="154">
        <f>M90</f>
        <v>426198500</v>
      </c>
      <c r="C90" s="1539" t="s">
        <v>39</v>
      </c>
      <c r="D90" s="1539" t="s">
        <v>829</v>
      </c>
      <c r="E90" s="1539" t="s">
        <v>70</v>
      </c>
      <c r="F90" s="1539" t="s">
        <v>1333</v>
      </c>
      <c r="G90" s="1539" t="s">
        <v>71</v>
      </c>
      <c r="H90" s="2128" t="s">
        <v>1642</v>
      </c>
      <c r="I90" s="1554">
        <v>600</v>
      </c>
      <c r="J90" s="1553">
        <v>619</v>
      </c>
      <c r="K90" s="468">
        <v>427383000</v>
      </c>
      <c r="L90" s="468">
        <v>705</v>
      </c>
      <c r="M90" s="468">
        <f>427383000-1184500</f>
        <v>426198500</v>
      </c>
      <c r="N90" s="107">
        <v>958</v>
      </c>
      <c r="O90" s="131">
        <v>426198500</v>
      </c>
      <c r="P90" s="1898">
        <v>492</v>
      </c>
      <c r="Q90" s="244"/>
      <c r="R90" s="7"/>
      <c r="S90" s="7"/>
      <c r="T90" s="7"/>
      <c r="U90" s="7"/>
      <c r="V90" s="7"/>
      <c r="W90" s="7"/>
      <c r="X90" s="7"/>
      <c r="Y90" s="7"/>
      <c r="Z90" s="7"/>
      <c r="AA90" s="831"/>
      <c r="AB90" s="1932">
        <v>170479400</v>
      </c>
      <c r="AC90" s="907">
        <f>SUM(Q90:AB90)</f>
        <v>170479400</v>
      </c>
      <c r="AD90" s="182">
        <f>O90-AC90</f>
        <v>255719100</v>
      </c>
      <c r="AF90" s="891">
        <v>600</v>
      </c>
      <c r="AG90" s="1286" t="s">
        <v>1276</v>
      </c>
      <c r="AH90" s="1897" t="s">
        <v>1422</v>
      </c>
      <c r="AI90" s="99">
        <f>P90</f>
        <v>492</v>
      </c>
      <c r="AJ90" s="105">
        <f>427383000-1184500</f>
        <v>426198500</v>
      </c>
      <c r="AK90" s="866">
        <f>AJ90-O90</f>
        <v>0</v>
      </c>
      <c r="AL90" s="822"/>
      <c r="AM90" s="1520">
        <f>AJ90-M90</f>
        <v>0</v>
      </c>
    </row>
    <row r="91" spans="1:39" s="8" customFormat="1" ht="15">
      <c r="A91" s="1539" t="s">
        <v>1332</v>
      </c>
      <c r="B91" s="154">
        <f>M91</f>
        <v>41250000</v>
      </c>
      <c r="C91" s="1539" t="s">
        <v>39</v>
      </c>
      <c r="D91" s="1539" t="s">
        <v>829</v>
      </c>
      <c r="E91" s="1539" t="s">
        <v>70</v>
      </c>
      <c r="F91" s="1539" t="s">
        <v>1333</v>
      </c>
      <c r="G91" s="1539" t="s">
        <v>71</v>
      </c>
      <c r="H91" s="2128" t="s">
        <v>1642</v>
      </c>
      <c r="I91" s="1554">
        <v>601</v>
      </c>
      <c r="J91" s="1553">
        <v>716</v>
      </c>
      <c r="K91" s="468">
        <v>41250000</v>
      </c>
      <c r="L91" s="107">
        <v>814</v>
      </c>
      <c r="M91" s="468">
        <v>41250000</v>
      </c>
      <c r="N91" s="107">
        <v>997</v>
      </c>
      <c r="O91" s="131">
        <v>41250000</v>
      </c>
      <c r="P91" s="1898">
        <v>498</v>
      </c>
      <c r="Q91" s="244"/>
      <c r="R91" s="7"/>
      <c r="S91" s="7"/>
      <c r="T91" s="7"/>
      <c r="U91" s="7"/>
      <c r="V91" s="7"/>
      <c r="W91" s="7"/>
      <c r="X91" s="7"/>
      <c r="Y91" s="7"/>
      <c r="Z91" s="7"/>
      <c r="AA91" s="105"/>
      <c r="AB91" s="1932">
        <f>550000+8250000</f>
        <v>8800000</v>
      </c>
      <c r="AC91" s="907">
        <f>SUM(Q91:AB91)</f>
        <v>8800000</v>
      </c>
      <c r="AD91" s="182">
        <f>O91-AC91</f>
        <v>32450000</v>
      </c>
      <c r="AF91" s="891">
        <v>601</v>
      </c>
      <c r="AG91" s="1286" t="s">
        <v>1420</v>
      </c>
      <c r="AH91" s="1897" t="s">
        <v>1537</v>
      </c>
      <c r="AI91" s="99">
        <f>P91</f>
        <v>498</v>
      </c>
      <c r="AJ91" s="105">
        <f>72277347-31027347</f>
        <v>41250000</v>
      </c>
      <c r="AK91" s="866">
        <f>AJ91-O91</f>
        <v>0</v>
      </c>
      <c r="AL91" s="822"/>
      <c r="AM91" s="1520">
        <f>AJ91-M91</f>
        <v>0</v>
      </c>
    </row>
    <row r="92" spans="1:39" s="8" customFormat="1" ht="15">
      <c r="A92" s="1539" t="s">
        <v>1332</v>
      </c>
      <c r="B92" s="154">
        <f>M92</f>
        <v>31000000</v>
      </c>
      <c r="C92" s="1539" t="s">
        <v>39</v>
      </c>
      <c r="D92" s="1539"/>
      <c r="E92" s="1539" t="s">
        <v>70</v>
      </c>
      <c r="F92" s="1539" t="s">
        <v>1333</v>
      </c>
      <c r="G92" s="1539" t="s">
        <v>71</v>
      </c>
      <c r="H92" s="2128" t="s">
        <v>1642</v>
      </c>
      <c r="I92" s="1554">
        <v>606</v>
      </c>
      <c r="J92" s="1553">
        <v>717</v>
      </c>
      <c r="K92" s="468">
        <v>31000000</v>
      </c>
      <c r="L92" s="107">
        <v>813</v>
      </c>
      <c r="M92" s="468">
        <v>31000000</v>
      </c>
      <c r="N92" s="107">
        <v>996</v>
      </c>
      <c r="O92" s="131">
        <v>31000000</v>
      </c>
      <c r="P92" s="1898">
        <v>496</v>
      </c>
      <c r="Q92" s="244"/>
      <c r="R92" s="7"/>
      <c r="S92" s="7"/>
      <c r="T92" s="7"/>
      <c r="U92" s="7"/>
      <c r="V92" s="7"/>
      <c r="W92" s="7"/>
      <c r="X92" s="7"/>
      <c r="Y92" s="7"/>
      <c r="Z92" s="7"/>
      <c r="AA92" s="105"/>
      <c r="AB92" s="1932">
        <f>620000+6200000</f>
        <v>6820000</v>
      </c>
      <c r="AC92" s="907">
        <f>SUM(Q92:AB92)</f>
        <v>6820000</v>
      </c>
      <c r="AD92" s="182">
        <f>O92-AC92</f>
        <v>24180000</v>
      </c>
      <c r="AF92" s="891">
        <v>606</v>
      </c>
      <c r="AG92" s="1286" t="s">
        <v>1421</v>
      </c>
      <c r="AH92" s="1897" t="s">
        <v>1538</v>
      </c>
      <c r="AI92" s="99">
        <f>P92</f>
        <v>496</v>
      </c>
      <c r="AJ92" s="105">
        <v>31000000</v>
      </c>
      <c r="AK92" s="866">
        <f>AJ92-O92</f>
        <v>0</v>
      </c>
      <c r="AL92" s="822"/>
      <c r="AM92" s="1520">
        <f>AJ92-M92</f>
        <v>0</v>
      </c>
    </row>
    <row r="93" spans="1:39" s="8" customFormat="1" ht="15">
      <c r="A93" s="1539" t="s">
        <v>1332</v>
      </c>
      <c r="B93" s="154">
        <f>M93</f>
        <v>0</v>
      </c>
      <c r="C93" s="1539" t="s">
        <v>39</v>
      </c>
      <c r="D93" s="1539" t="s">
        <v>829</v>
      </c>
      <c r="E93" s="1539" t="s">
        <v>70</v>
      </c>
      <c r="F93" s="1539" t="s">
        <v>1333</v>
      </c>
      <c r="G93" s="1539" t="s">
        <v>71</v>
      </c>
      <c r="H93" s="2128" t="s">
        <v>1642</v>
      </c>
      <c r="I93" s="1554" t="s">
        <v>173</v>
      </c>
      <c r="J93" s="1553"/>
      <c r="K93" s="468"/>
      <c r="L93" s="1535"/>
      <c r="M93" s="1536"/>
      <c r="N93" s="1535"/>
      <c r="O93" s="1536"/>
      <c r="P93" s="1537"/>
      <c r="Q93" s="244"/>
      <c r="R93" s="7"/>
      <c r="S93" s="7"/>
      <c r="T93" s="7"/>
      <c r="U93" s="7"/>
      <c r="V93" s="7"/>
      <c r="W93" s="7"/>
      <c r="X93" s="7"/>
      <c r="Y93" s="7"/>
      <c r="Z93" s="7"/>
      <c r="AA93" s="7"/>
      <c r="AB93" s="1935"/>
      <c r="AC93" s="907">
        <f>SUM(Q93:AB93)</f>
        <v>0</v>
      </c>
      <c r="AD93" s="182">
        <f>O93-AC93</f>
        <v>0</v>
      </c>
      <c r="AF93" s="891" t="s">
        <v>325</v>
      </c>
      <c r="AG93" s="1870" t="s">
        <v>1335</v>
      </c>
      <c r="AH93" s="1871"/>
      <c r="AI93" s="99">
        <f>P93</f>
        <v>0</v>
      </c>
      <c r="AJ93" s="105">
        <f>27347+1184500</f>
        <v>1211847</v>
      </c>
      <c r="AK93" s="866">
        <f>AJ93-O93</f>
        <v>1211847</v>
      </c>
      <c r="AL93" s="822"/>
      <c r="AM93" s="1520">
        <f>AJ93-M93</f>
        <v>1211847</v>
      </c>
    </row>
    <row r="94" spans="1:39" s="8" customFormat="1" ht="15">
      <c r="A94" s="1539" t="s">
        <v>1332</v>
      </c>
      <c r="B94" s="154">
        <f>M94</f>
        <v>0</v>
      </c>
      <c r="C94" s="1539" t="s">
        <v>39</v>
      </c>
      <c r="D94" s="1539" t="s">
        <v>829</v>
      </c>
      <c r="E94" s="1539" t="s">
        <v>70</v>
      </c>
      <c r="F94" s="1539" t="s">
        <v>1333</v>
      </c>
      <c r="G94" s="1539" t="s">
        <v>71</v>
      </c>
      <c r="H94" s="2128" t="s">
        <v>1642</v>
      </c>
      <c r="I94" s="1554" t="s">
        <v>173</v>
      </c>
      <c r="J94" s="1553"/>
      <c r="K94" s="468"/>
      <c r="L94" s="1535"/>
      <c r="M94" s="1536"/>
      <c r="N94" s="1535"/>
      <c r="O94" s="1536"/>
      <c r="P94" s="1537"/>
      <c r="Q94" s="244"/>
      <c r="R94" s="7"/>
      <c r="S94" s="7"/>
      <c r="T94" s="7"/>
      <c r="U94" s="7"/>
      <c r="V94" s="7"/>
      <c r="W94" s="7"/>
      <c r="X94" s="7"/>
      <c r="Y94" s="7"/>
      <c r="Z94" s="7"/>
      <c r="AA94" s="7"/>
      <c r="AB94" s="1935"/>
      <c r="AC94" s="907">
        <f>SUM(Q94:AB94)</f>
        <v>0</v>
      </c>
      <c r="AD94" s="182">
        <f>O94-AC94</f>
        <v>0</v>
      </c>
      <c r="AF94" s="891"/>
      <c r="AG94" s="1869"/>
      <c r="AH94" s="1871"/>
      <c r="AI94" s="99">
        <f>P94</f>
        <v>0</v>
      </c>
      <c r="AJ94" s="105"/>
      <c r="AK94" s="866">
        <f>AJ94-O94</f>
        <v>0</v>
      </c>
      <c r="AL94" s="822"/>
      <c r="AM94" s="1520">
        <f>AJ94-M94</f>
        <v>0</v>
      </c>
    </row>
    <row r="95" spans="1:39" s="8" customFormat="1">
      <c r="A95" s="167" t="s">
        <v>24</v>
      </c>
      <c r="B95" s="488">
        <f>B89-SUM(B90:B94)</f>
        <v>1211847</v>
      </c>
      <c r="C95" s="83"/>
      <c r="D95" s="83"/>
      <c r="E95" s="83"/>
      <c r="F95" s="83"/>
      <c r="G95" s="83"/>
      <c r="H95" s="2070"/>
      <c r="I95" s="1000"/>
      <c r="J95" s="1009"/>
      <c r="K95" s="843">
        <f>SUM(K90:K94)</f>
        <v>499633000</v>
      </c>
      <c r="L95" s="1217"/>
      <c r="M95" s="843">
        <f>SUM(M90:M94)</f>
        <v>498448500</v>
      </c>
      <c r="N95" s="1217"/>
      <c r="O95" s="843">
        <f>SUM(O90:O94)</f>
        <v>498448500</v>
      </c>
      <c r="P95" s="1230"/>
      <c r="Q95" s="843">
        <f t="shared" ref="Q95:AB95" si="17">SUM(Q90:Q94)</f>
        <v>0</v>
      </c>
      <c r="R95" s="843">
        <f t="shared" si="17"/>
        <v>0</v>
      </c>
      <c r="S95" s="843">
        <f t="shared" si="17"/>
        <v>0</v>
      </c>
      <c r="T95" s="843">
        <f t="shared" si="17"/>
        <v>0</v>
      </c>
      <c r="U95" s="843">
        <f t="shared" si="17"/>
        <v>0</v>
      </c>
      <c r="V95" s="843">
        <f t="shared" si="17"/>
        <v>0</v>
      </c>
      <c r="W95" s="843">
        <f t="shared" si="17"/>
        <v>0</v>
      </c>
      <c r="X95" s="843">
        <f t="shared" si="17"/>
        <v>0</v>
      </c>
      <c r="Y95" s="843">
        <f t="shared" si="17"/>
        <v>0</v>
      </c>
      <c r="Z95" s="843">
        <f t="shared" si="17"/>
        <v>0</v>
      </c>
      <c r="AA95" s="843">
        <f t="shared" si="17"/>
        <v>0</v>
      </c>
      <c r="AB95" s="1936">
        <f t="shared" si="17"/>
        <v>186099400</v>
      </c>
      <c r="AC95" s="843">
        <f>SUM(AC90:AC94)</f>
        <v>186099400</v>
      </c>
      <c r="AD95" s="843">
        <f>SUM(AD90:AD94)</f>
        <v>312349100</v>
      </c>
      <c r="AF95" s="867"/>
      <c r="AG95" s="839"/>
      <c r="AH95" s="1068"/>
      <c r="AI95" s="1068"/>
      <c r="AJ95" s="843">
        <f>SUM(AJ90:AJ94)</f>
        <v>499660347</v>
      </c>
      <c r="AK95" s="843">
        <f>SUM(AK90:AK94)</f>
        <v>1211847</v>
      </c>
      <c r="AL95" s="822">
        <f>B89-AJ95</f>
        <v>0</v>
      </c>
      <c r="AM95" s="1341"/>
    </row>
    <row r="96" spans="1:39" s="6" customFormat="1" ht="36.75" customHeight="1">
      <c r="A96" s="556" t="s">
        <v>74</v>
      </c>
      <c r="B96" s="486">
        <f>590740000-1050000+4750000+56780000+112730000+4911668+5397333-1429834-3000000-4030000</f>
        <v>765799167</v>
      </c>
      <c r="C96" s="1239" t="s">
        <v>36</v>
      </c>
      <c r="D96" s="1239" t="s">
        <v>829</v>
      </c>
      <c r="E96" s="1239" t="s">
        <v>70</v>
      </c>
      <c r="F96" s="1239" t="s">
        <v>73</v>
      </c>
      <c r="G96" s="1239" t="s">
        <v>71</v>
      </c>
      <c r="H96" s="1552" t="s">
        <v>1642</v>
      </c>
      <c r="I96" s="1001"/>
      <c r="J96" s="1010"/>
      <c r="K96" s="514"/>
      <c r="L96" s="1218"/>
      <c r="M96" s="1204"/>
      <c r="N96" s="1218"/>
      <c r="O96" s="515"/>
      <c r="P96" s="755"/>
      <c r="Q96" s="516"/>
      <c r="R96" s="517"/>
      <c r="S96" s="515"/>
      <c r="T96" s="515"/>
      <c r="U96" s="1335"/>
      <c r="V96" s="515"/>
      <c r="W96" s="517"/>
      <c r="X96" s="515"/>
      <c r="Y96" s="515"/>
      <c r="Z96" s="1335"/>
      <c r="AA96" s="517"/>
      <c r="AB96" s="1937"/>
      <c r="AC96" s="516"/>
      <c r="AD96" s="518"/>
      <c r="AF96" s="1380"/>
      <c r="AG96" s="1381"/>
      <c r="AH96" s="1382"/>
      <c r="AI96" s="1383"/>
      <c r="AJ96" s="338"/>
      <c r="AK96" s="1384"/>
      <c r="AL96" s="822"/>
      <c r="AM96" s="1521"/>
    </row>
    <row r="97" spans="1:39" s="813" customFormat="1">
      <c r="A97" s="575" t="s">
        <v>74</v>
      </c>
      <c r="B97" s="765">
        <f>M97</f>
        <v>23100000</v>
      </c>
      <c r="C97" s="513" t="s">
        <v>36</v>
      </c>
      <c r="D97" s="513" t="s">
        <v>829</v>
      </c>
      <c r="E97" s="513" t="s">
        <v>70</v>
      </c>
      <c r="F97" s="513" t="s">
        <v>73</v>
      </c>
      <c r="G97" s="513" t="s">
        <v>71</v>
      </c>
      <c r="H97" s="1363" t="s">
        <v>1642</v>
      </c>
      <c r="I97" s="1361">
        <v>208</v>
      </c>
      <c r="J97" s="1011">
        <v>0</v>
      </c>
      <c r="K97" s="764"/>
      <c r="L97" s="1011">
        <v>579</v>
      </c>
      <c r="M97" s="765">
        <f>25500000-2400000</f>
        <v>23100000</v>
      </c>
      <c r="N97" s="765">
        <v>669</v>
      </c>
      <c r="O97" s="765">
        <f>25500000-2400000</f>
        <v>23100000</v>
      </c>
      <c r="P97" s="1156">
        <v>410</v>
      </c>
      <c r="Q97" s="827"/>
      <c r="R97" s="828"/>
      <c r="S97" s="504"/>
      <c r="T97" s="504"/>
      <c r="U97" s="765"/>
      <c r="V97" s="504"/>
      <c r="W97" s="828"/>
      <c r="X97" s="504">
        <v>3150000</v>
      </c>
      <c r="Y97" s="831">
        <v>4500000</v>
      </c>
      <c r="Z97" s="831">
        <v>4500000</v>
      </c>
      <c r="AA97" s="831">
        <v>4500000</v>
      </c>
      <c r="AB97" s="1932">
        <f>4500000+1950000</f>
        <v>6450000</v>
      </c>
      <c r="AC97" s="233">
        <f t="shared" ref="AC97:AC123" si="18">SUM(Q97:AB97)</f>
        <v>23100000</v>
      </c>
      <c r="AD97" s="182">
        <f t="shared" ref="AD97:AD123" si="19">O97-AC97</f>
        <v>0</v>
      </c>
      <c r="AF97" s="868">
        <v>208</v>
      </c>
      <c r="AG97" s="857" t="s">
        <v>443</v>
      </c>
      <c r="AH97" s="1069" t="s">
        <v>1137</v>
      </c>
      <c r="AI97" s="606">
        <f t="shared" ref="AI97:AI123" si="20">P97</f>
        <v>410</v>
      </c>
      <c r="AJ97" s="166">
        <f>19000000+6200000+1800000-1500000-2400000</f>
        <v>23100000</v>
      </c>
      <c r="AK97" s="866">
        <f t="shared" ref="AK97:AK123" si="21">AJ97-O97</f>
        <v>0</v>
      </c>
      <c r="AL97" s="822"/>
      <c r="AM97" s="1520">
        <f t="shared" ref="AM97:AM123" si="22">AJ97-M97</f>
        <v>0</v>
      </c>
    </row>
    <row r="98" spans="1:39" s="813" customFormat="1">
      <c r="A98" s="575" t="s">
        <v>74</v>
      </c>
      <c r="B98" s="765">
        <f t="shared" ref="B98:B123" si="23">M98</f>
        <v>56700000</v>
      </c>
      <c r="C98" s="513" t="s">
        <v>36</v>
      </c>
      <c r="D98" s="513" t="s">
        <v>829</v>
      </c>
      <c r="E98" s="513" t="s">
        <v>70</v>
      </c>
      <c r="F98" s="513" t="s">
        <v>73</v>
      </c>
      <c r="G98" s="513" t="s">
        <v>71</v>
      </c>
      <c r="H98" s="1363" t="s">
        <v>1642</v>
      </c>
      <c r="I98" s="1361">
        <v>222</v>
      </c>
      <c r="J98" s="1011">
        <v>0</v>
      </c>
      <c r="K98" s="764"/>
      <c r="L98" s="1011">
        <v>289</v>
      </c>
      <c r="M98" s="765">
        <v>56700000</v>
      </c>
      <c r="N98" s="765">
        <v>284</v>
      </c>
      <c r="O98" s="765">
        <v>56700000</v>
      </c>
      <c r="P98" s="1156">
        <v>248</v>
      </c>
      <c r="Q98" s="827"/>
      <c r="R98" s="828"/>
      <c r="S98" s="831">
        <v>2880000</v>
      </c>
      <c r="T98" s="831">
        <v>5400000</v>
      </c>
      <c r="U98" s="831">
        <v>5400000</v>
      </c>
      <c r="V98" s="831">
        <v>5400000</v>
      </c>
      <c r="W98" s="831">
        <v>5400000</v>
      </c>
      <c r="X98" s="831">
        <v>5400000</v>
      </c>
      <c r="Y98" s="831">
        <v>5400000</v>
      </c>
      <c r="Z98" s="831">
        <v>5400000</v>
      </c>
      <c r="AA98" s="831">
        <v>5400000</v>
      </c>
      <c r="AB98" s="1932">
        <f>5400000+5220000</f>
        <v>10620000</v>
      </c>
      <c r="AC98" s="233">
        <f t="shared" si="18"/>
        <v>56700000</v>
      </c>
      <c r="AD98" s="182">
        <f t="shared" si="19"/>
        <v>0</v>
      </c>
      <c r="AF98" s="868">
        <v>222</v>
      </c>
      <c r="AG98" s="857" t="s">
        <v>444</v>
      </c>
      <c r="AH98" s="1069" t="s">
        <v>724</v>
      </c>
      <c r="AI98" s="606">
        <f t="shared" si="20"/>
        <v>248</v>
      </c>
      <c r="AJ98" s="166">
        <f>49500000+7200000</f>
        <v>56700000</v>
      </c>
      <c r="AK98" s="866">
        <f t="shared" si="21"/>
        <v>0</v>
      </c>
      <c r="AL98" s="822"/>
      <c r="AM98" s="1520">
        <f t="shared" si="22"/>
        <v>0</v>
      </c>
    </row>
    <row r="99" spans="1:39" s="610" customFormat="1">
      <c r="A99" s="575" t="s">
        <v>74</v>
      </c>
      <c r="B99" s="765">
        <f t="shared" si="23"/>
        <v>49400000</v>
      </c>
      <c r="C99" s="513" t="s">
        <v>36</v>
      </c>
      <c r="D99" s="513" t="s">
        <v>829</v>
      </c>
      <c r="E99" s="513" t="s">
        <v>70</v>
      </c>
      <c r="F99" s="513" t="s">
        <v>73</v>
      </c>
      <c r="G99" s="513" t="s">
        <v>71</v>
      </c>
      <c r="H99" s="1363" t="s">
        <v>1642</v>
      </c>
      <c r="I99" s="1361">
        <v>223</v>
      </c>
      <c r="J99" s="1011">
        <v>0</v>
      </c>
      <c r="K99" s="764"/>
      <c r="L99" s="1011">
        <v>364</v>
      </c>
      <c r="M99" s="765">
        <v>49400000</v>
      </c>
      <c r="N99" s="765">
        <v>364</v>
      </c>
      <c r="O99" s="765">
        <v>49400000</v>
      </c>
      <c r="P99" s="1156">
        <v>288</v>
      </c>
      <c r="Q99" s="827"/>
      <c r="R99" s="504"/>
      <c r="S99" s="831"/>
      <c r="T99" s="831">
        <v>2253333</v>
      </c>
      <c r="U99" s="831">
        <v>5200000</v>
      </c>
      <c r="V99" s="831">
        <v>5200000</v>
      </c>
      <c r="W99" s="831">
        <v>5200000</v>
      </c>
      <c r="X99" s="831">
        <v>5200000</v>
      </c>
      <c r="Y99" s="831">
        <v>5200000</v>
      </c>
      <c r="Z99" s="831">
        <v>5200000</v>
      </c>
      <c r="AA99" s="831">
        <v>5200000</v>
      </c>
      <c r="AB99" s="1932">
        <f>5200000+5200000</f>
        <v>10400000</v>
      </c>
      <c r="AC99" s="233">
        <f t="shared" si="18"/>
        <v>49053333</v>
      </c>
      <c r="AD99" s="182">
        <f t="shared" si="19"/>
        <v>346667</v>
      </c>
      <c r="AF99" s="868">
        <v>223</v>
      </c>
      <c r="AG99" s="857" t="s">
        <v>498</v>
      </c>
      <c r="AH99" s="1069" t="s">
        <v>803</v>
      </c>
      <c r="AI99" s="606">
        <f t="shared" si="20"/>
        <v>288</v>
      </c>
      <c r="AJ99" s="166">
        <f>55000000-3000000-2600000</f>
        <v>49400000</v>
      </c>
      <c r="AK99" s="866">
        <f t="shared" si="21"/>
        <v>0</v>
      </c>
      <c r="AL99" s="822"/>
      <c r="AM99" s="1520">
        <f t="shared" si="22"/>
        <v>0</v>
      </c>
    </row>
    <row r="100" spans="1:39" s="610" customFormat="1">
      <c r="A100" s="575" t="s">
        <v>74</v>
      </c>
      <c r="B100" s="765">
        <f t="shared" si="23"/>
        <v>82400000</v>
      </c>
      <c r="C100" s="513" t="s">
        <v>36</v>
      </c>
      <c r="D100" s="513" t="s">
        <v>829</v>
      </c>
      <c r="E100" s="513" t="s">
        <v>70</v>
      </c>
      <c r="F100" s="513" t="s">
        <v>73</v>
      </c>
      <c r="G100" s="513" t="s">
        <v>71</v>
      </c>
      <c r="H100" s="1363" t="s">
        <v>1642</v>
      </c>
      <c r="I100" s="1361">
        <v>226</v>
      </c>
      <c r="J100" s="1011">
        <v>0</v>
      </c>
      <c r="K100" s="764"/>
      <c r="L100" s="1011">
        <v>252</v>
      </c>
      <c r="M100" s="765">
        <f>84000000-1600000</f>
        <v>82400000</v>
      </c>
      <c r="N100" s="765">
        <v>280</v>
      </c>
      <c r="O100" s="765">
        <f>84000000-1600000</f>
        <v>82400000</v>
      </c>
      <c r="P100" s="1156">
        <v>230</v>
      </c>
      <c r="Q100" s="827"/>
      <c r="R100" s="504"/>
      <c r="S100" s="831">
        <v>4266667</v>
      </c>
      <c r="T100" s="831">
        <v>8000000</v>
      </c>
      <c r="U100" s="831">
        <v>6133333</v>
      </c>
      <c r="V100" s="831">
        <v>8000000</v>
      </c>
      <c r="W100" s="831">
        <v>8000000</v>
      </c>
      <c r="X100" s="831">
        <v>8000000</v>
      </c>
      <c r="Y100" s="831">
        <v>8000000</v>
      </c>
      <c r="Z100" s="831">
        <v>8000000</v>
      </c>
      <c r="AA100" s="831">
        <v>8000000</v>
      </c>
      <c r="AB100" s="1932">
        <f>8000000+8000000</f>
        <v>16000000</v>
      </c>
      <c r="AC100" s="233">
        <f t="shared" si="18"/>
        <v>82400000</v>
      </c>
      <c r="AD100" s="182">
        <f t="shared" si="19"/>
        <v>0</v>
      </c>
      <c r="AF100" s="868">
        <v>226</v>
      </c>
      <c r="AG100" s="857" t="s">
        <v>445</v>
      </c>
      <c r="AH100" s="1069" t="s">
        <v>722</v>
      </c>
      <c r="AI100" s="606">
        <f t="shared" si="20"/>
        <v>230</v>
      </c>
      <c r="AJ100" s="166">
        <f>88000000-4000000-1600000</f>
        <v>82400000</v>
      </c>
      <c r="AK100" s="866">
        <f t="shared" si="21"/>
        <v>0</v>
      </c>
      <c r="AL100" s="822"/>
      <c r="AM100" s="1520">
        <f t="shared" si="22"/>
        <v>0</v>
      </c>
    </row>
    <row r="101" spans="1:39" s="610" customFormat="1">
      <c r="A101" s="575" t="s">
        <v>74</v>
      </c>
      <c r="B101" s="765">
        <f t="shared" si="23"/>
        <v>0</v>
      </c>
      <c r="C101" s="513" t="s">
        <v>36</v>
      </c>
      <c r="D101" s="513" t="s">
        <v>829</v>
      </c>
      <c r="E101" s="513" t="s">
        <v>70</v>
      </c>
      <c r="F101" s="513" t="s">
        <v>73</v>
      </c>
      <c r="G101" s="513" t="s">
        <v>71</v>
      </c>
      <c r="H101" s="1363" t="s">
        <v>1642</v>
      </c>
      <c r="I101" s="1361">
        <v>236</v>
      </c>
      <c r="J101" s="1011">
        <v>0</v>
      </c>
      <c r="K101" s="764"/>
      <c r="L101" s="1011"/>
      <c r="M101" s="765"/>
      <c r="N101" s="1216"/>
      <c r="O101" s="504"/>
      <c r="P101" s="1156"/>
      <c r="Q101" s="827"/>
      <c r="R101" s="504"/>
      <c r="S101" s="831"/>
      <c r="T101" s="831"/>
      <c r="U101" s="831"/>
      <c r="V101" s="831"/>
      <c r="W101" s="831"/>
      <c r="X101" s="831"/>
      <c r="Y101" s="831"/>
      <c r="Z101" s="831"/>
      <c r="AA101" s="831"/>
      <c r="AB101" s="1932"/>
      <c r="AC101" s="233">
        <f t="shared" si="18"/>
        <v>0</v>
      </c>
      <c r="AD101" s="182">
        <f t="shared" si="19"/>
        <v>0</v>
      </c>
      <c r="AF101" s="868">
        <v>236</v>
      </c>
      <c r="AG101" s="857" t="s">
        <v>446</v>
      </c>
      <c r="AH101" s="1069" t="s">
        <v>173</v>
      </c>
      <c r="AI101" s="606">
        <f t="shared" si="20"/>
        <v>0</v>
      </c>
      <c r="AJ101" s="166">
        <f>19000000-19000000</f>
        <v>0</v>
      </c>
      <c r="AK101" s="866">
        <f t="shared" si="21"/>
        <v>0</v>
      </c>
      <c r="AL101" s="822"/>
      <c r="AM101" s="1520">
        <f t="shared" si="22"/>
        <v>0</v>
      </c>
    </row>
    <row r="102" spans="1:39" s="610" customFormat="1">
      <c r="A102" s="575" t="s">
        <v>74</v>
      </c>
      <c r="B102" s="765">
        <f t="shared" si="23"/>
        <v>0</v>
      </c>
      <c r="C102" s="513" t="s">
        <v>36</v>
      </c>
      <c r="D102" s="513" t="s">
        <v>829</v>
      </c>
      <c r="E102" s="513" t="s">
        <v>70</v>
      </c>
      <c r="F102" s="513" t="s">
        <v>73</v>
      </c>
      <c r="G102" s="513" t="s">
        <v>71</v>
      </c>
      <c r="H102" s="1363" t="s">
        <v>1642</v>
      </c>
      <c r="I102" s="1361">
        <v>245</v>
      </c>
      <c r="J102" s="1011">
        <v>0</v>
      </c>
      <c r="K102" s="764"/>
      <c r="L102" s="1011"/>
      <c r="M102" s="765"/>
      <c r="N102" s="1216"/>
      <c r="O102" s="504"/>
      <c r="P102" s="1156"/>
      <c r="Q102" s="827"/>
      <c r="R102" s="504"/>
      <c r="S102" s="831"/>
      <c r="T102" s="831"/>
      <c r="U102" s="831"/>
      <c r="V102" s="831"/>
      <c r="W102" s="831"/>
      <c r="X102" s="831"/>
      <c r="Y102" s="831"/>
      <c r="Z102" s="831"/>
      <c r="AA102" s="831"/>
      <c r="AB102" s="1932"/>
      <c r="AC102" s="233">
        <f t="shared" si="18"/>
        <v>0</v>
      </c>
      <c r="AD102" s="182">
        <f t="shared" si="19"/>
        <v>0</v>
      </c>
      <c r="AF102" s="868">
        <v>245</v>
      </c>
      <c r="AG102" s="857" t="s">
        <v>447</v>
      </c>
      <c r="AH102" s="1069" t="s">
        <v>173</v>
      </c>
      <c r="AI102" s="606">
        <f t="shared" si="20"/>
        <v>0</v>
      </c>
      <c r="AJ102" s="166">
        <f>27500000-1250000-26250000</f>
        <v>0</v>
      </c>
      <c r="AK102" s="866">
        <f t="shared" si="21"/>
        <v>0</v>
      </c>
      <c r="AL102" s="822"/>
      <c r="AM102" s="1520">
        <f t="shared" si="22"/>
        <v>0</v>
      </c>
    </row>
    <row r="103" spans="1:39" s="610" customFormat="1">
      <c r="A103" s="575" t="s">
        <v>74</v>
      </c>
      <c r="B103" s="765">
        <f t="shared" si="23"/>
        <v>51040000</v>
      </c>
      <c r="C103" s="513" t="s">
        <v>36</v>
      </c>
      <c r="D103" s="513" t="s">
        <v>829</v>
      </c>
      <c r="E103" s="513" t="s">
        <v>70</v>
      </c>
      <c r="F103" s="513" t="s">
        <v>73</v>
      </c>
      <c r="G103" s="513" t="s">
        <v>71</v>
      </c>
      <c r="H103" s="1363" t="s">
        <v>1642</v>
      </c>
      <c r="I103" s="1361">
        <v>262</v>
      </c>
      <c r="J103" s="1011">
        <v>0</v>
      </c>
      <c r="K103" s="764"/>
      <c r="L103" s="1011">
        <v>33</v>
      </c>
      <c r="M103" s="764">
        <v>51040000</v>
      </c>
      <c r="N103" s="1011">
        <v>138</v>
      </c>
      <c r="O103" s="764">
        <v>51040000</v>
      </c>
      <c r="P103" s="1228">
        <v>39</v>
      </c>
      <c r="Q103" s="827"/>
      <c r="R103" s="1087">
        <v>1237333</v>
      </c>
      <c r="S103" s="831">
        <v>4640000</v>
      </c>
      <c r="T103" s="831">
        <v>4640000</v>
      </c>
      <c r="U103" s="765">
        <v>4640000</v>
      </c>
      <c r="V103" s="831">
        <v>4640000</v>
      </c>
      <c r="W103" s="831">
        <v>4640000</v>
      </c>
      <c r="X103" s="831">
        <v>4640000</v>
      </c>
      <c r="Y103" s="831">
        <v>4640000</v>
      </c>
      <c r="Z103" s="831">
        <v>4640000</v>
      </c>
      <c r="AA103" s="831">
        <v>4640000</v>
      </c>
      <c r="AB103" s="1932">
        <f>4640000+3402667</f>
        <v>8042667</v>
      </c>
      <c r="AC103" s="233">
        <f t="shared" si="18"/>
        <v>51040000</v>
      </c>
      <c r="AD103" s="182">
        <f t="shared" si="19"/>
        <v>0</v>
      </c>
      <c r="AF103" s="868">
        <v>262</v>
      </c>
      <c r="AG103" s="857" t="s">
        <v>448</v>
      </c>
      <c r="AH103" s="1067" t="s">
        <v>909</v>
      </c>
      <c r="AI103" s="606">
        <f t="shared" si="20"/>
        <v>39</v>
      </c>
      <c r="AJ103" s="166">
        <v>51040000</v>
      </c>
      <c r="AK103" s="866">
        <f t="shared" si="21"/>
        <v>0</v>
      </c>
      <c r="AL103" s="822"/>
      <c r="AM103" s="1520">
        <f t="shared" si="22"/>
        <v>0</v>
      </c>
    </row>
    <row r="104" spans="1:39" s="610" customFormat="1">
      <c r="A104" s="575" t="s">
        <v>74</v>
      </c>
      <c r="B104" s="765">
        <f t="shared" si="23"/>
        <v>3866667</v>
      </c>
      <c r="C104" s="513" t="s">
        <v>36</v>
      </c>
      <c r="D104" s="513" t="s">
        <v>829</v>
      </c>
      <c r="E104" s="513" t="s">
        <v>70</v>
      </c>
      <c r="F104" s="513" t="s">
        <v>73</v>
      </c>
      <c r="G104" s="513" t="s">
        <v>71</v>
      </c>
      <c r="H104" s="1363" t="s">
        <v>1642</v>
      </c>
      <c r="I104" s="1361" t="s">
        <v>325</v>
      </c>
      <c r="J104" s="1011">
        <v>734</v>
      </c>
      <c r="K104" s="764">
        <v>3866667</v>
      </c>
      <c r="L104" s="1011">
        <v>853</v>
      </c>
      <c r="M104" s="764">
        <v>3866667</v>
      </c>
      <c r="N104" s="1011">
        <v>1055</v>
      </c>
      <c r="O104" s="764">
        <v>3866667</v>
      </c>
      <c r="P104" s="1228">
        <v>39</v>
      </c>
      <c r="Q104" s="827"/>
      <c r="R104" s="1087"/>
      <c r="S104" s="831"/>
      <c r="T104" s="831"/>
      <c r="U104" s="764"/>
      <c r="V104" s="831"/>
      <c r="W104" s="831"/>
      <c r="X104" s="831"/>
      <c r="Y104" s="831"/>
      <c r="Z104" s="831"/>
      <c r="AA104" s="831"/>
      <c r="AB104" s="1932">
        <v>1237333</v>
      </c>
      <c r="AC104" s="233">
        <f t="shared" si="18"/>
        <v>1237333</v>
      </c>
      <c r="AD104" s="182">
        <f t="shared" si="19"/>
        <v>2629334</v>
      </c>
      <c r="AF104" s="868" t="s">
        <v>325</v>
      </c>
      <c r="AG104" s="857" t="s">
        <v>1178</v>
      </c>
      <c r="AH104" s="1067" t="s">
        <v>909</v>
      </c>
      <c r="AI104" s="606">
        <f t="shared" si="20"/>
        <v>39</v>
      </c>
      <c r="AJ104" s="166">
        <f>4640000-773333</f>
        <v>3866667</v>
      </c>
      <c r="AK104" s="866">
        <f t="shared" si="21"/>
        <v>0</v>
      </c>
      <c r="AL104" s="822"/>
      <c r="AM104" s="1520">
        <f t="shared" si="22"/>
        <v>0</v>
      </c>
    </row>
    <row r="105" spans="1:39" s="610" customFormat="1">
      <c r="A105" s="575" t="s">
        <v>74</v>
      </c>
      <c r="B105" s="765">
        <f t="shared" si="23"/>
        <v>0</v>
      </c>
      <c r="C105" s="513" t="s">
        <v>36</v>
      </c>
      <c r="D105" s="513" t="s">
        <v>829</v>
      </c>
      <c r="E105" s="513" t="s">
        <v>70</v>
      </c>
      <c r="F105" s="513" t="s">
        <v>73</v>
      </c>
      <c r="G105" s="513" t="s">
        <v>71</v>
      </c>
      <c r="H105" s="1363" t="s">
        <v>1642</v>
      </c>
      <c r="I105" s="1361" t="s">
        <v>173</v>
      </c>
      <c r="J105" s="1011"/>
      <c r="K105" s="764"/>
      <c r="L105" s="1011"/>
      <c r="M105" s="764"/>
      <c r="N105" s="1011"/>
      <c r="O105" s="764"/>
      <c r="P105" s="1228">
        <v>39</v>
      </c>
      <c r="Q105" s="827"/>
      <c r="R105" s="1087"/>
      <c r="S105" s="831"/>
      <c r="T105" s="831"/>
      <c r="U105" s="764"/>
      <c r="V105" s="831"/>
      <c r="W105" s="831"/>
      <c r="X105" s="831"/>
      <c r="Y105" s="831"/>
      <c r="Z105" s="831"/>
      <c r="AA105" s="831"/>
      <c r="AB105" s="1932"/>
      <c r="AC105" s="233">
        <f t="shared" si="18"/>
        <v>0</v>
      </c>
      <c r="AD105" s="182">
        <f t="shared" si="19"/>
        <v>0</v>
      </c>
      <c r="AF105" s="868" t="s">
        <v>325</v>
      </c>
      <c r="AG105" s="857" t="s">
        <v>1296</v>
      </c>
      <c r="AH105" s="1067" t="s">
        <v>909</v>
      </c>
      <c r="AI105" s="606">
        <f t="shared" si="20"/>
        <v>39</v>
      </c>
      <c r="AJ105" s="166">
        <f>1237333-1237333</f>
        <v>0</v>
      </c>
      <c r="AK105" s="866">
        <f t="shared" si="21"/>
        <v>0</v>
      </c>
      <c r="AL105" s="822"/>
      <c r="AM105" s="1520">
        <f t="shared" si="22"/>
        <v>0</v>
      </c>
    </row>
    <row r="106" spans="1:39" s="610" customFormat="1">
      <c r="A106" s="575" t="s">
        <v>74</v>
      </c>
      <c r="B106" s="765">
        <f t="shared" si="23"/>
        <v>34200000</v>
      </c>
      <c r="C106" s="513" t="s">
        <v>36</v>
      </c>
      <c r="D106" s="513" t="s">
        <v>829</v>
      </c>
      <c r="E106" s="513" t="s">
        <v>70</v>
      </c>
      <c r="F106" s="513" t="s">
        <v>73</v>
      </c>
      <c r="G106" s="513" t="s">
        <v>71</v>
      </c>
      <c r="H106" s="1363" t="s">
        <v>1642</v>
      </c>
      <c r="I106" s="1361">
        <v>263</v>
      </c>
      <c r="J106" s="1011">
        <v>0</v>
      </c>
      <c r="K106" s="764"/>
      <c r="L106" s="1011">
        <v>358</v>
      </c>
      <c r="M106" s="765">
        <v>34200000</v>
      </c>
      <c r="N106" s="1216">
        <v>366</v>
      </c>
      <c r="O106" s="504">
        <v>34200000</v>
      </c>
      <c r="P106" s="1156">
        <v>294</v>
      </c>
      <c r="Q106" s="827"/>
      <c r="R106" s="1087"/>
      <c r="S106" s="831"/>
      <c r="T106" s="831">
        <v>2153333</v>
      </c>
      <c r="U106" s="831">
        <v>3800000</v>
      </c>
      <c r="V106" s="831">
        <v>3800000</v>
      </c>
      <c r="W106" s="831">
        <v>3800000</v>
      </c>
      <c r="X106" s="831">
        <v>3800000</v>
      </c>
      <c r="Y106" s="831">
        <f>1773333+1393333</f>
        <v>3166666</v>
      </c>
      <c r="Z106" s="831">
        <v>3800000</v>
      </c>
      <c r="AA106" s="831">
        <v>3800000</v>
      </c>
      <c r="AB106" s="1932">
        <f>3800000+1646667</f>
        <v>5446667</v>
      </c>
      <c r="AC106" s="233">
        <f t="shared" si="18"/>
        <v>33566666</v>
      </c>
      <c r="AD106" s="182">
        <f t="shared" si="19"/>
        <v>633334</v>
      </c>
      <c r="AF106" s="868">
        <v>263</v>
      </c>
      <c r="AG106" s="857" t="s">
        <v>449</v>
      </c>
      <c r="AH106" s="1069" t="s">
        <v>804</v>
      </c>
      <c r="AI106" s="606">
        <f t="shared" si="20"/>
        <v>294</v>
      </c>
      <c r="AJ106" s="166">
        <f>38000000-3800000</f>
        <v>34200000</v>
      </c>
      <c r="AK106" s="866">
        <f t="shared" si="21"/>
        <v>0</v>
      </c>
      <c r="AL106" s="822"/>
      <c r="AM106" s="1520">
        <f t="shared" si="22"/>
        <v>0</v>
      </c>
    </row>
    <row r="107" spans="1:39" s="610" customFormat="1">
      <c r="A107" s="575" t="s">
        <v>74</v>
      </c>
      <c r="B107" s="765">
        <f t="shared" si="23"/>
        <v>41800000</v>
      </c>
      <c r="C107" s="513" t="s">
        <v>36</v>
      </c>
      <c r="D107" s="513" t="s">
        <v>829</v>
      </c>
      <c r="E107" s="513" t="s">
        <v>70</v>
      </c>
      <c r="F107" s="513" t="s">
        <v>73</v>
      </c>
      <c r="G107" s="513" t="s">
        <v>71</v>
      </c>
      <c r="H107" s="1363" t="s">
        <v>1642</v>
      </c>
      <c r="I107" s="1361">
        <v>264</v>
      </c>
      <c r="J107" s="1011">
        <v>0</v>
      </c>
      <c r="K107" s="764"/>
      <c r="L107" s="1011">
        <v>32</v>
      </c>
      <c r="M107" s="764">
        <v>41800000</v>
      </c>
      <c r="N107" s="1011">
        <v>67</v>
      </c>
      <c r="O107" s="764">
        <v>41800000</v>
      </c>
      <c r="P107" s="1228">
        <v>47</v>
      </c>
      <c r="Q107" s="827"/>
      <c r="R107" s="1087">
        <v>1266667</v>
      </c>
      <c r="S107" s="831">
        <v>3800000</v>
      </c>
      <c r="T107" s="831">
        <v>3800000</v>
      </c>
      <c r="U107" s="765">
        <v>3800000</v>
      </c>
      <c r="V107" s="831">
        <v>3800000</v>
      </c>
      <c r="W107" s="831">
        <v>3800000</v>
      </c>
      <c r="X107" s="831">
        <v>3800000</v>
      </c>
      <c r="Y107" s="831">
        <v>3800000</v>
      </c>
      <c r="Z107" s="831">
        <v>3800000</v>
      </c>
      <c r="AA107" s="831">
        <v>3800000</v>
      </c>
      <c r="AB107" s="1932">
        <f>3800000+2533333</f>
        <v>6333333</v>
      </c>
      <c r="AC107" s="233">
        <f t="shared" si="18"/>
        <v>41800000</v>
      </c>
      <c r="AD107" s="182">
        <f t="shared" si="19"/>
        <v>0</v>
      </c>
      <c r="AF107" s="868">
        <v>264</v>
      </c>
      <c r="AG107" s="857" t="s">
        <v>450</v>
      </c>
      <c r="AH107" s="1067" t="s">
        <v>910</v>
      </c>
      <c r="AI107" s="606">
        <f t="shared" si="20"/>
        <v>47</v>
      </c>
      <c r="AJ107" s="166">
        <v>41800000</v>
      </c>
      <c r="AK107" s="866">
        <f t="shared" si="21"/>
        <v>0</v>
      </c>
      <c r="AL107" s="822"/>
      <c r="AM107" s="1520">
        <f t="shared" si="22"/>
        <v>0</v>
      </c>
    </row>
    <row r="108" spans="1:39" s="610" customFormat="1">
      <c r="A108" s="575" t="s">
        <v>74</v>
      </c>
      <c r="B108" s="765">
        <f t="shared" si="23"/>
        <v>62700000</v>
      </c>
      <c r="C108" s="513" t="s">
        <v>36</v>
      </c>
      <c r="D108" s="513" t="s">
        <v>829</v>
      </c>
      <c r="E108" s="513" t="s">
        <v>70</v>
      </c>
      <c r="F108" s="513" t="s">
        <v>73</v>
      </c>
      <c r="G108" s="513" t="s">
        <v>71</v>
      </c>
      <c r="H108" s="1363" t="s">
        <v>1642</v>
      </c>
      <c r="I108" s="1361">
        <v>268</v>
      </c>
      <c r="J108" s="1011">
        <v>0</v>
      </c>
      <c r="K108" s="764"/>
      <c r="L108" s="1011">
        <v>51</v>
      </c>
      <c r="M108" s="764">
        <v>62700000</v>
      </c>
      <c r="N108" s="1011">
        <v>142</v>
      </c>
      <c r="O108" s="764">
        <v>62700000</v>
      </c>
      <c r="P108" s="1228">
        <v>38</v>
      </c>
      <c r="Q108" s="827"/>
      <c r="R108" s="1087">
        <v>1520000</v>
      </c>
      <c r="S108" s="831">
        <v>5700000</v>
      </c>
      <c r="T108" s="831">
        <v>5700000</v>
      </c>
      <c r="U108" s="831">
        <v>5700000</v>
      </c>
      <c r="V108" s="831">
        <v>5700000</v>
      </c>
      <c r="W108" s="831">
        <v>5700000</v>
      </c>
      <c r="X108" s="831">
        <v>5700000</v>
      </c>
      <c r="Y108" s="831">
        <v>5700000</v>
      </c>
      <c r="Z108" s="831">
        <f>4180000+1330000</f>
        <v>5510000</v>
      </c>
      <c r="AA108" s="831">
        <v>5700000</v>
      </c>
      <c r="AB108" s="1932">
        <f>5700000+4180000</f>
        <v>9880000</v>
      </c>
      <c r="AC108" s="233">
        <f t="shared" si="18"/>
        <v>62510000</v>
      </c>
      <c r="AD108" s="182">
        <f t="shared" si="19"/>
        <v>190000</v>
      </c>
      <c r="AF108" s="868">
        <v>268</v>
      </c>
      <c r="AG108" s="857" t="s">
        <v>451</v>
      </c>
      <c r="AH108" s="1067" t="s">
        <v>911</v>
      </c>
      <c r="AI108" s="606">
        <f t="shared" si="20"/>
        <v>38</v>
      </c>
      <c r="AJ108" s="166">
        <v>62700000</v>
      </c>
      <c r="AK108" s="866">
        <f t="shared" si="21"/>
        <v>0</v>
      </c>
      <c r="AL108" s="822"/>
      <c r="AM108" s="1520">
        <f t="shared" si="22"/>
        <v>0</v>
      </c>
    </row>
    <row r="109" spans="1:39" s="610" customFormat="1">
      <c r="A109" s="575" t="s">
        <v>74</v>
      </c>
      <c r="B109" s="765">
        <f t="shared" si="23"/>
        <v>25216667</v>
      </c>
      <c r="C109" s="513" t="s">
        <v>36</v>
      </c>
      <c r="D109" s="513" t="s">
        <v>829</v>
      </c>
      <c r="E109" s="513" t="s">
        <v>70</v>
      </c>
      <c r="F109" s="513" t="s">
        <v>73</v>
      </c>
      <c r="G109" s="513" t="s">
        <v>71</v>
      </c>
      <c r="H109" s="1363" t="s">
        <v>1642</v>
      </c>
      <c r="I109" s="1361">
        <v>269</v>
      </c>
      <c r="J109" s="1011">
        <v>0</v>
      </c>
      <c r="K109" s="764"/>
      <c r="L109" s="1011">
        <v>581</v>
      </c>
      <c r="M109" s="765">
        <v>25216667</v>
      </c>
      <c r="N109" s="1216">
        <v>668</v>
      </c>
      <c r="O109" s="504">
        <v>25216667</v>
      </c>
      <c r="P109" s="1156">
        <v>406</v>
      </c>
      <c r="Q109" s="827"/>
      <c r="R109" s="1087"/>
      <c r="S109" s="831"/>
      <c r="T109" s="831"/>
      <c r="U109" s="831"/>
      <c r="V109" s="831"/>
      <c r="W109" s="831"/>
      <c r="X109" s="831">
        <v>3115000</v>
      </c>
      <c r="Y109" s="831">
        <v>4450000</v>
      </c>
      <c r="Z109" s="831">
        <v>4450000</v>
      </c>
      <c r="AA109" s="831">
        <v>4450000</v>
      </c>
      <c r="AB109" s="1932">
        <f>4450000+4301667</f>
        <v>8751667</v>
      </c>
      <c r="AC109" s="233">
        <f t="shared" si="18"/>
        <v>25216667</v>
      </c>
      <c r="AD109" s="182">
        <f t="shared" si="19"/>
        <v>0</v>
      </c>
      <c r="AF109" s="868">
        <v>269</v>
      </c>
      <c r="AG109" s="857" t="s">
        <v>452</v>
      </c>
      <c r="AH109" s="1069" t="s">
        <v>1136</v>
      </c>
      <c r="AI109" s="606">
        <f t="shared" si="20"/>
        <v>406</v>
      </c>
      <c r="AJ109" s="166">
        <f>38000000-9500000-1800000-1483333</f>
        <v>25216667</v>
      </c>
      <c r="AK109" s="866">
        <f t="shared" si="21"/>
        <v>0</v>
      </c>
      <c r="AL109" s="822"/>
      <c r="AM109" s="1520">
        <f t="shared" si="22"/>
        <v>0</v>
      </c>
    </row>
    <row r="110" spans="1:39" s="610" customFormat="1">
      <c r="A110" s="575" t="s">
        <v>74</v>
      </c>
      <c r="B110" s="765">
        <f t="shared" si="23"/>
        <v>101200000</v>
      </c>
      <c r="C110" s="513" t="s">
        <v>36</v>
      </c>
      <c r="D110" s="513" t="s">
        <v>829</v>
      </c>
      <c r="E110" s="513" t="s">
        <v>70</v>
      </c>
      <c r="F110" s="513" t="s">
        <v>73</v>
      </c>
      <c r="G110" s="513" t="s">
        <v>71</v>
      </c>
      <c r="H110" s="1363" t="s">
        <v>1642</v>
      </c>
      <c r="I110" s="1361">
        <v>271</v>
      </c>
      <c r="J110" s="1011">
        <v>0</v>
      </c>
      <c r="K110" s="764"/>
      <c r="L110" s="1011">
        <v>188</v>
      </c>
      <c r="M110" s="764">
        <v>101200000</v>
      </c>
      <c r="N110" s="1011">
        <v>220</v>
      </c>
      <c r="O110" s="764">
        <v>101200000</v>
      </c>
      <c r="P110" s="1228">
        <v>192</v>
      </c>
      <c r="Q110" s="827"/>
      <c r="R110" s="1087"/>
      <c r="S110" s="831">
        <v>8280000</v>
      </c>
      <c r="T110" s="831">
        <v>9200000</v>
      </c>
      <c r="U110" s="831">
        <v>9200000</v>
      </c>
      <c r="V110" s="831">
        <v>9200000</v>
      </c>
      <c r="W110" s="831">
        <v>9200000</v>
      </c>
      <c r="X110" s="831">
        <v>9200000</v>
      </c>
      <c r="Y110" s="831">
        <v>9200000</v>
      </c>
      <c r="Z110" s="831">
        <v>9200000</v>
      </c>
      <c r="AA110" s="831">
        <v>9200000</v>
      </c>
      <c r="AB110" s="1932">
        <f>9200000+9200000</f>
        <v>18400000</v>
      </c>
      <c r="AC110" s="233">
        <f t="shared" si="18"/>
        <v>100280000</v>
      </c>
      <c r="AD110" s="182">
        <f t="shared" si="19"/>
        <v>920000</v>
      </c>
      <c r="AF110" s="868">
        <v>271</v>
      </c>
      <c r="AG110" s="857" t="s">
        <v>453</v>
      </c>
      <c r="AH110" s="1067" t="s">
        <v>719</v>
      </c>
      <c r="AI110" s="606">
        <f t="shared" si="20"/>
        <v>192</v>
      </c>
      <c r="AJ110" s="166">
        <v>101200000</v>
      </c>
      <c r="AK110" s="866">
        <f t="shared" si="21"/>
        <v>0</v>
      </c>
      <c r="AL110" s="822"/>
      <c r="AM110" s="1520">
        <f t="shared" si="22"/>
        <v>0</v>
      </c>
    </row>
    <row r="111" spans="1:39" s="610" customFormat="1">
      <c r="A111" s="575" t="s">
        <v>74</v>
      </c>
      <c r="B111" s="765">
        <f t="shared" si="23"/>
        <v>5826667</v>
      </c>
      <c r="C111" s="513" t="s">
        <v>36</v>
      </c>
      <c r="D111" s="513" t="s">
        <v>829</v>
      </c>
      <c r="E111" s="513" t="s">
        <v>70</v>
      </c>
      <c r="F111" s="513" t="s">
        <v>73</v>
      </c>
      <c r="G111" s="513" t="s">
        <v>71</v>
      </c>
      <c r="H111" s="1363" t="s">
        <v>1642</v>
      </c>
      <c r="I111" s="1361" t="s">
        <v>325</v>
      </c>
      <c r="J111" s="1011">
        <v>736</v>
      </c>
      <c r="K111" s="764">
        <v>5826667</v>
      </c>
      <c r="L111" s="1011">
        <v>854</v>
      </c>
      <c r="M111" s="764">
        <v>5826667</v>
      </c>
      <c r="N111" s="1011">
        <v>1057</v>
      </c>
      <c r="O111" s="764">
        <v>5826667</v>
      </c>
      <c r="P111" s="1228">
        <v>192</v>
      </c>
      <c r="Q111" s="827"/>
      <c r="R111" s="1087"/>
      <c r="S111" s="831"/>
      <c r="T111" s="831"/>
      <c r="U111" s="831"/>
      <c r="V111" s="831"/>
      <c r="W111" s="831"/>
      <c r="X111" s="831"/>
      <c r="Y111" s="831"/>
      <c r="Z111" s="831"/>
      <c r="AA111" s="831"/>
      <c r="AB111" s="1932"/>
      <c r="AC111" s="233">
        <f t="shared" si="18"/>
        <v>0</v>
      </c>
      <c r="AD111" s="182">
        <f t="shared" si="19"/>
        <v>5826667</v>
      </c>
      <c r="AF111" s="868" t="s">
        <v>325</v>
      </c>
      <c r="AG111" s="857" t="s">
        <v>1427</v>
      </c>
      <c r="AH111" s="1067" t="s">
        <v>719</v>
      </c>
      <c r="AI111" s="606">
        <f t="shared" si="20"/>
        <v>192</v>
      </c>
      <c r="AJ111" s="166">
        <f>5826667-5826667+5826667</f>
        <v>5826667</v>
      </c>
      <c r="AK111" s="866">
        <f t="shared" si="21"/>
        <v>0</v>
      </c>
      <c r="AL111" s="822"/>
      <c r="AM111" s="1520">
        <f t="shared" si="22"/>
        <v>0</v>
      </c>
    </row>
    <row r="112" spans="1:39" s="610" customFormat="1">
      <c r="A112" s="575" t="s">
        <v>74</v>
      </c>
      <c r="B112" s="765">
        <f t="shared" si="23"/>
        <v>5100000</v>
      </c>
      <c r="C112" s="513" t="s">
        <v>36</v>
      </c>
      <c r="D112" s="513" t="s">
        <v>829</v>
      </c>
      <c r="E112" s="513" t="s">
        <v>70</v>
      </c>
      <c r="F112" s="513" t="s">
        <v>73</v>
      </c>
      <c r="G112" s="513" t="s">
        <v>71</v>
      </c>
      <c r="H112" s="1363" t="s">
        <v>1642</v>
      </c>
      <c r="I112" s="1361">
        <v>435</v>
      </c>
      <c r="J112" s="1011">
        <v>0</v>
      </c>
      <c r="K112" s="764"/>
      <c r="L112" s="1216">
        <v>270</v>
      </c>
      <c r="M112" s="764">
        <v>5100000</v>
      </c>
      <c r="N112" s="1216">
        <v>308</v>
      </c>
      <c r="O112" s="504">
        <v>5100000</v>
      </c>
      <c r="P112" s="1156">
        <v>258</v>
      </c>
      <c r="Q112" s="827"/>
      <c r="R112" s="504"/>
      <c r="S112" s="831"/>
      <c r="T112" s="831">
        <v>2040000</v>
      </c>
      <c r="U112" s="765">
        <v>1700000</v>
      </c>
      <c r="V112" s="831">
        <v>1360000</v>
      </c>
      <c r="W112" s="831"/>
      <c r="X112" s="831"/>
      <c r="Y112" s="831"/>
      <c r="Z112" s="831"/>
      <c r="AA112" s="831"/>
      <c r="AB112" s="1932"/>
      <c r="AC112" s="233">
        <f t="shared" si="18"/>
        <v>5100000</v>
      </c>
      <c r="AD112" s="182">
        <f t="shared" si="19"/>
        <v>0</v>
      </c>
      <c r="AF112" s="868">
        <v>435</v>
      </c>
      <c r="AG112" s="857" t="s">
        <v>499</v>
      </c>
      <c r="AH112" s="1069" t="s">
        <v>784</v>
      </c>
      <c r="AI112" s="606">
        <f t="shared" si="20"/>
        <v>258</v>
      </c>
      <c r="AJ112" s="166">
        <v>5100000</v>
      </c>
      <c r="AK112" s="866">
        <f t="shared" si="21"/>
        <v>0</v>
      </c>
      <c r="AL112" s="822"/>
      <c r="AM112" s="1520">
        <f t="shared" si="22"/>
        <v>0</v>
      </c>
    </row>
    <row r="113" spans="1:39" s="610" customFormat="1">
      <c r="A113" s="575" t="s">
        <v>74</v>
      </c>
      <c r="B113" s="765">
        <f t="shared" si="23"/>
        <v>25900000</v>
      </c>
      <c r="C113" s="513" t="s">
        <v>36</v>
      </c>
      <c r="D113" s="513" t="s">
        <v>829</v>
      </c>
      <c r="E113" s="513" t="s">
        <v>70</v>
      </c>
      <c r="F113" s="513" t="s">
        <v>73</v>
      </c>
      <c r="G113" s="513" t="s">
        <v>71</v>
      </c>
      <c r="H113" s="1363" t="s">
        <v>1642</v>
      </c>
      <c r="I113" s="1361">
        <v>436</v>
      </c>
      <c r="J113" s="1011">
        <v>0</v>
      </c>
      <c r="K113" s="764"/>
      <c r="L113" s="1216">
        <v>521</v>
      </c>
      <c r="M113" s="764">
        <v>25900000</v>
      </c>
      <c r="N113" s="1216">
        <v>570</v>
      </c>
      <c r="O113" s="504">
        <v>25900000</v>
      </c>
      <c r="P113" s="1156">
        <v>372</v>
      </c>
      <c r="Q113" s="827"/>
      <c r="R113" s="828"/>
      <c r="S113" s="504"/>
      <c r="T113" s="504"/>
      <c r="U113" s="765"/>
      <c r="V113" s="504"/>
      <c r="W113" s="831">
        <v>3946667</v>
      </c>
      <c r="X113" s="831">
        <v>3700000</v>
      </c>
      <c r="Y113" s="831">
        <v>3700000</v>
      </c>
      <c r="Z113" s="831">
        <v>3700000</v>
      </c>
      <c r="AA113" s="831">
        <v>3700000</v>
      </c>
      <c r="AB113" s="1932">
        <f>3700000+3453333</f>
        <v>7153333</v>
      </c>
      <c r="AC113" s="233">
        <f t="shared" si="18"/>
        <v>25900000</v>
      </c>
      <c r="AD113" s="182">
        <f t="shared" si="19"/>
        <v>0</v>
      </c>
      <c r="AF113" s="868">
        <v>436</v>
      </c>
      <c r="AG113" s="857" t="s">
        <v>764</v>
      </c>
      <c r="AH113" s="1069" t="s">
        <v>784</v>
      </c>
      <c r="AI113" s="606">
        <f t="shared" si="20"/>
        <v>372</v>
      </c>
      <c r="AJ113" s="166">
        <v>25900000</v>
      </c>
      <c r="AK113" s="866">
        <f t="shared" si="21"/>
        <v>0</v>
      </c>
      <c r="AL113" s="822"/>
      <c r="AM113" s="1520">
        <f t="shared" si="22"/>
        <v>0</v>
      </c>
    </row>
    <row r="114" spans="1:39" s="610" customFormat="1">
      <c r="A114" s="575" t="s">
        <v>74</v>
      </c>
      <c r="B114" s="765">
        <f t="shared" si="23"/>
        <v>32800000</v>
      </c>
      <c r="C114" s="513" t="s">
        <v>36</v>
      </c>
      <c r="D114" s="513" t="s">
        <v>829</v>
      </c>
      <c r="E114" s="513" t="s">
        <v>70</v>
      </c>
      <c r="F114" s="513" t="s">
        <v>73</v>
      </c>
      <c r="G114" s="513" t="s">
        <v>71</v>
      </c>
      <c r="H114" s="1363" t="s">
        <v>1642</v>
      </c>
      <c r="I114" s="1329">
        <v>543</v>
      </c>
      <c r="J114" s="1011"/>
      <c r="K114" s="764"/>
      <c r="L114" s="1216">
        <v>593</v>
      </c>
      <c r="M114" s="764">
        <f>33000000-200000</f>
        <v>32800000</v>
      </c>
      <c r="N114" s="1216">
        <v>687</v>
      </c>
      <c r="O114" s="504">
        <f>33000000-200000</f>
        <v>32800000</v>
      </c>
      <c r="P114" s="1156">
        <v>419</v>
      </c>
      <c r="Q114" s="827"/>
      <c r="R114" s="828"/>
      <c r="S114" s="504"/>
      <c r="T114" s="504"/>
      <c r="U114" s="765"/>
      <c r="V114" s="504"/>
      <c r="W114" s="828"/>
      <c r="X114" s="831">
        <v>2800000</v>
      </c>
      <c r="Y114" s="831">
        <v>6000000</v>
      </c>
      <c r="Z114" s="831">
        <v>6000000</v>
      </c>
      <c r="AA114" s="831">
        <v>6000000</v>
      </c>
      <c r="AB114" s="1932">
        <f>6000000+6000000</f>
        <v>12000000</v>
      </c>
      <c r="AC114" s="233">
        <f t="shared" si="18"/>
        <v>32800000</v>
      </c>
      <c r="AD114" s="182">
        <f t="shared" si="19"/>
        <v>0</v>
      </c>
      <c r="AF114" s="868">
        <v>543</v>
      </c>
      <c r="AG114" s="857" t="s">
        <v>1068</v>
      </c>
      <c r="AH114" s="1067" t="s">
        <v>1143</v>
      </c>
      <c r="AI114" s="606">
        <f t="shared" si="20"/>
        <v>419</v>
      </c>
      <c r="AJ114" s="154">
        <f>36000000-3000000</f>
        <v>33000000</v>
      </c>
      <c r="AK114" s="866">
        <f t="shared" si="21"/>
        <v>200000</v>
      </c>
      <c r="AL114" s="822"/>
      <c r="AM114" s="1520">
        <f t="shared" si="22"/>
        <v>200000</v>
      </c>
    </row>
    <row r="115" spans="1:39" s="610" customFormat="1">
      <c r="A115" s="575" t="s">
        <v>74</v>
      </c>
      <c r="B115" s="765">
        <f t="shared" si="23"/>
        <v>27940000</v>
      </c>
      <c r="C115" s="513" t="s">
        <v>36</v>
      </c>
      <c r="D115" s="513" t="s">
        <v>829</v>
      </c>
      <c r="E115" s="513" t="s">
        <v>70</v>
      </c>
      <c r="F115" s="513" t="s">
        <v>73</v>
      </c>
      <c r="G115" s="513" t="s">
        <v>71</v>
      </c>
      <c r="H115" s="1363" t="s">
        <v>1642</v>
      </c>
      <c r="I115" s="1329">
        <v>544</v>
      </c>
      <c r="J115" s="1011"/>
      <c r="K115" s="764"/>
      <c r="L115" s="1216">
        <v>575</v>
      </c>
      <c r="M115" s="764">
        <f>30480000-2540000</f>
        <v>27940000</v>
      </c>
      <c r="N115" s="1216">
        <v>672</v>
      </c>
      <c r="O115" s="504">
        <v>27940000</v>
      </c>
      <c r="P115" s="1156">
        <v>420</v>
      </c>
      <c r="Q115" s="827"/>
      <c r="R115" s="828"/>
      <c r="S115" s="504"/>
      <c r="T115" s="504"/>
      <c r="U115" s="765"/>
      <c r="V115" s="504"/>
      <c r="W115" s="828"/>
      <c r="X115" s="831">
        <v>3556000</v>
      </c>
      <c r="Y115" s="831">
        <v>5080000</v>
      </c>
      <c r="Z115" s="831">
        <v>5080000</v>
      </c>
      <c r="AA115" s="831">
        <v>5080000</v>
      </c>
      <c r="AB115" s="1932">
        <f>5080000+4064000</f>
        <v>9144000</v>
      </c>
      <c r="AC115" s="233">
        <f t="shared" si="18"/>
        <v>27940000</v>
      </c>
      <c r="AD115" s="182">
        <f t="shared" si="19"/>
        <v>0</v>
      </c>
      <c r="AF115" s="868">
        <v>544</v>
      </c>
      <c r="AG115" s="857" t="s">
        <v>1069</v>
      </c>
      <c r="AH115" s="1069" t="s">
        <v>1139</v>
      </c>
      <c r="AI115" s="606">
        <f t="shared" si="20"/>
        <v>420</v>
      </c>
      <c r="AJ115" s="166">
        <f>30480000-2540000</f>
        <v>27940000</v>
      </c>
      <c r="AK115" s="866">
        <f t="shared" si="21"/>
        <v>0</v>
      </c>
      <c r="AL115" s="822"/>
      <c r="AM115" s="1520">
        <f t="shared" si="22"/>
        <v>0</v>
      </c>
    </row>
    <row r="116" spans="1:39" s="610" customFormat="1">
      <c r="A116" s="575" t="s">
        <v>74</v>
      </c>
      <c r="B116" s="765">
        <f t="shared" si="23"/>
        <v>23346666</v>
      </c>
      <c r="C116" s="513" t="s">
        <v>36</v>
      </c>
      <c r="D116" s="513" t="s">
        <v>829</v>
      </c>
      <c r="E116" s="513" t="s">
        <v>70</v>
      </c>
      <c r="F116" s="513" t="s">
        <v>73</v>
      </c>
      <c r="G116" s="513" t="s">
        <v>71</v>
      </c>
      <c r="H116" s="1363" t="s">
        <v>1642</v>
      </c>
      <c r="I116" s="1329">
        <v>545</v>
      </c>
      <c r="J116" s="1011"/>
      <c r="K116" s="764"/>
      <c r="L116" s="1216">
        <v>582</v>
      </c>
      <c r="M116" s="764">
        <f>23346667-1</f>
        <v>23346666</v>
      </c>
      <c r="N116" s="1216">
        <v>662</v>
      </c>
      <c r="O116" s="504">
        <f>23346667-1</f>
        <v>23346666</v>
      </c>
      <c r="P116" s="1156">
        <v>413</v>
      </c>
      <c r="Q116" s="827"/>
      <c r="R116" s="828"/>
      <c r="S116" s="504"/>
      <c r="T116" s="504"/>
      <c r="U116" s="765"/>
      <c r="V116" s="504"/>
      <c r="W116" s="828"/>
      <c r="X116" s="831">
        <v>3433333</v>
      </c>
      <c r="Y116" s="831">
        <v>4120000</v>
      </c>
      <c r="Z116" s="831">
        <v>4120000</v>
      </c>
      <c r="AA116" s="831">
        <v>4120000</v>
      </c>
      <c r="AB116" s="1932">
        <f>4120000+3433333</f>
        <v>7553333</v>
      </c>
      <c r="AC116" s="233">
        <f t="shared" si="18"/>
        <v>23346666</v>
      </c>
      <c r="AD116" s="182">
        <f t="shared" si="19"/>
        <v>0</v>
      </c>
      <c r="AF116" s="868">
        <v>545</v>
      </c>
      <c r="AG116" s="857" t="s">
        <v>1091</v>
      </c>
      <c r="AH116" s="1069" t="s">
        <v>905</v>
      </c>
      <c r="AI116" s="606">
        <f t="shared" si="20"/>
        <v>413</v>
      </c>
      <c r="AJ116" s="166">
        <f>24720000-1373333</f>
        <v>23346667</v>
      </c>
      <c r="AK116" s="866">
        <f t="shared" si="21"/>
        <v>1</v>
      </c>
      <c r="AL116" s="822"/>
      <c r="AM116" s="1520">
        <f t="shared" si="22"/>
        <v>1</v>
      </c>
    </row>
    <row r="117" spans="1:39" s="610" customFormat="1">
      <c r="A117" s="575" t="s">
        <v>74</v>
      </c>
      <c r="B117" s="765">
        <f t="shared" si="23"/>
        <v>23346667</v>
      </c>
      <c r="C117" s="513" t="s">
        <v>36</v>
      </c>
      <c r="D117" s="2021" t="s">
        <v>829</v>
      </c>
      <c r="E117" s="513" t="s">
        <v>70</v>
      </c>
      <c r="F117" s="513" t="s">
        <v>73</v>
      </c>
      <c r="G117" s="513" t="s">
        <v>71</v>
      </c>
      <c r="H117" s="1363" t="s">
        <v>1642</v>
      </c>
      <c r="I117" s="1329">
        <v>546</v>
      </c>
      <c r="J117" s="1011"/>
      <c r="K117" s="764"/>
      <c r="L117" s="1216">
        <v>583</v>
      </c>
      <c r="M117" s="764">
        <v>23346667</v>
      </c>
      <c r="N117" s="1216">
        <v>661</v>
      </c>
      <c r="O117" s="504">
        <v>23346667</v>
      </c>
      <c r="P117" s="1156">
        <v>407</v>
      </c>
      <c r="Q117" s="827"/>
      <c r="R117" s="828"/>
      <c r="S117" s="504"/>
      <c r="T117" s="504"/>
      <c r="U117" s="765"/>
      <c r="V117" s="504"/>
      <c r="W117" s="828"/>
      <c r="X117" s="831">
        <v>3433333</v>
      </c>
      <c r="Y117" s="831">
        <v>4120000</v>
      </c>
      <c r="Z117" s="831">
        <v>4120000</v>
      </c>
      <c r="AA117" s="831">
        <v>1648000</v>
      </c>
      <c r="AB117" s="1932">
        <f>4120000+4120000</f>
        <v>8240000</v>
      </c>
      <c r="AC117" s="233">
        <f t="shared" si="18"/>
        <v>21561333</v>
      </c>
      <c r="AD117" s="182">
        <f t="shared" si="19"/>
        <v>1785334</v>
      </c>
      <c r="AF117" s="868">
        <v>546</v>
      </c>
      <c r="AG117" s="857" t="s">
        <v>1091</v>
      </c>
      <c r="AH117" s="1069" t="s">
        <v>899</v>
      </c>
      <c r="AI117" s="606">
        <f t="shared" si="20"/>
        <v>407</v>
      </c>
      <c r="AJ117" s="166">
        <f>24720000-1373333</f>
        <v>23346667</v>
      </c>
      <c r="AK117" s="866">
        <f t="shared" si="21"/>
        <v>0</v>
      </c>
      <c r="AL117" s="822"/>
      <c r="AM117" s="1520">
        <f t="shared" si="22"/>
        <v>0</v>
      </c>
    </row>
    <row r="118" spans="1:39" s="610" customFormat="1">
      <c r="A118" s="575" t="s">
        <v>74</v>
      </c>
      <c r="B118" s="765">
        <f t="shared" si="23"/>
        <v>23346667</v>
      </c>
      <c r="C118" s="513" t="s">
        <v>36</v>
      </c>
      <c r="D118" s="513" t="s">
        <v>829</v>
      </c>
      <c r="E118" s="513" t="s">
        <v>70</v>
      </c>
      <c r="F118" s="513" t="s">
        <v>73</v>
      </c>
      <c r="G118" s="513" t="s">
        <v>71</v>
      </c>
      <c r="H118" s="1363" t="s">
        <v>1642</v>
      </c>
      <c r="I118" s="1329">
        <v>547</v>
      </c>
      <c r="J118" s="1011"/>
      <c r="K118" s="764"/>
      <c r="L118" s="1216">
        <v>588</v>
      </c>
      <c r="M118" s="764">
        <v>23346667</v>
      </c>
      <c r="N118" s="1216">
        <v>673</v>
      </c>
      <c r="O118" s="504">
        <v>23346667</v>
      </c>
      <c r="P118" s="1156">
        <v>414</v>
      </c>
      <c r="Q118" s="827"/>
      <c r="R118" s="828"/>
      <c r="S118" s="504"/>
      <c r="T118" s="504"/>
      <c r="U118" s="765"/>
      <c r="V118" s="504"/>
      <c r="W118" s="828"/>
      <c r="X118" s="831">
        <v>2884000</v>
      </c>
      <c r="Y118" s="831">
        <v>4120000</v>
      </c>
      <c r="Z118" s="831">
        <v>4120000</v>
      </c>
      <c r="AA118" s="831">
        <v>4120000</v>
      </c>
      <c r="AB118" s="1932">
        <f>4120000+3982667</f>
        <v>8102667</v>
      </c>
      <c r="AC118" s="233">
        <f t="shared" si="18"/>
        <v>23346667</v>
      </c>
      <c r="AD118" s="182">
        <f t="shared" si="19"/>
        <v>0</v>
      </c>
      <c r="AF118" s="868">
        <v>547</v>
      </c>
      <c r="AG118" s="857" t="s">
        <v>1091</v>
      </c>
      <c r="AH118" s="1069" t="s">
        <v>1140</v>
      </c>
      <c r="AI118" s="606">
        <f t="shared" si="20"/>
        <v>414</v>
      </c>
      <c r="AJ118" s="166">
        <f>24720000-1373333</f>
        <v>23346667</v>
      </c>
      <c r="AK118" s="866">
        <f t="shared" si="21"/>
        <v>0</v>
      </c>
      <c r="AL118" s="822"/>
      <c r="AM118" s="1520">
        <f t="shared" si="22"/>
        <v>0</v>
      </c>
    </row>
    <row r="119" spans="1:39" s="610" customFormat="1">
      <c r="A119" s="575" t="s">
        <v>74</v>
      </c>
      <c r="B119" s="765">
        <f t="shared" si="23"/>
        <v>20600000</v>
      </c>
      <c r="C119" s="513" t="s">
        <v>36</v>
      </c>
      <c r="D119" s="513" t="s">
        <v>829</v>
      </c>
      <c r="E119" s="513" t="s">
        <v>70</v>
      </c>
      <c r="F119" s="513" t="s">
        <v>73</v>
      </c>
      <c r="G119" s="513" t="s">
        <v>71</v>
      </c>
      <c r="H119" s="1363" t="s">
        <v>1642</v>
      </c>
      <c r="I119" s="1329">
        <v>548</v>
      </c>
      <c r="J119" s="1011"/>
      <c r="K119" s="764"/>
      <c r="L119" s="1216">
        <v>584</v>
      </c>
      <c r="M119" s="764">
        <v>20600000</v>
      </c>
      <c r="N119" s="1216">
        <v>677</v>
      </c>
      <c r="O119" s="504">
        <v>20600000</v>
      </c>
      <c r="P119" s="1156">
        <v>409</v>
      </c>
      <c r="Q119" s="827"/>
      <c r="R119" s="828"/>
      <c r="S119" s="504"/>
      <c r="T119" s="504"/>
      <c r="U119" s="765"/>
      <c r="V119" s="504"/>
      <c r="W119" s="828"/>
      <c r="X119" s="831">
        <v>2884000</v>
      </c>
      <c r="Y119" s="831">
        <v>4120000</v>
      </c>
      <c r="Z119" s="831">
        <v>4120000</v>
      </c>
      <c r="AA119" s="831">
        <v>4120000</v>
      </c>
      <c r="AB119" s="1932">
        <f>4120000+1236000</f>
        <v>5356000</v>
      </c>
      <c r="AC119" s="233">
        <f t="shared" si="18"/>
        <v>20600000</v>
      </c>
      <c r="AD119" s="182">
        <f t="shared" si="19"/>
        <v>0</v>
      </c>
      <c r="AF119" s="868">
        <v>548</v>
      </c>
      <c r="AG119" s="857" t="s">
        <v>1091</v>
      </c>
      <c r="AH119" s="1069" t="s">
        <v>1142</v>
      </c>
      <c r="AI119" s="606">
        <f t="shared" si="20"/>
        <v>409</v>
      </c>
      <c r="AJ119" s="166">
        <f>22200000-1600000</f>
        <v>20600000</v>
      </c>
      <c r="AK119" s="866">
        <f t="shared" si="21"/>
        <v>0</v>
      </c>
      <c r="AL119" s="822"/>
      <c r="AM119" s="1520">
        <f t="shared" si="22"/>
        <v>0</v>
      </c>
    </row>
    <row r="120" spans="1:39" s="610" customFormat="1">
      <c r="A120" s="575" t="s">
        <v>74</v>
      </c>
      <c r="B120" s="765">
        <f t="shared" si="23"/>
        <v>33405000</v>
      </c>
      <c r="C120" s="513" t="s">
        <v>36</v>
      </c>
      <c r="D120" s="513" t="s">
        <v>829</v>
      </c>
      <c r="E120" s="513" t="s">
        <v>70</v>
      </c>
      <c r="F120" s="513" t="s">
        <v>73</v>
      </c>
      <c r="G120" s="513" t="s">
        <v>71</v>
      </c>
      <c r="H120" s="1363" t="s">
        <v>1642</v>
      </c>
      <c r="I120" s="1329">
        <v>549</v>
      </c>
      <c r="J120" s="1011"/>
      <c r="K120" s="764"/>
      <c r="L120" s="1216">
        <v>589</v>
      </c>
      <c r="M120" s="764">
        <v>33405000</v>
      </c>
      <c r="N120" s="1216">
        <v>676</v>
      </c>
      <c r="O120" s="504">
        <v>33405000</v>
      </c>
      <c r="P120" s="1156">
        <v>424</v>
      </c>
      <c r="Q120" s="827"/>
      <c r="R120" s="828"/>
      <c r="S120" s="504"/>
      <c r="T120" s="504"/>
      <c r="U120" s="765"/>
      <c r="V120" s="504"/>
      <c r="W120" s="828"/>
      <c r="X120" s="831">
        <v>3930000</v>
      </c>
      <c r="Y120" s="831">
        <v>5895000</v>
      </c>
      <c r="Z120" s="831">
        <v>5895000</v>
      </c>
      <c r="AA120" s="831">
        <v>5895000</v>
      </c>
      <c r="AB120" s="1932">
        <v>5895000</v>
      </c>
      <c r="AC120" s="233">
        <f t="shared" si="18"/>
        <v>27510000</v>
      </c>
      <c r="AD120" s="182">
        <f t="shared" si="19"/>
        <v>5895000</v>
      </c>
      <c r="AF120" s="868">
        <v>549</v>
      </c>
      <c r="AG120" s="857" t="s">
        <v>1079</v>
      </c>
      <c r="AH120" s="1069" t="s">
        <v>1141</v>
      </c>
      <c r="AI120" s="606">
        <f t="shared" si="20"/>
        <v>424</v>
      </c>
      <c r="AJ120" s="166">
        <f>35370000-1965000</f>
        <v>33405000</v>
      </c>
      <c r="AK120" s="866">
        <f t="shared" si="21"/>
        <v>0</v>
      </c>
      <c r="AL120" s="822"/>
      <c r="AM120" s="1520">
        <f t="shared" si="22"/>
        <v>0</v>
      </c>
    </row>
    <row r="121" spans="1:39" s="610" customFormat="1">
      <c r="A121" s="575" t="s">
        <v>74</v>
      </c>
      <c r="B121" s="765">
        <f t="shared" si="23"/>
        <v>12360000</v>
      </c>
      <c r="C121" s="513" t="s">
        <v>36</v>
      </c>
      <c r="D121" s="513" t="s">
        <v>829</v>
      </c>
      <c r="E121" s="513" t="s">
        <v>70</v>
      </c>
      <c r="F121" s="513" t="s">
        <v>73</v>
      </c>
      <c r="G121" s="513" t="s">
        <v>71</v>
      </c>
      <c r="H121" s="1363" t="s">
        <v>1642</v>
      </c>
      <c r="I121" s="1329">
        <v>568</v>
      </c>
      <c r="J121" s="1011">
        <v>602</v>
      </c>
      <c r="K121" s="764">
        <v>12360000</v>
      </c>
      <c r="L121" s="1216">
        <v>687</v>
      </c>
      <c r="M121" s="764">
        <v>12360000</v>
      </c>
      <c r="N121" s="1216">
        <v>861</v>
      </c>
      <c r="O121" s="504">
        <v>12360000</v>
      </c>
      <c r="P121" s="1156">
        <v>465</v>
      </c>
      <c r="Q121" s="827"/>
      <c r="R121" s="828"/>
      <c r="S121" s="504"/>
      <c r="T121" s="504"/>
      <c r="U121" s="765"/>
      <c r="V121" s="504"/>
      <c r="W121" s="828"/>
      <c r="X121" s="504"/>
      <c r="Y121" s="831"/>
      <c r="Z121" s="831">
        <v>549333</v>
      </c>
      <c r="AA121" s="831">
        <v>4120000</v>
      </c>
      <c r="AB121" s="1932">
        <f>4120000+3570667</f>
        <v>7690667</v>
      </c>
      <c r="AC121" s="233">
        <f t="shared" si="18"/>
        <v>12360000</v>
      </c>
      <c r="AD121" s="182">
        <f t="shared" si="19"/>
        <v>0</v>
      </c>
      <c r="AF121" s="868">
        <v>568</v>
      </c>
      <c r="AG121" s="857" t="s">
        <v>1179</v>
      </c>
      <c r="AH121" s="1069" t="s">
        <v>1290</v>
      </c>
      <c r="AI121" s="606">
        <f t="shared" si="20"/>
        <v>465</v>
      </c>
      <c r="AJ121" s="166">
        <f>16480000-4120000</f>
        <v>12360000</v>
      </c>
      <c r="AK121" s="866">
        <f t="shared" si="21"/>
        <v>0</v>
      </c>
      <c r="AL121" s="822"/>
      <c r="AM121" s="1520">
        <f t="shared" si="22"/>
        <v>0</v>
      </c>
    </row>
    <row r="122" spans="1:39" s="610" customFormat="1">
      <c r="A122" s="575" t="s">
        <v>74</v>
      </c>
      <c r="B122" s="765">
        <f t="shared" si="23"/>
        <v>0</v>
      </c>
      <c r="C122" s="513" t="s">
        <v>36</v>
      </c>
      <c r="D122" s="513" t="s">
        <v>829</v>
      </c>
      <c r="E122" s="513" t="s">
        <v>70</v>
      </c>
      <c r="F122" s="513" t="s">
        <v>73</v>
      </c>
      <c r="G122" s="513" t="s">
        <v>71</v>
      </c>
      <c r="H122" s="1363" t="s">
        <v>1642</v>
      </c>
      <c r="I122" s="1329" t="s">
        <v>173</v>
      </c>
      <c r="J122" s="1011"/>
      <c r="K122" s="764"/>
      <c r="L122" s="1216"/>
      <c r="M122" s="764"/>
      <c r="N122" s="1216"/>
      <c r="O122" s="504"/>
      <c r="P122" s="1156"/>
      <c r="Q122" s="827"/>
      <c r="R122" s="828"/>
      <c r="S122" s="504"/>
      <c r="T122" s="504"/>
      <c r="U122" s="765"/>
      <c r="V122" s="504"/>
      <c r="W122" s="828"/>
      <c r="X122" s="504"/>
      <c r="Y122" s="504"/>
      <c r="Z122" s="765"/>
      <c r="AA122" s="828"/>
      <c r="AB122" s="829"/>
      <c r="AC122" s="233">
        <f t="shared" si="18"/>
        <v>0</v>
      </c>
      <c r="AD122" s="182">
        <f t="shared" si="19"/>
        <v>0</v>
      </c>
      <c r="AF122" s="868"/>
      <c r="AG122" s="857"/>
      <c r="AH122" s="1069"/>
      <c r="AI122" s="606">
        <f t="shared" si="20"/>
        <v>0</v>
      </c>
      <c r="AJ122" s="166"/>
      <c r="AK122" s="866">
        <f t="shared" si="21"/>
        <v>0</v>
      </c>
      <c r="AL122" s="822"/>
      <c r="AM122" s="1520">
        <f t="shared" si="22"/>
        <v>0</v>
      </c>
    </row>
    <row r="123" spans="1:39" s="610" customFormat="1">
      <c r="A123" s="575" t="s">
        <v>74</v>
      </c>
      <c r="B123" s="765">
        <f t="shared" si="23"/>
        <v>0</v>
      </c>
      <c r="C123" s="513" t="s">
        <v>36</v>
      </c>
      <c r="D123" s="513" t="s">
        <v>829</v>
      </c>
      <c r="E123" s="513" t="s">
        <v>70</v>
      </c>
      <c r="F123" s="513" t="s">
        <v>73</v>
      </c>
      <c r="G123" s="513" t="s">
        <v>71</v>
      </c>
      <c r="H123" s="1363" t="s">
        <v>1642</v>
      </c>
      <c r="I123" s="1329" t="s">
        <v>173</v>
      </c>
      <c r="J123" s="1011"/>
      <c r="K123" s="764"/>
      <c r="L123" s="1216"/>
      <c r="M123" s="764"/>
      <c r="N123" s="1216"/>
      <c r="O123" s="504"/>
      <c r="P123" s="1156"/>
      <c r="Q123" s="827"/>
      <c r="R123" s="828"/>
      <c r="S123" s="504"/>
      <c r="T123" s="504"/>
      <c r="U123" s="765"/>
      <c r="V123" s="504"/>
      <c r="W123" s="828"/>
      <c r="X123" s="504"/>
      <c r="Y123" s="504"/>
      <c r="Z123" s="765"/>
      <c r="AA123" s="828"/>
      <c r="AB123" s="829"/>
      <c r="AC123" s="233">
        <f t="shared" si="18"/>
        <v>0</v>
      </c>
      <c r="AD123" s="182">
        <f t="shared" si="19"/>
        <v>0</v>
      </c>
      <c r="AF123" s="868" t="s">
        <v>325</v>
      </c>
      <c r="AG123" s="857" t="s">
        <v>493</v>
      </c>
      <c r="AH123" s="1069" t="s">
        <v>173</v>
      </c>
      <c r="AI123" s="606">
        <f t="shared" si="20"/>
        <v>0</v>
      </c>
      <c r="AJ123" s="166">
        <f>9700000-9700000+4120000+5397333-1429834-8053334-30000</f>
        <v>4165</v>
      </c>
      <c r="AK123" s="866">
        <f t="shared" si="21"/>
        <v>4165</v>
      </c>
      <c r="AL123" s="822"/>
      <c r="AM123" s="1520">
        <f t="shared" si="22"/>
        <v>4165</v>
      </c>
    </row>
    <row r="124" spans="1:39" s="8" customFormat="1">
      <c r="A124" s="168" t="s">
        <v>24</v>
      </c>
      <c r="B124" s="265">
        <f>B96-SUM(B97:B123)</f>
        <v>204166</v>
      </c>
      <c r="C124" s="84"/>
      <c r="D124" s="84"/>
      <c r="E124" s="84"/>
      <c r="F124" s="84"/>
      <c r="G124" s="84"/>
      <c r="H124" s="2074"/>
      <c r="I124" s="1002"/>
      <c r="J124" s="1012"/>
      <c r="K124" s="277"/>
      <c r="L124" s="1220"/>
      <c r="M124" s="121">
        <f>SUM(M97:M123)</f>
        <v>765595001</v>
      </c>
      <c r="N124" s="1220"/>
      <c r="O124" s="121">
        <f>SUM(O97:O123)</f>
        <v>765595001</v>
      </c>
      <c r="P124" s="1231"/>
      <c r="Q124" s="121">
        <f t="shared" ref="Q124:AB124" si="24">SUM(Q97:Q123)</f>
        <v>0</v>
      </c>
      <c r="R124" s="121">
        <f t="shared" si="24"/>
        <v>4024000</v>
      </c>
      <c r="S124" s="121">
        <f t="shared" si="24"/>
        <v>29566667</v>
      </c>
      <c r="T124" s="121">
        <f t="shared" si="24"/>
        <v>43186666</v>
      </c>
      <c r="U124" s="121">
        <f t="shared" si="24"/>
        <v>45573333</v>
      </c>
      <c r="V124" s="121">
        <f t="shared" si="24"/>
        <v>47100000</v>
      </c>
      <c r="W124" s="121">
        <f t="shared" si="24"/>
        <v>49686667</v>
      </c>
      <c r="X124" s="121">
        <f t="shared" si="24"/>
        <v>78625666</v>
      </c>
      <c r="Y124" s="121">
        <f t="shared" si="24"/>
        <v>91211666</v>
      </c>
      <c r="Z124" s="121">
        <f t="shared" si="24"/>
        <v>92204333</v>
      </c>
      <c r="AA124" s="121">
        <f t="shared" si="24"/>
        <v>93493000</v>
      </c>
      <c r="AB124" s="1938">
        <f t="shared" si="24"/>
        <v>172696667</v>
      </c>
      <c r="AC124" s="14">
        <f>SUM(AC97:AC123)</f>
        <v>747368665</v>
      </c>
      <c r="AD124" s="14">
        <f>SUM(AD97:AD123)</f>
        <v>18226336</v>
      </c>
      <c r="AF124" s="852"/>
      <c r="AG124" s="844"/>
      <c r="AH124" s="1070"/>
      <c r="AI124" s="101"/>
      <c r="AJ124" s="14">
        <f>SUM(AJ97:AJ123)</f>
        <v>765799167</v>
      </c>
      <c r="AK124" s="181">
        <f>SUM(AK97:AK123)</f>
        <v>204166</v>
      </c>
      <c r="AL124" s="822">
        <f>B96-AJ124</f>
        <v>0</v>
      </c>
      <c r="AM124" s="1341"/>
    </row>
    <row r="125" spans="1:39" s="6" customFormat="1" ht="30" customHeight="1">
      <c r="A125" s="619" t="s">
        <v>75</v>
      </c>
      <c r="B125" s="486">
        <f>222860000-5133333</f>
        <v>217726667</v>
      </c>
      <c r="C125" s="1238" t="s">
        <v>36</v>
      </c>
      <c r="D125" s="1464" t="s">
        <v>829</v>
      </c>
      <c r="E125" s="1464" t="s">
        <v>70</v>
      </c>
      <c r="F125" s="1464" t="s">
        <v>412</v>
      </c>
      <c r="G125" s="1464" t="s">
        <v>71</v>
      </c>
      <c r="H125" s="2124" t="s">
        <v>1642</v>
      </c>
      <c r="I125" s="1365"/>
      <c r="J125" s="521">
        <v>0</v>
      </c>
      <c r="K125" s="538"/>
      <c r="L125" s="1017"/>
      <c r="M125" s="1018"/>
      <c r="N125" s="1017"/>
      <c r="O125" s="538"/>
      <c r="P125" s="1045"/>
      <c r="Q125" s="612"/>
      <c r="R125" s="519"/>
      <c r="S125" s="1018"/>
      <c r="T125" s="1018"/>
      <c r="U125" s="1018"/>
      <c r="V125" s="1018"/>
      <c r="W125" s="519"/>
      <c r="X125" s="538"/>
      <c r="Y125" s="538"/>
      <c r="Z125" s="538"/>
      <c r="AA125" s="520"/>
      <c r="AB125" s="1939"/>
      <c r="AC125" s="756"/>
      <c r="AD125" s="620"/>
      <c r="AF125" s="1388"/>
      <c r="AG125" s="538"/>
      <c r="AH125" s="538"/>
      <c r="AI125" s="538"/>
      <c r="AJ125" s="538"/>
      <c r="AK125" s="1389"/>
      <c r="AL125" s="822"/>
      <c r="AM125" s="1341"/>
    </row>
    <row r="126" spans="1:39" s="610" customFormat="1">
      <c r="A126" s="826" t="s">
        <v>75</v>
      </c>
      <c r="B126" s="765">
        <f t="shared" ref="B126:B131" si="25">M126</f>
        <v>101200000</v>
      </c>
      <c r="C126" s="519" t="s">
        <v>36</v>
      </c>
      <c r="D126" s="519" t="s">
        <v>829</v>
      </c>
      <c r="E126" s="519" t="s">
        <v>70</v>
      </c>
      <c r="F126" s="519" t="s">
        <v>412</v>
      </c>
      <c r="G126" s="519" t="s">
        <v>71</v>
      </c>
      <c r="H126" s="1364" t="s">
        <v>1642</v>
      </c>
      <c r="I126" s="798">
        <v>261</v>
      </c>
      <c r="J126" s="1011">
        <v>0</v>
      </c>
      <c r="K126" s="764"/>
      <c r="L126" s="1011">
        <v>58</v>
      </c>
      <c r="M126" s="764">
        <v>101200000</v>
      </c>
      <c r="N126" s="1011">
        <v>47</v>
      </c>
      <c r="O126" s="764">
        <v>101200000</v>
      </c>
      <c r="P126" s="1228">
        <v>46</v>
      </c>
      <c r="Q126" s="827"/>
      <c r="R126" s="1087">
        <v>1840000</v>
      </c>
      <c r="S126" s="831">
        <v>9200000</v>
      </c>
      <c r="T126" s="831">
        <f>VLOOKUP(N126,[8]Hoja2!N$63:T$105,7,0)</f>
        <v>9200000</v>
      </c>
      <c r="U126" s="765">
        <v>9200000</v>
      </c>
      <c r="V126" s="831">
        <v>9200000</v>
      </c>
      <c r="W126" s="831">
        <v>9200000</v>
      </c>
      <c r="X126" s="831">
        <v>9200000</v>
      </c>
      <c r="Y126" s="831">
        <v>9200000</v>
      </c>
      <c r="Z126" s="831">
        <v>9200000</v>
      </c>
      <c r="AA126" s="831">
        <v>9200000</v>
      </c>
      <c r="AB126" s="1932">
        <f>9200000+7360000</f>
        <v>16560000</v>
      </c>
      <c r="AC126" s="233">
        <f t="shared" ref="AC126:AC131" si="26">SUM(Q126:AB126)</f>
        <v>101200000</v>
      </c>
      <c r="AD126" s="182">
        <f t="shared" ref="AD126:AD131" si="27">O126-AC126</f>
        <v>0</v>
      </c>
      <c r="AF126" s="869">
        <v>261</v>
      </c>
      <c r="AG126" s="858" t="s">
        <v>454</v>
      </c>
      <c r="AH126" s="1067" t="s">
        <v>762</v>
      </c>
      <c r="AI126" s="606">
        <f>P126</f>
        <v>46</v>
      </c>
      <c r="AJ126" s="163">
        <v>101200000</v>
      </c>
      <c r="AK126" s="866">
        <f t="shared" ref="AK126:AK131" si="28">AJ126-O126</f>
        <v>0</v>
      </c>
      <c r="AL126" s="822"/>
      <c r="AM126" s="1520">
        <f t="shared" ref="AM126:AM131" si="29">AJ126-M126</f>
        <v>0</v>
      </c>
    </row>
    <row r="127" spans="1:39" s="610" customFormat="1">
      <c r="A127" s="826" t="s">
        <v>75</v>
      </c>
      <c r="B127" s="765">
        <f t="shared" si="25"/>
        <v>44660000</v>
      </c>
      <c r="C127" s="519" t="s">
        <v>36</v>
      </c>
      <c r="D127" s="519" t="s">
        <v>829</v>
      </c>
      <c r="E127" s="519" t="s">
        <v>70</v>
      </c>
      <c r="F127" s="519" t="s">
        <v>412</v>
      </c>
      <c r="G127" s="519" t="s">
        <v>71</v>
      </c>
      <c r="H127" s="1364" t="s">
        <v>1642</v>
      </c>
      <c r="I127" s="798">
        <v>265</v>
      </c>
      <c r="J127" s="1011">
        <v>0</v>
      </c>
      <c r="K127" s="764"/>
      <c r="L127" s="1011">
        <v>72</v>
      </c>
      <c r="M127" s="764">
        <v>44660000</v>
      </c>
      <c r="N127" s="1011">
        <v>43</v>
      </c>
      <c r="O127" s="764">
        <v>44660000</v>
      </c>
      <c r="P127" s="1228">
        <v>54</v>
      </c>
      <c r="Q127" s="827"/>
      <c r="R127" s="1087">
        <v>1218000</v>
      </c>
      <c r="S127" s="831">
        <v>4060000</v>
      </c>
      <c r="T127" s="831">
        <f>VLOOKUP(N127,[8]Hoja2!N$63:T$105,7,0)</f>
        <v>4060000</v>
      </c>
      <c r="U127" s="831">
        <v>4060000</v>
      </c>
      <c r="V127" s="831">
        <v>4060000</v>
      </c>
      <c r="W127" s="831">
        <v>4060000</v>
      </c>
      <c r="X127" s="831">
        <v>4060000</v>
      </c>
      <c r="Y127" s="831">
        <v>4060000</v>
      </c>
      <c r="Z127" s="831">
        <v>4060000</v>
      </c>
      <c r="AA127" s="831">
        <f>4060000</f>
        <v>4060000</v>
      </c>
      <c r="AB127" s="1932">
        <f>4060000+2842000</f>
        <v>6902000</v>
      </c>
      <c r="AC127" s="233">
        <f t="shared" si="26"/>
        <v>44660000</v>
      </c>
      <c r="AD127" s="182">
        <f t="shared" si="27"/>
        <v>0</v>
      </c>
      <c r="AF127" s="869">
        <v>265</v>
      </c>
      <c r="AG127" s="858" t="s">
        <v>455</v>
      </c>
      <c r="AH127" s="1067" t="s">
        <v>763</v>
      </c>
      <c r="AI127" s="606">
        <f>P127</f>
        <v>54</v>
      </c>
      <c r="AJ127" s="163">
        <v>44660000</v>
      </c>
      <c r="AK127" s="866">
        <f t="shared" si="28"/>
        <v>0</v>
      </c>
      <c r="AL127" s="822"/>
      <c r="AM127" s="1520">
        <f t="shared" si="29"/>
        <v>0</v>
      </c>
    </row>
    <row r="128" spans="1:39" s="610" customFormat="1">
      <c r="A128" s="826" t="s">
        <v>75</v>
      </c>
      <c r="B128" s="765">
        <f t="shared" si="25"/>
        <v>26366667</v>
      </c>
      <c r="C128" s="519" t="s">
        <v>36</v>
      </c>
      <c r="D128" s="519" t="s">
        <v>829</v>
      </c>
      <c r="E128" s="519" t="s">
        <v>70</v>
      </c>
      <c r="F128" s="519" t="s">
        <v>412</v>
      </c>
      <c r="G128" s="519" t="s">
        <v>71</v>
      </c>
      <c r="H128" s="1364" t="s">
        <v>1642</v>
      </c>
      <c r="I128" s="798">
        <v>266</v>
      </c>
      <c r="J128" s="1011">
        <v>0</v>
      </c>
      <c r="K128" s="764"/>
      <c r="L128" s="1011">
        <v>73</v>
      </c>
      <c r="M128" s="764">
        <f>77000000-50633333</f>
        <v>26366667</v>
      </c>
      <c r="N128" s="1011">
        <v>137</v>
      </c>
      <c r="O128" s="764">
        <f>77000000-50633333</f>
        <v>26366667</v>
      </c>
      <c r="P128" s="1228">
        <v>79</v>
      </c>
      <c r="Q128" s="827"/>
      <c r="R128" s="1087">
        <v>1866667</v>
      </c>
      <c r="S128" s="831">
        <v>7000000</v>
      </c>
      <c r="T128" s="831">
        <f>VLOOKUP(N128,[8]Hoja2!N$63:T$105,7,0)</f>
        <v>7000000</v>
      </c>
      <c r="U128" s="831">
        <v>7000000</v>
      </c>
      <c r="V128" s="831"/>
      <c r="W128" s="831">
        <v>3500000</v>
      </c>
      <c r="X128" s="831"/>
      <c r="Y128" s="831"/>
      <c r="Z128" s="831"/>
      <c r="AA128" s="831"/>
      <c r="AB128" s="1932"/>
      <c r="AC128" s="233">
        <f t="shared" si="26"/>
        <v>26366667</v>
      </c>
      <c r="AD128" s="182">
        <f t="shared" si="27"/>
        <v>0</v>
      </c>
      <c r="AF128" s="869">
        <v>266</v>
      </c>
      <c r="AG128" s="858" t="s">
        <v>456</v>
      </c>
      <c r="AH128" s="1069" t="s">
        <v>173</v>
      </c>
      <c r="AI128" s="606">
        <f>P128</f>
        <v>79</v>
      </c>
      <c r="AJ128" s="163">
        <f>77000000-50633333</f>
        <v>26366667</v>
      </c>
      <c r="AK128" s="866">
        <f t="shared" si="28"/>
        <v>0</v>
      </c>
      <c r="AL128" s="822"/>
      <c r="AM128" s="1520">
        <f t="shared" si="29"/>
        <v>0</v>
      </c>
    </row>
    <row r="129" spans="1:39" s="610" customFormat="1">
      <c r="A129" s="826" t="s">
        <v>75</v>
      </c>
      <c r="B129" s="765">
        <f t="shared" si="25"/>
        <v>0</v>
      </c>
      <c r="C129" s="519" t="s">
        <v>36</v>
      </c>
      <c r="D129" s="519" t="s">
        <v>829</v>
      </c>
      <c r="E129" s="519" t="s">
        <v>70</v>
      </c>
      <c r="F129" s="519" t="s">
        <v>412</v>
      </c>
      <c r="G129" s="519" t="s">
        <v>71</v>
      </c>
      <c r="H129" s="1364" t="s">
        <v>1642</v>
      </c>
      <c r="I129" s="1016" t="s">
        <v>173</v>
      </c>
      <c r="J129" s="1011">
        <v>0</v>
      </c>
      <c r="K129" s="764"/>
      <c r="L129" s="1219"/>
      <c r="M129" s="764"/>
      <c r="N129" s="1219"/>
      <c r="O129" s="504"/>
      <c r="P129" s="1156"/>
      <c r="Q129" s="827"/>
      <c r="R129" s="828"/>
      <c r="S129" s="504"/>
      <c r="T129" s="504"/>
      <c r="U129" s="765"/>
      <c r="V129" s="831"/>
      <c r="W129" s="831"/>
      <c r="X129" s="831"/>
      <c r="Y129" s="831"/>
      <c r="Z129" s="831"/>
      <c r="AA129" s="831"/>
      <c r="AB129" s="1932"/>
      <c r="AC129" s="233">
        <f t="shared" si="26"/>
        <v>0</v>
      </c>
      <c r="AD129" s="182">
        <f t="shared" si="27"/>
        <v>0</v>
      </c>
      <c r="AF129" s="868"/>
      <c r="AG129" s="857" t="s">
        <v>936</v>
      </c>
      <c r="AH129" s="1067" t="s">
        <v>173</v>
      </c>
      <c r="AI129" s="606">
        <f>P129</f>
        <v>0</v>
      </c>
      <c r="AJ129" s="154"/>
      <c r="AK129" s="866">
        <f t="shared" si="28"/>
        <v>0</v>
      </c>
      <c r="AL129" s="822"/>
      <c r="AM129" s="1520">
        <f t="shared" si="29"/>
        <v>0</v>
      </c>
    </row>
    <row r="130" spans="1:39" s="610" customFormat="1">
      <c r="A130" s="826" t="s">
        <v>75</v>
      </c>
      <c r="B130" s="765">
        <f t="shared" si="25"/>
        <v>45266667</v>
      </c>
      <c r="C130" s="519" t="s">
        <v>36</v>
      </c>
      <c r="D130" s="519" t="s">
        <v>829</v>
      </c>
      <c r="E130" s="519" t="s">
        <v>70</v>
      </c>
      <c r="F130" s="519" t="s">
        <v>412</v>
      </c>
      <c r="G130" s="519" t="s">
        <v>71</v>
      </c>
      <c r="H130" s="1364" t="s">
        <v>1642</v>
      </c>
      <c r="I130" s="1011">
        <v>542</v>
      </c>
      <c r="J130" s="1011"/>
      <c r="K130" s="764"/>
      <c r="L130" s="1216">
        <v>551</v>
      </c>
      <c r="M130" s="764">
        <f>45500000-233333</f>
        <v>45266667</v>
      </c>
      <c r="N130" s="1216">
        <v>625</v>
      </c>
      <c r="O130" s="504">
        <f>45500000-233333</f>
        <v>45266667</v>
      </c>
      <c r="P130" s="1156">
        <v>386</v>
      </c>
      <c r="Q130" s="827"/>
      <c r="R130" s="828"/>
      <c r="S130" s="504"/>
      <c r="T130" s="504"/>
      <c r="U130" s="765"/>
      <c r="V130" s="831"/>
      <c r="W130" s="831">
        <v>3266667</v>
      </c>
      <c r="X130" s="831">
        <v>7000000</v>
      </c>
      <c r="Y130" s="831">
        <v>7000000</v>
      </c>
      <c r="Z130" s="831">
        <v>7000000</v>
      </c>
      <c r="AA130" s="831">
        <v>7000000</v>
      </c>
      <c r="AB130" s="1932">
        <f>7000000+7000000</f>
        <v>14000000</v>
      </c>
      <c r="AC130" s="233">
        <f t="shared" si="26"/>
        <v>45266667</v>
      </c>
      <c r="AD130" s="182">
        <f t="shared" si="27"/>
        <v>0</v>
      </c>
      <c r="AF130" s="868">
        <v>542</v>
      </c>
      <c r="AG130" s="857" t="s">
        <v>1043</v>
      </c>
      <c r="AH130" s="1067" t="s">
        <v>1083</v>
      </c>
      <c r="AI130" s="606">
        <f>P130</f>
        <v>386</v>
      </c>
      <c r="AJ130" s="154">
        <v>45500000</v>
      </c>
      <c r="AK130" s="866">
        <f t="shared" si="28"/>
        <v>233333</v>
      </c>
      <c r="AL130" s="822"/>
      <c r="AM130" s="1520">
        <f t="shared" si="29"/>
        <v>233333</v>
      </c>
    </row>
    <row r="131" spans="1:39" s="610" customFormat="1">
      <c r="A131" s="826" t="s">
        <v>75</v>
      </c>
      <c r="B131" s="765">
        <f t="shared" si="25"/>
        <v>0</v>
      </c>
      <c r="C131" s="519" t="s">
        <v>36</v>
      </c>
      <c r="D131" s="519" t="s">
        <v>829</v>
      </c>
      <c r="E131" s="519" t="s">
        <v>70</v>
      </c>
      <c r="F131" s="519" t="s">
        <v>412</v>
      </c>
      <c r="G131" s="519" t="s">
        <v>71</v>
      </c>
      <c r="H131" s="1364" t="s">
        <v>1642</v>
      </c>
      <c r="I131" s="1016" t="s">
        <v>173</v>
      </c>
      <c r="J131" s="1011"/>
      <c r="K131" s="764"/>
      <c r="L131" s="1216"/>
      <c r="M131" s="764"/>
      <c r="N131" s="1216"/>
      <c r="O131" s="504"/>
      <c r="P131" s="1156"/>
      <c r="Q131" s="827"/>
      <c r="R131" s="828"/>
      <c r="S131" s="504"/>
      <c r="T131" s="504"/>
      <c r="U131" s="765"/>
      <c r="V131" s="504"/>
      <c r="W131" s="828"/>
      <c r="X131" s="504"/>
      <c r="Y131" s="504"/>
      <c r="Z131" s="765"/>
      <c r="AA131" s="828"/>
      <c r="AB131" s="829"/>
      <c r="AC131" s="233">
        <f t="shared" si="26"/>
        <v>0</v>
      </c>
      <c r="AD131" s="182">
        <f t="shared" si="27"/>
        <v>0</v>
      </c>
      <c r="AF131" s="868" t="s">
        <v>325</v>
      </c>
      <c r="AG131" s="1350" t="s">
        <v>493</v>
      </c>
      <c r="AH131" s="1067"/>
      <c r="AI131" s="606"/>
      <c r="AJ131" s="154">
        <f>5133333-5133333</f>
        <v>0</v>
      </c>
      <c r="AK131" s="866">
        <f t="shared" si="28"/>
        <v>0</v>
      </c>
      <c r="AL131" s="822"/>
      <c r="AM131" s="1520">
        <f t="shared" si="29"/>
        <v>0</v>
      </c>
    </row>
    <row r="132" spans="1:39">
      <c r="A132" s="159" t="s">
        <v>24</v>
      </c>
      <c r="B132" s="843">
        <f>B125-SUM(B126:B131)</f>
        <v>233333</v>
      </c>
      <c r="C132" s="57"/>
      <c r="D132" s="57"/>
      <c r="E132" s="57"/>
      <c r="F132" s="57"/>
      <c r="G132" s="57"/>
      <c r="H132" s="2129"/>
      <c r="I132" s="1003"/>
      <c r="J132" s="1009"/>
      <c r="K132" s="465"/>
      <c r="L132" s="1217"/>
      <c r="M132" s="843">
        <f>SUM(M126:M131)</f>
        <v>217493334</v>
      </c>
      <c r="N132" s="1217"/>
      <c r="O132" s="843">
        <f>SUM(O126:O131)</f>
        <v>217493334</v>
      </c>
      <c r="P132" s="1230"/>
      <c r="Q132" s="843">
        <f>SUM(Q126:Q131)</f>
        <v>0</v>
      </c>
      <c r="R132" s="843">
        <f t="shared" ref="R132:AB132" si="30">SUM(R126:R131)</f>
        <v>4924667</v>
      </c>
      <c r="S132" s="843">
        <f t="shared" si="30"/>
        <v>20260000</v>
      </c>
      <c r="T132" s="843">
        <f t="shared" si="30"/>
        <v>20260000</v>
      </c>
      <c r="U132" s="843">
        <f t="shared" si="30"/>
        <v>20260000</v>
      </c>
      <c r="V132" s="843">
        <f t="shared" si="30"/>
        <v>13260000</v>
      </c>
      <c r="W132" s="843">
        <f>SUM(W126:W131)</f>
        <v>20026667</v>
      </c>
      <c r="X132" s="843">
        <f t="shared" si="30"/>
        <v>20260000</v>
      </c>
      <c r="Y132" s="843">
        <f t="shared" si="30"/>
        <v>20260000</v>
      </c>
      <c r="Z132" s="843">
        <f t="shared" si="30"/>
        <v>20260000</v>
      </c>
      <c r="AA132" s="843">
        <f t="shared" si="30"/>
        <v>20260000</v>
      </c>
      <c r="AB132" s="1936">
        <f t="shared" si="30"/>
        <v>37462000</v>
      </c>
      <c r="AC132" s="843">
        <f>SUM(AC126:AC131)</f>
        <v>217493334</v>
      </c>
      <c r="AD132" s="843">
        <f>SUM(AD126:AD131)</f>
        <v>0</v>
      </c>
      <c r="AF132" s="867"/>
      <c r="AG132" s="54"/>
      <c r="AH132" s="1068"/>
      <c r="AI132" s="344"/>
      <c r="AJ132" s="54">
        <f>SUM(AJ126:AJ131)</f>
        <v>217726667</v>
      </c>
      <c r="AK132" s="180">
        <f>SUM(AK126:AK131)</f>
        <v>233333</v>
      </c>
      <c r="AL132" s="823">
        <f>B125-AJ132</f>
        <v>0</v>
      </c>
    </row>
    <row r="133" spans="1:39" s="8" customFormat="1">
      <c r="A133" s="621"/>
      <c r="B133" s="144"/>
      <c r="C133" s="256"/>
      <c r="D133" s="257"/>
      <c r="E133" s="256"/>
      <c r="F133" s="256"/>
      <c r="G133" s="256"/>
      <c r="H133" s="74"/>
      <c r="I133" s="1004"/>
      <c r="J133" s="1013"/>
      <c r="K133" s="477"/>
      <c r="L133" s="1221"/>
      <c r="M133" s="144"/>
      <c r="N133" s="1224"/>
      <c r="O133" s="522"/>
      <c r="P133" s="1229"/>
      <c r="Q133" s="523"/>
      <c r="R133" s="524"/>
      <c r="S133" s="522"/>
      <c r="T133" s="522"/>
      <c r="U133" s="1336"/>
      <c r="V133" s="522"/>
      <c r="W133" s="524"/>
      <c r="X133" s="522"/>
      <c r="Y133" s="522"/>
      <c r="Z133" s="1336"/>
      <c r="AA133" s="524"/>
      <c r="AB133" s="1940"/>
      <c r="AC133" s="523"/>
      <c r="AD133" s="525"/>
      <c r="AF133" s="870"/>
      <c r="AG133" s="858"/>
      <c r="AH133" s="1071"/>
      <c r="AI133" s="799"/>
      <c r="AJ133" s="304"/>
      <c r="AK133" s="871"/>
      <c r="AL133" s="822"/>
      <c r="AM133" s="1341"/>
    </row>
    <row r="134" spans="1:39" s="349" customFormat="1" ht="15.75" thickBot="1">
      <c r="A134" s="1390" t="s">
        <v>170</v>
      </c>
      <c r="B134" s="1391">
        <f>B17+B89+B96+B125</f>
        <v>2923660347</v>
      </c>
      <c r="C134" s="1392"/>
      <c r="D134" s="1393"/>
      <c r="E134" s="1392"/>
      <c r="F134" s="1392"/>
      <c r="G134" s="1392"/>
      <c r="H134" s="2123"/>
      <c r="I134" s="1394"/>
      <c r="J134" s="1395"/>
      <c r="K134" s="1396"/>
      <c r="L134" s="1397"/>
      <c r="M134" s="1398">
        <f>M88+M95+M124+M132</f>
        <v>2922011001</v>
      </c>
      <c r="N134" s="1399"/>
      <c r="O134" s="1398">
        <f>O88+O95+O124+O132</f>
        <v>2922011001</v>
      </c>
      <c r="P134" s="1400"/>
      <c r="Q134" s="1398">
        <f t="shared" ref="Q134:AB134" si="31">Q88+Q95+Q124+Q132</f>
        <v>0</v>
      </c>
      <c r="R134" s="1398">
        <f t="shared" si="31"/>
        <v>31318667</v>
      </c>
      <c r="S134" s="1398">
        <f t="shared" si="31"/>
        <v>175481000</v>
      </c>
      <c r="T134" s="1398">
        <f t="shared" si="31"/>
        <v>227308999</v>
      </c>
      <c r="U134" s="1398">
        <f t="shared" si="31"/>
        <v>229274999</v>
      </c>
      <c r="V134" s="1398">
        <f t="shared" si="31"/>
        <v>208051667</v>
      </c>
      <c r="W134" s="1398">
        <f t="shared" si="31"/>
        <v>198983667</v>
      </c>
      <c r="X134" s="1398">
        <f t="shared" si="31"/>
        <v>222751500</v>
      </c>
      <c r="Y134" s="1398">
        <f t="shared" si="31"/>
        <v>231710333</v>
      </c>
      <c r="Z134" s="1889">
        <f t="shared" si="31"/>
        <v>226500062</v>
      </c>
      <c r="AA134" s="1398">
        <f t="shared" si="31"/>
        <v>217033000</v>
      </c>
      <c r="AB134" s="1941">
        <f t="shared" si="31"/>
        <v>609821671</v>
      </c>
      <c r="AC134" s="1398">
        <f>AC88+AC95+AC124+AC132</f>
        <v>2578235565</v>
      </c>
      <c r="AD134" s="1398">
        <f>AD88+AD95+AD124+AD132</f>
        <v>343775436</v>
      </c>
      <c r="AF134" s="1401"/>
      <c r="AG134" s="1402"/>
      <c r="AH134" s="1403"/>
      <c r="AI134" s="1404"/>
      <c r="AJ134" s="1405">
        <f>AJ88+AJ95+AJ124+AJ132</f>
        <v>2923660347</v>
      </c>
      <c r="AK134" s="1406">
        <f>AK88+AK95+AK124+AK132</f>
        <v>1649346</v>
      </c>
      <c r="AL134" s="1331">
        <f>AL88+AL124+AL132</f>
        <v>0</v>
      </c>
    </row>
    <row r="135" spans="1:39" hidden="1">
      <c r="A135" s="18"/>
      <c r="B135" s="125"/>
      <c r="C135" s="1054"/>
      <c r="D135" s="1054"/>
      <c r="E135" s="1054"/>
      <c r="F135" s="1054"/>
      <c r="G135" s="1054"/>
      <c r="H135" s="2043"/>
      <c r="I135" s="962"/>
      <c r="J135" s="962"/>
      <c r="K135" s="125"/>
      <c r="L135" s="962"/>
      <c r="M135" s="1192"/>
      <c r="N135" s="962"/>
      <c r="O135" s="622"/>
      <c r="P135" s="1214"/>
      <c r="Q135" s="624"/>
      <c r="R135" s="624"/>
      <c r="S135" s="622"/>
      <c r="T135" s="622"/>
      <c r="U135" s="1337"/>
      <c r="V135" s="622"/>
      <c r="W135" s="624"/>
      <c r="X135" s="622"/>
      <c r="Y135" s="622"/>
      <c r="Z135" s="1337"/>
      <c r="AA135" s="624"/>
      <c r="AB135" s="1942"/>
      <c r="AC135" s="624"/>
      <c r="AD135" s="625"/>
    </row>
    <row r="136" spans="1:39" hidden="1">
      <c r="A136" s="18"/>
      <c r="B136" s="125"/>
      <c r="C136" s="1054"/>
      <c r="D136" s="1054"/>
      <c r="E136" s="1054"/>
      <c r="F136" s="1054"/>
      <c r="G136" s="1054"/>
      <c r="H136" s="2043"/>
      <c r="I136" s="962"/>
      <c r="J136" s="962"/>
      <c r="K136" s="125"/>
      <c r="L136" s="962"/>
      <c r="M136" s="1192"/>
      <c r="N136" s="962"/>
      <c r="O136" s="622"/>
      <c r="P136" s="1214"/>
      <c r="Q136" s="624"/>
      <c r="R136" s="624"/>
      <c r="S136" s="622"/>
      <c r="T136" s="622"/>
      <c r="U136" s="1337"/>
      <c r="V136" s="622"/>
      <c r="W136" s="624"/>
      <c r="X136" s="622"/>
      <c r="Y136" s="622"/>
      <c r="Z136" s="1337"/>
      <c r="AA136" s="624"/>
      <c r="AB136" s="1942"/>
      <c r="AC136" s="624"/>
      <c r="AD136" s="625"/>
    </row>
    <row r="137" spans="1:39">
      <c r="A137" s="18"/>
      <c r="B137" s="125"/>
      <c r="C137" s="1054"/>
      <c r="D137" s="1054"/>
      <c r="E137" s="1054"/>
      <c r="F137" s="1054"/>
      <c r="G137" s="1054"/>
      <c r="H137" s="2043"/>
      <c r="I137" s="962"/>
      <c r="J137" s="962"/>
      <c r="K137" s="125"/>
      <c r="L137" s="962"/>
      <c r="M137" s="1192"/>
      <c r="N137" s="962"/>
      <c r="O137" s="622"/>
      <c r="P137" s="1214"/>
      <c r="Q137" s="624"/>
      <c r="R137" s="624"/>
      <c r="S137" s="622"/>
      <c r="T137" s="622"/>
      <c r="U137" s="1337"/>
      <c r="V137" s="622"/>
      <c r="W137" s="624"/>
      <c r="X137" s="622"/>
      <c r="Y137" s="622"/>
      <c r="Z137" s="1337"/>
      <c r="AA137" s="624"/>
      <c r="AB137" s="1942"/>
      <c r="AC137" s="624"/>
      <c r="AD137" s="625"/>
    </row>
    <row r="138" spans="1:39">
      <c r="A138" s="18"/>
      <c r="B138" s="125"/>
      <c r="C138" s="1054"/>
      <c r="D138" s="1054"/>
      <c r="E138" s="1054"/>
      <c r="F138" s="1054"/>
      <c r="G138" s="1054"/>
      <c r="H138" s="2043"/>
      <c r="I138" s="962"/>
      <c r="J138" s="962"/>
      <c r="K138" s="125"/>
      <c r="L138" s="962"/>
      <c r="M138" s="1192"/>
      <c r="N138" s="962"/>
      <c r="O138" s="622"/>
      <c r="P138" s="1214"/>
      <c r="Q138" s="624"/>
      <c r="R138" s="624"/>
      <c r="S138" s="622"/>
      <c r="T138" s="622"/>
      <c r="U138" s="1337"/>
      <c r="V138" s="622"/>
      <c r="W138" s="624"/>
      <c r="X138" s="622"/>
      <c r="Y138" s="622"/>
      <c r="Z138" s="1337"/>
      <c r="AA138" s="624"/>
      <c r="AB138" s="1942"/>
      <c r="AC138" s="624"/>
      <c r="AD138" s="625"/>
    </row>
    <row r="139" spans="1:39" s="129" customFormat="1" ht="31.5" customHeight="1">
      <c r="A139" s="22" t="s">
        <v>30</v>
      </c>
      <c r="B139" s="126" t="s">
        <v>12</v>
      </c>
      <c r="C139" s="529"/>
      <c r="D139" s="529"/>
      <c r="E139" s="529"/>
      <c r="F139" s="529"/>
      <c r="G139" s="533"/>
      <c r="H139" s="533"/>
      <c r="I139" s="276"/>
      <c r="J139" s="1014"/>
      <c r="K139" s="471"/>
      <c r="L139" s="1014"/>
      <c r="M139" s="1205" t="s">
        <v>17</v>
      </c>
      <c r="N139" s="1225" t="s">
        <v>18</v>
      </c>
      <c r="O139" s="1209" t="s">
        <v>19</v>
      </c>
      <c r="P139" s="1233" t="s">
        <v>136</v>
      </c>
      <c r="Q139" s="1158">
        <v>0</v>
      </c>
      <c r="R139" s="1158">
        <v>31318667</v>
      </c>
      <c r="S139" s="1158">
        <v>175481000</v>
      </c>
      <c r="T139" s="1158">
        <v>227308999</v>
      </c>
      <c r="U139" s="1158">
        <v>229274999</v>
      </c>
      <c r="V139" s="1158">
        <v>208051667</v>
      </c>
      <c r="W139" s="1158">
        <v>198983667</v>
      </c>
      <c r="X139" s="1158">
        <v>222751500</v>
      </c>
      <c r="Y139" s="1158">
        <v>231710333</v>
      </c>
      <c r="Z139" s="1158">
        <v>226500062</v>
      </c>
      <c r="AA139" s="1158">
        <v>217033000</v>
      </c>
      <c r="AB139" s="1943">
        <v>609821671</v>
      </c>
      <c r="AC139" s="1158">
        <f>SUM(Q139:AB139)</f>
        <v>2578235565</v>
      </c>
      <c r="AD139" s="1407">
        <f>O134-AC139</f>
        <v>343775436</v>
      </c>
      <c r="AG139" s="840"/>
      <c r="AH139" s="1072"/>
      <c r="AI139" s="1044"/>
      <c r="AJ139" s="532"/>
      <c r="AK139" s="532"/>
      <c r="AL139" s="823"/>
      <c r="AM139" s="1522"/>
    </row>
    <row r="140" spans="1:39">
      <c r="A140" s="25" t="s">
        <v>31</v>
      </c>
      <c r="B140" s="77">
        <f>B17+B89+B96+B125</f>
        <v>2923660347</v>
      </c>
      <c r="C140" s="573"/>
      <c r="D140" s="573"/>
      <c r="E140" s="573"/>
      <c r="F140" s="573"/>
      <c r="G140" s="542"/>
      <c r="H140" s="542"/>
      <c r="I140" s="964"/>
      <c r="J140" s="276"/>
      <c r="K140" s="222"/>
      <c r="L140" s="276"/>
      <c r="M140" s="1206">
        <f>M134</f>
        <v>2922011001</v>
      </c>
      <c r="N140" s="1206">
        <f>O134</f>
        <v>2922011001</v>
      </c>
      <c r="O140" s="1206">
        <f>AC134</f>
        <v>2578235565</v>
      </c>
      <c r="P140" s="1214"/>
      <c r="Q140" s="624"/>
      <c r="R140" s="624"/>
      <c r="S140" s="622"/>
      <c r="T140" s="622"/>
      <c r="U140" s="1337"/>
      <c r="V140" s="622"/>
      <c r="W140" s="624"/>
      <c r="X140" s="622"/>
      <c r="Y140" s="622"/>
      <c r="Z140" s="1337"/>
      <c r="AA140" s="624"/>
      <c r="AB140" s="1942"/>
      <c r="AC140" s="624"/>
      <c r="AD140" s="625"/>
    </row>
    <row r="141" spans="1:39" s="349" customFormat="1" ht="15">
      <c r="A141" s="347"/>
      <c r="B141" s="496"/>
      <c r="C141" s="2170"/>
      <c r="D141" s="2203"/>
      <c r="F141" s="2203"/>
      <c r="G141" s="2203"/>
      <c r="H141" s="2044"/>
      <c r="I141" s="1005"/>
      <c r="J141" s="1015"/>
      <c r="K141" s="496"/>
      <c r="L141" s="1222"/>
      <c r="M141" s="1207"/>
      <c r="N141" s="1226" t="s">
        <v>31</v>
      </c>
      <c r="O141" s="1206">
        <f>O134</f>
        <v>2922011001</v>
      </c>
      <c r="P141" s="1214"/>
      <c r="Q141" s="348">
        <f t="shared" ref="Q141:AA141" si="32">Q88+Q124+Q132</f>
        <v>0</v>
      </c>
      <c r="R141" s="348">
        <f t="shared" si="32"/>
        <v>31318667</v>
      </c>
      <c r="S141" s="348">
        <f t="shared" si="32"/>
        <v>175481000</v>
      </c>
      <c r="T141" s="348">
        <f t="shared" si="32"/>
        <v>227308999</v>
      </c>
      <c r="U141" s="348">
        <f t="shared" si="32"/>
        <v>229274999</v>
      </c>
      <c r="V141" s="348">
        <f t="shared" si="32"/>
        <v>208051667</v>
      </c>
      <c r="W141" s="348">
        <f t="shared" si="32"/>
        <v>198983667</v>
      </c>
      <c r="X141" s="348">
        <f t="shared" si="32"/>
        <v>222751500</v>
      </c>
      <c r="Y141" s="348">
        <f t="shared" si="32"/>
        <v>231710333</v>
      </c>
      <c r="Z141" s="348">
        <f t="shared" si="32"/>
        <v>226500062</v>
      </c>
      <c r="AA141" s="348">
        <f t="shared" si="32"/>
        <v>217033000</v>
      </c>
      <c r="AB141" s="1944">
        <f>AB88+AB95+AB124+AB132</f>
        <v>609821671</v>
      </c>
      <c r="AC141" s="348">
        <f>SUM(Q141:AB141)</f>
        <v>2578235565</v>
      </c>
      <c r="AD141" s="626">
        <f>O141-AC141</f>
        <v>343775436</v>
      </c>
      <c r="AG141" s="841"/>
      <c r="AH141" s="1073"/>
      <c r="AI141" s="1046"/>
      <c r="AJ141" s="350"/>
      <c r="AK141" s="350"/>
      <c r="AL141" s="1330"/>
    </row>
    <row r="142" spans="1:39" ht="14.25">
      <c r="A142" s="59"/>
      <c r="B142" s="312"/>
      <c r="C142" s="2236"/>
      <c r="D142" s="2236"/>
      <c r="F142" s="2236"/>
      <c r="G142" s="2236"/>
      <c r="H142" s="2046"/>
      <c r="I142" s="1006"/>
      <c r="J142" s="623"/>
      <c r="K142" s="480"/>
      <c r="L142" s="1214"/>
      <c r="M142" s="1200"/>
      <c r="N142" s="1214"/>
      <c r="O142" s="622"/>
      <c r="P142" s="1214"/>
      <c r="Q142" s="624"/>
      <c r="R142" s="624"/>
      <c r="S142" s="622">
        <f>S139-S134</f>
        <v>0</v>
      </c>
      <c r="T142" s="622">
        <f>T139-T134</f>
        <v>0</v>
      </c>
      <c r="U142" s="1337">
        <f>U139-U134</f>
        <v>0</v>
      </c>
      <c r="V142" s="1337">
        <f>V139-V134</f>
        <v>0</v>
      </c>
      <c r="W142" s="1337">
        <f t="shared" ref="W142:AB142" si="33">W139-W134</f>
        <v>0</v>
      </c>
      <c r="X142" s="1337">
        <f t="shared" si="33"/>
        <v>0</v>
      </c>
      <c r="Y142" s="1337">
        <f t="shared" si="33"/>
        <v>0</v>
      </c>
      <c r="Z142" s="1337">
        <f t="shared" si="33"/>
        <v>0</v>
      </c>
      <c r="AA142" s="1337">
        <f t="shared" si="33"/>
        <v>0</v>
      </c>
      <c r="AB142" s="1945">
        <f t="shared" si="33"/>
        <v>0</v>
      </c>
      <c r="AC142" s="624"/>
      <c r="AD142" s="625"/>
    </row>
    <row r="143" spans="1:39">
      <c r="A143" s="59"/>
      <c r="B143" s="312"/>
      <c r="C143" s="61"/>
      <c r="D143" s="61"/>
      <c r="E143" s="61"/>
      <c r="F143" s="61"/>
      <c r="G143" s="61"/>
      <c r="H143" s="61"/>
      <c r="I143" s="346"/>
      <c r="J143" s="623"/>
      <c r="K143" s="577"/>
      <c r="L143" s="1214"/>
      <c r="M143" s="577"/>
      <c r="N143" s="1214"/>
      <c r="O143" s="622"/>
      <c r="P143" s="1214"/>
      <c r="Q143" s="624"/>
      <c r="R143" s="624"/>
      <c r="S143" s="622"/>
      <c r="T143" s="622"/>
      <c r="U143" s="1337"/>
      <c r="V143" s="622"/>
      <c r="W143" s="624"/>
      <c r="X143" s="622"/>
      <c r="Y143" s="622"/>
      <c r="Z143" s="1337"/>
      <c r="AA143" s="624"/>
      <c r="AB143" s="1942"/>
      <c r="AC143" s="624"/>
      <c r="AD143" s="625"/>
    </row>
    <row r="144" spans="1:39" ht="14.25" customHeight="1" thickBot="1">
      <c r="A144" s="753"/>
      <c r="B144" s="565"/>
      <c r="C144" s="65"/>
      <c r="D144" s="66"/>
      <c r="E144" s="67"/>
      <c r="F144" s="68"/>
      <c r="G144" s="68"/>
      <c r="H144" s="68"/>
      <c r="I144" s="1007"/>
      <c r="J144" s="628"/>
      <c r="K144" s="497"/>
      <c r="L144" s="568"/>
      <c r="M144" s="566"/>
      <c r="N144" s="568"/>
      <c r="O144" s="627"/>
      <c r="P144" s="568"/>
      <c r="Q144" s="629"/>
      <c r="R144" s="629"/>
      <c r="S144" s="627"/>
      <c r="T144" s="627"/>
      <c r="U144" s="1338"/>
      <c r="V144" s="627"/>
      <c r="W144" s="629"/>
      <c r="X144" s="627"/>
      <c r="Y144" s="627"/>
      <c r="Z144" s="1338"/>
      <c r="AA144" s="629"/>
      <c r="AB144" s="1946"/>
      <c r="AC144" s="629"/>
      <c r="AD144" s="630"/>
    </row>
    <row r="145" spans="1:15" hidden="1">
      <c r="F145" s="28"/>
      <c r="M145" s="353">
        <v>2922011001</v>
      </c>
      <c r="N145" s="353">
        <v>2922011001</v>
      </c>
      <c r="O145" s="539">
        <f>O140</f>
        <v>2578235565</v>
      </c>
    </row>
    <row r="146" spans="1:15" hidden="1">
      <c r="M146" s="353">
        <f>M140-M143-M145</f>
        <v>0</v>
      </c>
      <c r="N146" s="353">
        <f>N145-N140</f>
        <v>0</v>
      </c>
      <c r="O146" s="539">
        <f>O145-O140</f>
        <v>0</v>
      </c>
    </row>
    <row r="147" spans="1:15" ht="15" hidden="1">
      <c r="A147" s="687" t="s">
        <v>41</v>
      </c>
      <c r="B147" s="1980" t="s">
        <v>42</v>
      </c>
      <c r="C147" s="687" t="s">
        <v>151</v>
      </c>
      <c r="D147" s="687" t="s">
        <v>124</v>
      </c>
      <c r="E147" s="687" t="s">
        <v>125</v>
      </c>
      <c r="F147" s="687" t="s">
        <v>126</v>
      </c>
      <c r="M147" s="353"/>
      <c r="N147" s="462"/>
      <c r="O147" s="539"/>
    </row>
    <row r="148" spans="1:15" ht="14.25" hidden="1">
      <c r="A148" s="1325" t="s">
        <v>1621</v>
      </c>
      <c r="B148" s="164" t="s">
        <v>1622</v>
      </c>
      <c r="C148" s="1064">
        <f>B17+B96+B125</f>
        <v>2424000000</v>
      </c>
      <c r="D148" s="1064">
        <f>M88+M124+M132</f>
        <v>2423562501</v>
      </c>
      <c r="E148" s="1064">
        <f>O88+O124+O132</f>
        <v>2423562501</v>
      </c>
      <c r="F148" s="1064">
        <f>AC88+AC124+AC132</f>
        <v>2392136165</v>
      </c>
    </row>
    <row r="149" spans="1:15" ht="14.25" hidden="1">
      <c r="A149" s="2019" t="s">
        <v>837</v>
      </c>
      <c r="B149" s="164" t="s">
        <v>1622</v>
      </c>
      <c r="C149" s="1064">
        <f>B89</f>
        <v>499660347</v>
      </c>
      <c r="D149" s="1064">
        <f>M95</f>
        <v>498448500</v>
      </c>
      <c r="E149" s="1064">
        <f>O95</f>
        <v>498448500</v>
      </c>
      <c r="F149" s="1064">
        <f>AC95</f>
        <v>186099400</v>
      </c>
    </row>
    <row r="150" spans="1:15" hidden="1">
      <c r="A150" s="2019"/>
      <c r="B150" s="128"/>
      <c r="C150" s="2022">
        <f>SUM(C148:C149)</f>
        <v>2923660347</v>
      </c>
      <c r="D150" s="2022">
        <f t="shared" ref="D150:F150" si="34">SUM(D148:D149)</f>
        <v>2922011001</v>
      </c>
      <c r="E150" s="2022">
        <f t="shared" si="34"/>
        <v>2922011001</v>
      </c>
      <c r="F150" s="2022">
        <f t="shared" si="34"/>
        <v>2578235565</v>
      </c>
    </row>
    <row r="151" spans="1:15" hidden="1">
      <c r="A151" s="2020"/>
      <c r="B151" s="128"/>
      <c r="C151" s="35"/>
      <c r="D151" s="36"/>
    </row>
    <row r="152" spans="1:15" hidden="1">
      <c r="A152" s="33"/>
      <c r="B152" s="128"/>
      <c r="C152" s="35"/>
      <c r="D152" s="36"/>
    </row>
    <row r="160" spans="1:15">
      <c r="A160" s="29"/>
      <c r="B160" s="127"/>
    </row>
    <row r="161" spans="1:6">
      <c r="A161" s="33"/>
      <c r="B161" s="128"/>
      <c r="F161" s="37"/>
    </row>
    <row r="162" spans="1:6">
      <c r="A162" s="33"/>
      <c r="B162" s="128"/>
      <c r="F162" s="37"/>
    </row>
    <row r="163" spans="1:6">
      <c r="A163" s="33"/>
      <c r="B163" s="128"/>
      <c r="F163" s="37"/>
    </row>
    <row r="164" spans="1:6">
      <c r="A164" s="33"/>
      <c r="B164" s="128"/>
      <c r="F164" s="37"/>
    </row>
    <row r="171" spans="1:6">
      <c r="A171" s="33"/>
      <c r="B171" s="128"/>
    </row>
    <row r="172" spans="1:6">
      <c r="A172" s="33"/>
      <c r="B172" s="128"/>
    </row>
    <row r="173" spans="1:6">
      <c r="A173" s="33"/>
      <c r="B173" s="128"/>
    </row>
    <row r="174" spans="1:6">
      <c r="A174" s="33"/>
      <c r="B174" s="128"/>
    </row>
    <row r="175" spans="1:6">
      <c r="A175" s="33"/>
      <c r="B175" s="128"/>
    </row>
    <row r="176" spans="1:6">
      <c r="A176" s="33"/>
      <c r="B176" s="128"/>
    </row>
    <row r="177" spans="1:2">
      <c r="A177" s="33"/>
      <c r="B177" s="128"/>
    </row>
    <row r="178" spans="1:2">
      <c r="A178" s="33"/>
      <c r="B178" s="128"/>
    </row>
    <row r="179" spans="1:2">
      <c r="A179" s="33"/>
      <c r="B179" s="128"/>
    </row>
    <row r="180" spans="1:2">
      <c r="A180" s="33"/>
      <c r="B180" s="128"/>
    </row>
    <row r="181" spans="1:2">
      <c r="A181" s="33"/>
      <c r="B181" s="128"/>
    </row>
    <row r="182" spans="1:2">
      <c r="A182" s="33"/>
      <c r="B182" s="128"/>
    </row>
    <row r="183" spans="1:2">
      <c r="A183" s="33"/>
      <c r="B183" s="128"/>
    </row>
    <row r="184" spans="1:2">
      <c r="A184" s="33"/>
      <c r="B184" s="128"/>
    </row>
    <row r="185" spans="1:2">
      <c r="A185" s="33"/>
      <c r="B185" s="128"/>
    </row>
    <row r="186" spans="1:2">
      <c r="A186" s="33"/>
      <c r="B186" s="128"/>
    </row>
    <row r="187" spans="1:2">
      <c r="A187" s="33"/>
      <c r="B187" s="128"/>
    </row>
    <row r="188" spans="1:2">
      <c r="A188" s="33"/>
      <c r="B188" s="128"/>
    </row>
    <row r="189" spans="1:2">
      <c r="A189" s="33"/>
      <c r="B189" s="128"/>
    </row>
  </sheetData>
  <autoFilter ref="A16:AL132"/>
  <mergeCells count="17">
    <mergeCell ref="C142:D142"/>
    <mergeCell ref="F142:G142"/>
    <mergeCell ref="A4:G4"/>
    <mergeCell ref="A5:G5"/>
    <mergeCell ref="A6:G6"/>
    <mergeCell ref="A7:G7"/>
    <mergeCell ref="A8:G8"/>
    <mergeCell ref="A9:G9"/>
    <mergeCell ref="B10:D10"/>
    <mergeCell ref="B11:G11"/>
    <mergeCell ref="B12:G12"/>
    <mergeCell ref="C141:D141"/>
    <mergeCell ref="F141:G141"/>
    <mergeCell ref="A1:A3"/>
    <mergeCell ref="B1:AD1"/>
    <mergeCell ref="B2:AD2"/>
    <mergeCell ref="B3:AD3"/>
  </mergeCells>
  <conditionalFormatting sqref="AD133 AD135:AD1048576 AM1:AM1048576 AD4:AD89 AD96:AD131">
    <cfRule type="cellIs" dxfId="142" priority="17" operator="lessThan">
      <formula>0</formula>
    </cfRule>
  </conditionalFormatting>
  <conditionalFormatting sqref="AK133:AK1048576 AK1:AK16 AK126:AK131 AK96:AK124 AK18:AK94">
    <cfRule type="cellIs" dxfId="141" priority="9" operator="lessThan">
      <formula>0</formula>
    </cfRule>
    <cfRule type="cellIs" dxfId="140" priority="10" operator="lessThan">
      <formula>0</formula>
    </cfRule>
  </conditionalFormatting>
  <conditionalFormatting sqref="AL134">
    <cfRule type="cellIs" dxfId="139" priority="7" operator="lessThan">
      <formula>0</formula>
    </cfRule>
    <cfRule type="cellIs" dxfId="138" priority="8" operator="lessThan">
      <formula>0</formula>
    </cfRule>
  </conditionalFormatting>
  <conditionalFormatting sqref="N146:N1048576 N1:N139 N141:N144">
    <cfRule type="duplicateValues" dxfId="137" priority="6"/>
  </conditionalFormatting>
  <conditionalFormatting sqref="AD90:AD94">
    <cfRule type="cellIs" dxfId="136" priority="4" operator="lessThan">
      <formula>0</formula>
    </cfRule>
  </conditionalFormatting>
  <conditionalFormatting sqref="B147">
    <cfRule type="cellIs" dxfId="135" priority="2" operator="lessThan">
      <formula>0</formula>
    </cfRule>
    <cfRule type="cellIs" dxfId="134" priority="3" operator="lessThan">
      <formula>0</formula>
    </cfRule>
  </conditionalFormatting>
  <conditionalFormatting sqref="B147">
    <cfRule type="cellIs" dxfId="133" priority="1" operator="lessThan">
      <formula>0</formula>
    </cfRule>
  </conditionalFormatting>
  <printOptions horizontalCentered="1" verticalCentered="1"/>
  <pageMargins left="0.55118110236220474" right="0.39370078740157483" top="0.59055118110236227" bottom="0.31496062992125984" header="0.31496062992125984" footer="0.27559055118110237"/>
  <pageSetup scale="51" fitToWidth="2" fitToHeight="2" orientation="landscape" r:id="rId1"/>
  <headerFooter>
    <oddFooter>&amp;LVersión 3. 23/07/2019</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N530"/>
  <sheetViews>
    <sheetView topLeftCell="C418" zoomScale="77" zoomScaleNormal="77" workbookViewId="0">
      <selection activeCell="K539" sqref="K539"/>
    </sheetView>
  </sheetViews>
  <sheetFormatPr baseColWidth="10" defaultColWidth="19.7109375" defaultRowHeight="14.25"/>
  <cols>
    <col min="1" max="1" width="28.7109375" style="632" customWidth="1"/>
    <col min="2" max="2" width="19.7109375" style="350" customWidth="1"/>
    <col min="3" max="3" width="22.5703125" style="632" customWidth="1"/>
    <col min="4" max="4" width="27.140625" style="632" customWidth="1"/>
    <col min="5" max="5" width="17.7109375" style="632" customWidth="1"/>
    <col min="6" max="6" width="24.85546875" style="632" customWidth="1"/>
    <col min="7" max="8" width="28.7109375" style="632" customWidth="1"/>
    <col min="9" max="9" width="7.42578125" style="509" customWidth="1"/>
    <col min="10" max="10" width="8.7109375" style="786" customWidth="1"/>
    <col min="11" max="11" width="16.42578125" style="1064" customWidth="1"/>
    <col min="12" max="12" width="11.42578125" style="1046" customWidth="1"/>
    <col min="13" max="13" width="19.5703125" style="350" customWidth="1"/>
    <col min="14" max="14" width="16.7109375" style="1046" customWidth="1"/>
    <col min="15" max="15" width="16.7109375" style="1064" customWidth="1"/>
    <col min="16" max="16" width="11.28515625" style="1803" customWidth="1"/>
    <col min="17" max="17" width="13" style="1849" customWidth="1"/>
    <col min="18" max="18" width="14.28515625" style="1849" customWidth="1"/>
    <col min="19" max="20" width="13.7109375" style="1849" customWidth="1"/>
    <col min="21" max="21" width="14.140625" style="1849" customWidth="1"/>
    <col min="22" max="22" width="13.7109375" style="1849" customWidth="1"/>
    <col min="23" max="23" width="14" style="1849" customWidth="1"/>
    <col min="24" max="24" width="15.85546875" style="1849" customWidth="1"/>
    <col min="25" max="25" width="17.7109375" style="1849" customWidth="1"/>
    <col min="26" max="26" width="15.85546875" style="1849" customWidth="1"/>
    <col min="27" max="27" width="19.7109375" style="1849" customWidth="1"/>
    <col min="28" max="28" width="16.28515625" style="1849" customWidth="1"/>
    <col min="29" max="29" width="17" style="1849" customWidth="1"/>
    <col min="30" max="30" width="15.140625" style="1849" customWidth="1"/>
    <col min="31" max="31" width="5" style="632" customWidth="1"/>
    <col min="32" max="32" width="10.140625" style="780" hidden="1" customWidth="1"/>
    <col min="33" max="33" width="19.7109375" style="1319" hidden="1" customWidth="1"/>
    <col min="34" max="34" width="15.42578125" style="350" hidden="1" customWidth="1"/>
    <col min="35" max="35" width="8.28515625" style="509" hidden="1" customWidth="1"/>
    <col min="36" max="36" width="0" style="787" hidden="1" customWidth="1"/>
    <col min="37" max="37" width="0" style="349" hidden="1" customWidth="1"/>
    <col min="38" max="38" width="16.140625" style="845" hidden="1" customWidth="1"/>
    <col min="39" max="39" width="27" style="632" hidden="1" customWidth="1"/>
    <col min="40" max="40" width="11.42578125" style="632" hidden="1" customWidth="1"/>
    <col min="41" max="16384" width="19.7109375" style="632"/>
  </cols>
  <sheetData>
    <row r="1" spans="1:39" ht="42" customHeight="1" thickBot="1">
      <c r="A1" s="2251"/>
      <c r="B1" s="2242" t="s">
        <v>619</v>
      </c>
      <c r="C1" s="2243"/>
      <c r="D1" s="2243"/>
      <c r="E1" s="2243"/>
      <c r="F1" s="2243"/>
      <c r="G1" s="2243"/>
      <c r="H1" s="2243"/>
      <c r="I1" s="2243"/>
      <c r="J1" s="2243"/>
      <c r="K1" s="2243"/>
      <c r="L1" s="2243"/>
      <c r="M1" s="2243"/>
      <c r="N1" s="2243"/>
      <c r="O1" s="2243"/>
      <c r="P1" s="2243"/>
      <c r="Q1" s="2243"/>
      <c r="R1" s="2243"/>
      <c r="S1" s="2243"/>
      <c r="T1" s="2243"/>
      <c r="U1" s="2243"/>
      <c r="V1" s="2243"/>
      <c r="W1" s="2243"/>
      <c r="X1" s="2243"/>
      <c r="Y1" s="2243"/>
      <c r="Z1" s="2243"/>
      <c r="AA1" s="2243"/>
      <c r="AB1" s="2244"/>
      <c r="AC1" s="2243"/>
      <c r="AD1" s="2245"/>
    </row>
    <row r="2" spans="1:39" ht="42" customHeight="1" thickBot="1">
      <c r="A2" s="2252"/>
      <c r="B2" s="2242" t="s">
        <v>1161</v>
      </c>
      <c r="C2" s="2243"/>
      <c r="D2" s="2243"/>
      <c r="E2" s="2243"/>
      <c r="F2" s="2243"/>
      <c r="G2" s="2243"/>
      <c r="H2" s="2243"/>
      <c r="I2" s="2243"/>
      <c r="J2" s="2243"/>
      <c r="K2" s="2243"/>
      <c r="L2" s="2243"/>
      <c r="M2" s="2243"/>
      <c r="N2" s="2243"/>
      <c r="O2" s="2243"/>
      <c r="P2" s="2243"/>
      <c r="Q2" s="2243"/>
      <c r="R2" s="2243"/>
      <c r="S2" s="2243"/>
      <c r="T2" s="2243"/>
      <c r="U2" s="2243"/>
      <c r="V2" s="2243"/>
      <c r="W2" s="2243"/>
      <c r="X2" s="2243"/>
      <c r="Y2" s="2243"/>
      <c r="Z2" s="2243"/>
      <c r="AA2" s="2243"/>
      <c r="AB2" s="2244"/>
      <c r="AC2" s="2243"/>
      <c r="AD2" s="2245"/>
    </row>
    <row r="3" spans="1:39" ht="42" customHeight="1" thickBot="1">
      <c r="A3" s="2253"/>
      <c r="B3" s="2242" t="s">
        <v>1146</v>
      </c>
      <c r="C3" s="2243"/>
      <c r="D3" s="2243"/>
      <c r="E3" s="2243"/>
      <c r="F3" s="2243"/>
      <c r="G3" s="2243"/>
      <c r="H3" s="2243"/>
      <c r="I3" s="2243"/>
      <c r="J3" s="2243"/>
      <c r="K3" s="2243"/>
      <c r="L3" s="2243"/>
      <c r="M3" s="2243"/>
      <c r="N3" s="2243"/>
      <c r="O3" s="2243"/>
      <c r="P3" s="2243"/>
      <c r="Q3" s="2243"/>
      <c r="R3" s="2243"/>
      <c r="S3" s="2243"/>
      <c r="T3" s="2243"/>
      <c r="U3" s="2243"/>
      <c r="V3" s="2243"/>
      <c r="W3" s="2243"/>
      <c r="X3" s="2243"/>
      <c r="Y3" s="2243"/>
      <c r="Z3" s="2243"/>
      <c r="AA3" s="2243"/>
      <c r="AB3" s="2244"/>
      <c r="AC3" s="2243"/>
      <c r="AD3" s="2245"/>
    </row>
    <row r="4" spans="1:39" s="633" customFormat="1">
      <c r="A4" s="2254" t="s">
        <v>0</v>
      </c>
      <c r="B4" s="2255"/>
      <c r="C4" s="2255"/>
      <c r="D4" s="2255"/>
      <c r="E4" s="2255"/>
      <c r="F4" s="2255"/>
      <c r="G4" s="2255"/>
      <c r="H4" s="2050"/>
      <c r="I4" s="1617"/>
      <c r="J4" s="1618"/>
      <c r="K4" s="1619"/>
      <c r="L4" s="1620"/>
      <c r="M4" s="1621"/>
      <c r="N4" s="1620"/>
      <c r="O4" s="1619"/>
      <c r="P4" s="1622"/>
      <c r="Q4" s="1814"/>
      <c r="R4" s="1814"/>
      <c r="S4" s="1814"/>
      <c r="T4" s="1814"/>
      <c r="U4" s="1814"/>
      <c r="V4" s="1814"/>
      <c r="W4" s="1814"/>
      <c r="X4" s="1814"/>
      <c r="Y4" s="1814"/>
      <c r="Z4" s="1814"/>
      <c r="AA4" s="1814"/>
      <c r="AB4" s="1814"/>
      <c r="AC4" s="1814"/>
      <c r="AD4" s="1815"/>
      <c r="AF4" s="781"/>
      <c r="AG4" s="1318"/>
      <c r="AH4" s="1057"/>
      <c r="AI4" s="1047"/>
      <c r="AJ4" s="788"/>
      <c r="AK4" s="782"/>
      <c r="AL4" s="845"/>
    </row>
    <row r="5" spans="1:39" s="633" customFormat="1">
      <c r="A5" s="2254" t="s">
        <v>408</v>
      </c>
      <c r="B5" s="2255"/>
      <c r="C5" s="2255"/>
      <c r="D5" s="2255"/>
      <c r="E5" s="2255"/>
      <c r="F5" s="2255"/>
      <c r="G5" s="2255"/>
      <c r="H5" s="2050"/>
      <c r="I5" s="1617"/>
      <c r="J5" s="1618"/>
      <c r="K5" s="1619"/>
      <c r="L5" s="1620"/>
      <c r="M5" s="1621"/>
      <c r="N5" s="1620"/>
      <c r="O5" s="1619"/>
      <c r="P5" s="1622"/>
      <c r="Q5" s="1814"/>
      <c r="R5" s="1814"/>
      <c r="S5" s="1814"/>
      <c r="T5" s="1814"/>
      <c r="U5" s="1814"/>
      <c r="V5" s="1814"/>
      <c r="W5" s="1814"/>
      <c r="X5" s="1814"/>
      <c r="Y5" s="1814"/>
      <c r="Z5" s="1814"/>
      <c r="AA5" s="1814"/>
      <c r="AB5" s="1814"/>
      <c r="AC5" s="1814"/>
      <c r="AD5" s="1815"/>
      <c r="AF5" s="781"/>
      <c r="AG5" s="1318"/>
      <c r="AH5" s="1057"/>
      <c r="AI5" s="1047"/>
      <c r="AJ5" s="788"/>
      <c r="AK5" s="782"/>
      <c r="AL5" s="845"/>
    </row>
    <row r="6" spans="1:39" s="633" customFormat="1">
      <c r="A6" s="2254" t="s">
        <v>62</v>
      </c>
      <c r="B6" s="2255"/>
      <c r="C6" s="2255"/>
      <c r="D6" s="2255"/>
      <c r="E6" s="2255"/>
      <c r="F6" s="2255"/>
      <c r="G6" s="2255"/>
      <c r="H6" s="2050"/>
      <c r="I6" s="1617"/>
      <c r="J6" s="1618"/>
      <c r="K6" s="1619"/>
      <c r="L6" s="1620"/>
      <c r="M6" s="1621"/>
      <c r="N6" s="1620"/>
      <c r="O6" s="1619"/>
      <c r="P6" s="1622"/>
      <c r="Q6" s="1814"/>
      <c r="R6" s="1814"/>
      <c r="S6" s="1814"/>
      <c r="T6" s="1814"/>
      <c r="U6" s="1814"/>
      <c r="V6" s="1814"/>
      <c r="W6" s="1814"/>
      <c r="X6" s="1814"/>
      <c r="Y6" s="1814"/>
      <c r="Z6" s="1814"/>
      <c r="AA6" s="1814"/>
      <c r="AB6" s="1814"/>
      <c r="AC6" s="1814"/>
      <c r="AD6" s="1815"/>
      <c r="AF6" s="781"/>
      <c r="AG6" s="1318"/>
      <c r="AH6" s="1057"/>
      <c r="AI6" s="1047"/>
      <c r="AJ6" s="788"/>
      <c r="AK6" s="782"/>
      <c r="AL6" s="845"/>
    </row>
    <row r="7" spans="1:39" s="633" customFormat="1">
      <c r="A7" s="2254" t="s">
        <v>63</v>
      </c>
      <c r="B7" s="2255"/>
      <c r="C7" s="2255"/>
      <c r="D7" s="2255"/>
      <c r="E7" s="2255"/>
      <c r="F7" s="2255"/>
      <c r="G7" s="2255"/>
      <c r="H7" s="2050"/>
      <c r="I7" s="1617"/>
      <c r="J7" s="1618"/>
      <c r="K7" s="1619"/>
      <c r="L7" s="1620"/>
      <c r="M7" s="1621"/>
      <c r="N7" s="1620"/>
      <c r="O7" s="1619"/>
      <c r="P7" s="1622"/>
      <c r="Q7" s="1814"/>
      <c r="R7" s="1814"/>
      <c r="S7" s="1814"/>
      <c r="T7" s="1814"/>
      <c r="U7" s="1814"/>
      <c r="V7" s="1814"/>
      <c r="W7" s="1814"/>
      <c r="X7" s="1814"/>
      <c r="Y7" s="1814"/>
      <c r="Z7" s="1814"/>
      <c r="AA7" s="1814"/>
      <c r="AB7" s="1814"/>
      <c r="AC7" s="1814"/>
      <c r="AD7" s="1815"/>
      <c r="AF7" s="781"/>
      <c r="AG7" s="1318"/>
      <c r="AH7" s="1057"/>
      <c r="AI7" s="1047"/>
      <c r="AJ7" s="788"/>
      <c r="AK7" s="782"/>
      <c r="AL7" s="845"/>
    </row>
    <row r="8" spans="1:39" s="633" customFormat="1">
      <c r="A8" s="2254" t="s">
        <v>64</v>
      </c>
      <c r="B8" s="2255"/>
      <c r="C8" s="2255"/>
      <c r="D8" s="2255"/>
      <c r="E8" s="2255"/>
      <c r="F8" s="2255"/>
      <c r="G8" s="2255"/>
      <c r="H8" s="2050"/>
      <c r="I8" s="1623"/>
      <c r="J8" s="1618"/>
      <c r="K8" s="1619"/>
      <c r="L8" s="1620"/>
      <c r="M8" s="1621"/>
      <c r="N8" s="1620"/>
      <c r="O8" s="1619"/>
      <c r="P8" s="1622"/>
      <c r="Q8" s="1814"/>
      <c r="R8" s="1814"/>
      <c r="S8" s="1814"/>
      <c r="T8" s="1814"/>
      <c r="U8" s="1814"/>
      <c r="V8" s="1814"/>
      <c r="W8" s="1814"/>
      <c r="X8" s="1814"/>
      <c r="Y8" s="1814"/>
      <c r="Z8" s="1814"/>
      <c r="AA8" s="1814"/>
      <c r="AB8" s="1814"/>
      <c r="AC8" s="1814"/>
      <c r="AD8" s="1815"/>
      <c r="AF8" s="781"/>
      <c r="AG8" s="1318"/>
      <c r="AH8" s="1057"/>
      <c r="AI8" s="1047"/>
      <c r="AJ8" s="788"/>
      <c r="AK8" s="782"/>
      <c r="AL8" s="845"/>
    </row>
    <row r="9" spans="1:39" s="633" customFormat="1">
      <c r="A9" s="2249" t="s">
        <v>131</v>
      </c>
      <c r="B9" s="2250"/>
      <c r="C9" s="2250"/>
      <c r="D9" s="2250"/>
      <c r="E9" s="2250"/>
      <c r="F9" s="2250"/>
      <c r="G9" s="2250"/>
      <c r="H9" s="2049"/>
      <c r="I9" s="1623"/>
      <c r="J9" s="1618"/>
      <c r="K9" s="1619"/>
      <c r="L9" s="1620"/>
      <c r="M9" s="1621"/>
      <c r="N9" s="1620"/>
      <c r="O9" s="1619"/>
      <c r="P9" s="1622"/>
      <c r="Q9" s="1814"/>
      <c r="R9" s="1814"/>
      <c r="S9" s="1814"/>
      <c r="T9" s="1814"/>
      <c r="U9" s="1814"/>
      <c r="V9" s="1814"/>
      <c r="W9" s="1814"/>
      <c r="X9" s="1814"/>
      <c r="Y9" s="1814"/>
      <c r="Z9" s="1814"/>
      <c r="AA9" s="1814"/>
      <c r="AB9" s="1814"/>
      <c r="AC9" s="1814"/>
      <c r="AD9" s="1815"/>
      <c r="AF9" s="781"/>
      <c r="AG9" s="1318"/>
      <c r="AH9" s="1057"/>
      <c r="AI9" s="1047"/>
      <c r="AJ9" s="788"/>
      <c r="AK9" s="782"/>
      <c r="AL9" s="845"/>
    </row>
    <row r="10" spans="1:39">
      <c r="A10" s="634" t="s">
        <v>2</v>
      </c>
      <c r="B10" s="2255" t="s">
        <v>132</v>
      </c>
      <c r="C10" s="2255"/>
      <c r="D10" s="2255"/>
      <c r="E10" s="635"/>
      <c r="F10" s="635"/>
      <c r="G10" s="636"/>
      <c r="H10" s="635"/>
      <c r="I10" s="1623"/>
      <c r="J10" s="1618"/>
      <c r="K10" s="1619"/>
      <c r="L10" s="1578"/>
      <c r="M10" s="1621"/>
      <c r="N10" s="1620"/>
      <c r="O10" s="1619"/>
      <c r="P10" s="1622"/>
      <c r="Q10" s="1814"/>
      <c r="R10" s="1814"/>
      <c r="S10" s="1814"/>
      <c r="T10" s="1814"/>
      <c r="U10" s="1814"/>
      <c r="V10" s="1814"/>
      <c r="W10" s="1814"/>
      <c r="X10" s="1814"/>
      <c r="Y10" s="1814"/>
      <c r="Z10" s="1814"/>
      <c r="AA10" s="1814"/>
      <c r="AB10" s="1814"/>
      <c r="AC10" s="1814"/>
      <c r="AD10" s="1815"/>
    </row>
    <row r="11" spans="1:39">
      <c r="A11" s="634" t="s">
        <v>4</v>
      </c>
      <c r="B11" s="2255" t="s">
        <v>76</v>
      </c>
      <c r="C11" s="2255"/>
      <c r="D11" s="2255"/>
      <c r="E11" s="2255"/>
      <c r="F11" s="2255"/>
      <c r="G11" s="2255"/>
      <c r="H11" s="2050"/>
      <c r="I11" s="1623"/>
      <c r="J11" s="1618"/>
      <c r="K11" s="1619"/>
      <c r="L11" s="1578"/>
      <c r="M11" s="1557"/>
      <c r="N11" s="1578"/>
      <c r="O11" s="1619"/>
      <c r="P11" s="1622"/>
      <c r="Q11" s="1814"/>
      <c r="R11" s="1814"/>
      <c r="S11" s="1814"/>
      <c r="T11" s="1814"/>
      <c r="U11" s="1814"/>
      <c r="V11" s="1814"/>
      <c r="W11" s="1814"/>
      <c r="X11" s="1814"/>
      <c r="Y11" s="1814"/>
      <c r="Z11" s="1814"/>
      <c r="AA11" s="1814"/>
      <c r="AB11" s="1814"/>
      <c r="AC11" s="1814"/>
      <c r="AD11" s="1815"/>
    </row>
    <row r="12" spans="1:39">
      <c r="A12" s="637" t="s">
        <v>6</v>
      </c>
      <c r="B12" s="2255" t="s">
        <v>77</v>
      </c>
      <c r="C12" s="2255"/>
      <c r="D12" s="2255"/>
      <c r="E12" s="2255"/>
      <c r="F12" s="2255"/>
      <c r="G12" s="2255"/>
      <c r="H12" s="2050"/>
      <c r="I12" s="1623"/>
      <c r="J12" s="1618"/>
      <c r="K12" s="1619"/>
      <c r="L12" s="1578"/>
      <c r="M12" s="1557"/>
      <c r="N12" s="1578"/>
      <c r="O12" s="1619"/>
      <c r="P12" s="1622"/>
      <c r="Q12" s="1814"/>
      <c r="R12" s="1814"/>
      <c r="S12" s="1814"/>
      <c r="T12" s="1814"/>
      <c r="U12" s="1814"/>
      <c r="V12" s="1814"/>
      <c r="W12" s="1814"/>
      <c r="X12" s="1814"/>
      <c r="Y12" s="1814"/>
      <c r="Z12" s="1814"/>
      <c r="AA12" s="1814"/>
      <c r="AB12" s="1814"/>
      <c r="AC12" s="1814"/>
      <c r="AD12" s="1815"/>
    </row>
    <row r="13" spans="1:39" ht="15">
      <c r="A13" s="638" t="s">
        <v>8</v>
      </c>
      <c r="B13" s="1960">
        <v>43818</v>
      </c>
      <c r="C13" s="639"/>
      <c r="D13" s="639"/>
      <c r="E13" s="639"/>
      <c r="F13" s="639"/>
      <c r="G13" s="640"/>
      <c r="H13" s="639"/>
      <c r="I13" s="1623"/>
      <c r="J13" s="1618"/>
      <c r="K13" s="1619"/>
      <c r="L13" s="1578"/>
      <c r="M13" s="1557"/>
      <c r="N13" s="1578"/>
      <c r="O13" s="1619"/>
      <c r="P13" s="1622"/>
      <c r="Q13" s="1814"/>
      <c r="R13" s="1814"/>
      <c r="S13" s="1814"/>
      <c r="T13" s="1814"/>
      <c r="U13" s="1814"/>
      <c r="V13" s="1814"/>
      <c r="W13" s="1814"/>
      <c r="X13" s="1814"/>
      <c r="Y13" s="1814"/>
      <c r="Z13" s="1814"/>
      <c r="AA13" s="1814"/>
      <c r="AB13" s="1814"/>
      <c r="AC13" s="1814"/>
      <c r="AD13" s="1815"/>
    </row>
    <row r="14" spans="1:39" ht="15">
      <c r="A14" s="641" t="s">
        <v>9</v>
      </c>
      <c r="B14" s="1961">
        <f>D15-E15</f>
        <v>6820459021</v>
      </c>
      <c r="C14" s="1348" t="s">
        <v>135</v>
      </c>
      <c r="D14" s="1348" t="s">
        <v>990</v>
      </c>
      <c r="E14" s="1348" t="s">
        <v>991</v>
      </c>
      <c r="F14" s="639"/>
      <c r="G14" s="640"/>
      <c r="H14" s="639"/>
      <c r="I14" s="1624"/>
      <c r="J14" s="1625"/>
      <c r="K14" s="1626"/>
      <c r="L14" s="1579"/>
      <c r="M14" s="1558"/>
      <c r="N14" s="1579"/>
      <c r="O14" s="1626"/>
      <c r="P14" s="1627"/>
      <c r="Q14" s="1816"/>
      <c r="R14" s="1816"/>
      <c r="S14" s="1816"/>
      <c r="T14" s="1816"/>
      <c r="U14" s="1816"/>
      <c r="V14" s="1816"/>
      <c r="W14" s="1816"/>
      <c r="X14" s="1816"/>
      <c r="Y14" s="1816"/>
      <c r="Z14" s="1816"/>
      <c r="AA14" s="1816"/>
      <c r="AB14" s="1816"/>
      <c r="AC14" s="1816"/>
      <c r="AD14" s="1817"/>
    </row>
    <row r="15" spans="1:39" s="646" customFormat="1" ht="15.75" thickBot="1">
      <c r="A15" s="642" t="s">
        <v>78</v>
      </c>
      <c r="B15" s="1962">
        <f>C15+B14</f>
        <v>20779459021</v>
      </c>
      <c r="C15" s="643">
        <v>13959000000</v>
      </c>
      <c r="D15" s="643">
        <f>38000000+3000000000+3211907757+60366878+189021929+700000000+634599111</f>
        <v>7833895675</v>
      </c>
      <c r="E15" s="643">
        <f>100000000+913436654</f>
        <v>1013436654</v>
      </c>
      <c r="F15" s="644"/>
      <c r="G15" s="645"/>
      <c r="H15" s="644"/>
      <c r="I15" s="1628"/>
      <c r="J15" s="1629"/>
      <c r="K15" s="1630"/>
      <c r="L15" s="1628"/>
      <c r="M15" s="1630"/>
      <c r="N15" s="1631"/>
      <c r="O15" s="1632"/>
      <c r="P15" s="1633"/>
      <c r="Q15" s="1818"/>
      <c r="R15" s="1818"/>
      <c r="S15" s="1818"/>
      <c r="T15" s="1818"/>
      <c r="U15" s="1818"/>
      <c r="V15" s="1818"/>
      <c r="W15" s="1818"/>
      <c r="X15" s="1818"/>
      <c r="Y15" s="1818"/>
      <c r="Z15" s="1818"/>
      <c r="AA15" s="1818"/>
      <c r="AB15" s="1818"/>
      <c r="AC15" s="1818"/>
      <c r="AD15" s="1819"/>
      <c r="AF15" s="780"/>
      <c r="AG15" s="1319"/>
      <c r="AH15" s="1058"/>
      <c r="AI15" s="509"/>
      <c r="AJ15" s="787"/>
      <c r="AK15" s="783"/>
      <c r="AL15" s="845"/>
    </row>
    <row r="16" spans="1:39" s="650" customFormat="1" ht="60">
      <c r="A16" s="647" t="s">
        <v>11</v>
      </c>
      <c r="B16" s="1681" t="s">
        <v>12</v>
      </c>
      <c r="C16" s="649" t="s">
        <v>13</v>
      </c>
      <c r="D16" s="649" t="s">
        <v>14</v>
      </c>
      <c r="E16" s="649" t="s">
        <v>457</v>
      </c>
      <c r="F16" s="649" t="s">
        <v>409</v>
      </c>
      <c r="G16" s="649" t="s">
        <v>16</v>
      </c>
      <c r="H16" s="2144"/>
      <c r="I16" s="2141" t="s">
        <v>501</v>
      </c>
      <c r="J16" s="938" t="s">
        <v>94</v>
      </c>
      <c r="K16" s="705" t="s">
        <v>129</v>
      </c>
      <c r="L16" s="711" t="s">
        <v>1225</v>
      </c>
      <c r="M16" s="705" t="s">
        <v>17</v>
      </c>
      <c r="N16" s="1634" t="s">
        <v>96</v>
      </c>
      <c r="O16" s="1635" t="s">
        <v>115</v>
      </c>
      <c r="P16" s="1636" t="s">
        <v>97</v>
      </c>
      <c r="Q16" s="1820" t="s">
        <v>98</v>
      </c>
      <c r="R16" s="1635" t="s">
        <v>99</v>
      </c>
      <c r="S16" s="1635" t="s">
        <v>100</v>
      </c>
      <c r="T16" s="1635" t="s">
        <v>101</v>
      </c>
      <c r="U16" s="1635" t="s">
        <v>102</v>
      </c>
      <c r="V16" s="1635" t="s">
        <v>103</v>
      </c>
      <c r="W16" s="1635" t="s">
        <v>104</v>
      </c>
      <c r="X16" s="1635" t="s">
        <v>105</v>
      </c>
      <c r="Y16" s="1635" t="s">
        <v>106</v>
      </c>
      <c r="Z16" s="1635" t="s">
        <v>107</v>
      </c>
      <c r="AA16" s="1635" t="s">
        <v>108</v>
      </c>
      <c r="AB16" s="1948" t="s">
        <v>109</v>
      </c>
      <c r="AC16" s="1820" t="s">
        <v>110</v>
      </c>
      <c r="AD16" s="1821" t="s">
        <v>111</v>
      </c>
      <c r="AF16" s="846" t="s">
        <v>122</v>
      </c>
      <c r="AG16" s="847" t="s">
        <v>113</v>
      </c>
      <c r="AH16" s="847" t="s">
        <v>114</v>
      </c>
      <c r="AI16" s="1053" t="s">
        <v>118</v>
      </c>
      <c r="AJ16" s="847" t="s">
        <v>121</v>
      </c>
      <c r="AK16" s="1181" t="s">
        <v>128</v>
      </c>
      <c r="AL16" s="845"/>
      <c r="AM16" s="650" t="s">
        <v>1219</v>
      </c>
    </row>
    <row r="17" spans="1:39" s="633" customFormat="1" ht="15">
      <c r="A17" s="651" t="s">
        <v>865</v>
      </c>
      <c r="B17" s="1963">
        <f>B18+B25+B59+B89+B92+B99+B107+B116+B123+B128+B133+B136+B142+B147+B154</f>
        <v>12506701658</v>
      </c>
      <c r="C17" s="269"/>
      <c r="D17" s="96"/>
      <c r="E17" s="96"/>
      <c r="F17" s="96"/>
      <c r="G17" s="96"/>
      <c r="H17" s="631"/>
      <c r="I17" s="1637"/>
      <c r="J17" s="1638"/>
      <c r="K17" s="1639"/>
      <c r="L17" s="1640"/>
      <c r="M17" s="1641"/>
      <c r="N17" s="1640"/>
      <c r="O17" s="1642"/>
      <c r="P17" s="1643"/>
      <c r="Q17" s="1822"/>
      <c r="R17" s="1850"/>
      <c r="S17" s="1850"/>
      <c r="T17" s="1850"/>
      <c r="U17" s="1850"/>
      <c r="V17" s="1850"/>
      <c r="W17" s="1850"/>
      <c r="X17" s="1850"/>
      <c r="Y17" s="1850"/>
      <c r="Z17" s="1850"/>
      <c r="AA17" s="1850"/>
      <c r="AB17" s="1823"/>
      <c r="AC17" s="1822"/>
      <c r="AD17" s="1823"/>
      <c r="AF17" s="1183"/>
      <c r="AG17" s="652"/>
      <c r="AH17" s="652"/>
      <c r="AI17" s="652"/>
      <c r="AJ17" s="1850"/>
      <c r="AK17" s="653"/>
      <c r="AL17" s="845"/>
    </row>
    <row r="18" spans="1:39" s="654" customFormat="1" ht="35.25" customHeight="1">
      <c r="A18" s="651" t="s">
        <v>864</v>
      </c>
      <c r="B18" s="1964">
        <f>499999999-381750837-26924431-16500-91308231</f>
        <v>0</v>
      </c>
      <c r="C18" s="269" t="s">
        <v>36</v>
      </c>
      <c r="D18" s="757" t="s">
        <v>830</v>
      </c>
      <c r="E18" s="757" t="s">
        <v>1651</v>
      </c>
      <c r="F18" s="757" t="s">
        <v>1652</v>
      </c>
      <c r="G18" s="757" t="s">
        <v>79</v>
      </c>
      <c r="H18" s="2145" t="s">
        <v>1643</v>
      </c>
      <c r="I18" s="1644"/>
      <c r="J18" s="1645">
        <v>0</v>
      </c>
      <c r="K18" s="1646"/>
      <c r="L18" s="1647"/>
      <c r="M18" s="1648"/>
      <c r="N18" s="1647"/>
      <c r="O18" s="1649"/>
      <c r="P18" s="1643"/>
      <c r="Q18" s="1822"/>
      <c r="R18" s="1850"/>
      <c r="S18" s="1850"/>
      <c r="T18" s="1850"/>
      <c r="U18" s="1850"/>
      <c r="V18" s="1850"/>
      <c r="W18" s="1850"/>
      <c r="X18" s="1850"/>
      <c r="Y18" s="1850"/>
      <c r="Z18" s="1850"/>
      <c r="AA18" s="1850"/>
      <c r="AB18" s="1823"/>
      <c r="AC18" s="1822"/>
      <c r="AD18" s="1823"/>
      <c r="AF18" s="1183"/>
      <c r="AG18" s="652"/>
      <c r="AH18" s="652"/>
      <c r="AI18" s="652"/>
      <c r="AJ18" s="1850"/>
      <c r="AK18" s="653"/>
      <c r="AL18" s="845"/>
      <c r="AM18" s="1517"/>
    </row>
    <row r="19" spans="1:39" s="654" customFormat="1" ht="15" customHeight="1">
      <c r="A19" s="772" t="s">
        <v>866</v>
      </c>
      <c r="B19" s="1965">
        <f>M19</f>
        <v>0</v>
      </c>
      <c r="C19" s="95" t="s">
        <v>36</v>
      </c>
      <c r="D19" s="96" t="s">
        <v>830</v>
      </c>
      <c r="E19" s="96" t="s">
        <v>1651</v>
      </c>
      <c r="F19" s="96" t="s">
        <v>1652</v>
      </c>
      <c r="G19" s="96" t="s">
        <v>79</v>
      </c>
      <c r="H19" s="631" t="s">
        <v>1643</v>
      </c>
      <c r="I19" s="2142">
        <v>320</v>
      </c>
      <c r="J19" s="1650">
        <v>627</v>
      </c>
      <c r="K19" s="1651">
        <v>389542533</v>
      </c>
      <c r="L19" s="1652">
        <v>712</v>
      </c>
      <c r="M19" s="1659">
        <f>389542533-389542533</f>
        <v>0</v>
      </c>
      <c r="N19" s="1586"/>
      <c r="O19" s="1654"/>
      <c r="P19" s="1655"/>
      <c r="Q19" s="1851"/>
      <c r="R19" s="1852"/>
      <c r="S19" s="1852"/>
      <c r="T19" s="1852"/>
      <c r="U19" s="1852"/>
      <c r="V19" s="1852"/>
      <c r="W19" s="1852"/>
      <c r="X19" s="1852"/>
      <c r="Y19" s="1852"/>
      <c r="Z19" s="1852"/>
      <c r="AA19" s="1852"/>
      <c r="AB19" s="1853"/>
      <c r="AC19" s="1824">
        <f>SUM(Q19:AB19)</f>
        <v>0</v>
      </c>
      <c r="AD19" s="1825">
        <f>O19-AC19</f>
        <v>0</v>
      </c>
      <c r="AE19" s="1918"/>
      <c r="AF19" s="848">
        <v>320</v>
      </c>
      <c r="AG19" s="1291" t="s">
        <v>1242</v>
      </c>
      <c r="AH19" s="1060" t="s">
        <v>173</v>
      </c>
      <c r="AI19" s="1048">
        <f>P19</f>
        <v>0</v>
      </c>
      <c r="AJ19" s="849">
        <f>417804600-417804600</f>
        <v>0</v>
      </c>
      <c r="AK19" s="851">
        <f>AJ19-O19</f>
        <v>0</v>
      </c>
      <c r="AL19" s="845"/>
      <c r="AM19" s="1518">
        <f>AJ19-M19</f>
        <v>0</v>
      </c>
    </row>
    <row r="20" spans="1:39" s="654" customFormat="1" ht="15" customHeight="1">
      <c r="A20" s="772" t="s">
        <v>866</v>
      </c>
      <c r="B20" s="1965">
        <f>M20</f>
        <v>0</v>
      </c>
      <c r="C20" s="95" t="s">
        <v>36</v>
      </c>
      <c r="D20" s="96" t="s">
        <v>830</v>
      </c>
      <c r="E20" s="96" t="s">
        <v>1651</v>
      </c>
      <c r="F20" s="96" t="s">
        <v>1652</v>
      </c>
      <c r="G20" s="96" t="s">
        <v>79</v>
      </c>
      <c r="H20" s="631" t="s">
        <v>1643</v>
      </c>
      <c r="I20" s="2142" t="s">
        <v>148</v>
      </c>
      <c r="J20" s="1650">
        <v>0</v>
      </c>
      <c r="K20" s="1651"/>
      <c r="L20" s="1652"/>
      <c r="M20" s="1659"/>
      <c r="N20" s="1586"/>
      <c r="O20" s="1654"/>
      <c r="P20" s="1655"/>
      <c r="Q20" s="1851"/>
      <c r="R20" s="1852"/>
      <c r="S20" s="1852"/>
      <c r="T20" s="1852"/>
      <c r="U20" s="1852"/>
      <c r="V20" s="1852"/>
      <c r="W20" s="1852"/>
      <c r="X20" s="1852"/>
      <c r="Y20" s="1852"/>
      <c r="Z20" s="1852"/>
      <c r="AA20" s="1852"/>
      <c r="AB20" s="1853"/>
      <c r="AC20" s="1824">
        <f>SUM(Q20:AB20)</f>
        <v>0</v>
      </c>
      <c r="AD20" s="1825">
        <f>O20-AC20</f>
        <v>0</v>
      </c>
      <c r="AF20" s="848" t="s">
        <v>148</v>
      </c>
      <c r="AG20" s="1291" t="s">
        <v>463</v>
      </c>
      <c r="AH20" s="1060" t="s">
        <v>173</v>
      </c>
      <c r="AI20" s="1048">
        <f>P20</f>
        <v>0</v>
      </c>
      <c r="AJ20" s="849">
        <f>6000000-6000000</f>
        <v>0</v>
      </c>
      <c r="AK20" s="851">
        <f>AJ20-O20</f>
        <v>0</v>
      </c>
      <c r="AL20" s="845"/>
      <c r="AM20" s="1518">
        <f>AJ20-M20</f>
        <v>0</v>
      </c>
    </row>
    <row r="21" spans="1:39" s="654" customFormat="1" ht="15" customHeight="1">
      <c r="A21" s="772" t="s">
        <v>866</v>
      </c>
      <c r="B21" s="1965">
        <f>M21</f>
        <v>0</v>
      </c>
      <c r="C21" s="95" t="s">
        <v>36</v>
      </c>
      <c r="D21" s="96" t="s">
        <v>830</v>
      </c>
      <c r="E21" s="96" t="s">
        <v>1651</v>
      </c>
      <c r="F21" s="96" t="s">
        <v>1652</v>
      </c>
      <c r="G21" s="96" t="s">
        <v>79</v>
      </c>
      <c r="H21" s="631" t="s">
        <v>1643</v>
      </c>
      <c r="I21" s="2142">
        <v>321</v>
      </c>
      <c r="J21" s="1650">
        <v>0</v>
      </c>
      <c r="K21" s="1651"/>
      <c r="L21" s="1652"/>
      <c r="M21" s="1659"/>
      <c r="N21" s="1586"/>
      <c r="O21" s="1654"/>
      <c r="P21" s="1655"/>
      <c r="Q21" s="1851"/>
      <c r="R21" s="1852"/>
      <c r="S21" s="1852"/>
      <c r="T21" s="1852"/>
      <c r="U21" s="1852"/>
      <c r="V21" s="1852"/>
      <c r="W21" s="1852"/>
      <c r="X21" s="1852"/>
      <c r="Y21" s="1852"/>
      <c r="Z21" s="1852"/>
      <c r="AA21" s="1852"/>
      <c r="AB21" s="1853"/>
      <c r="AC21" s="1824">
        <f>SUM(Q21:AB21)</f>
        <v>0</v>
      </c>
      <c r="AD21" s="1825">
        <f>O21-AC21</f>
        <v>0</v>
      </c>
      <c r="AF21" s="848">
        <v>321</v>
      </c>
      <c r="AG21" s="1291" t="s">
        <v>1243</v>
      </c>
      <c r="AH21" s="1060" t="s">
        <v>173</v>
      </c>
      <c r="AI21" s="1048">
        <f>P21</f>
        <v>0</v>
      </c>
      <c r="AJ21" s="849">
        <f>76195399+6000000-82195399</f>
        <v>0</v>
      </c>
      <c r="AK21" s="851">
        <f>AJ21-O21</f>
        <v>0</v>
      </c>
      <c r="AL21" s="845"/>
      <c r="AM21" s="1518">
        <f>AJ21-M21</f>
        <v>0</v>
      </c>
    </row>
    <row r="22" spans="1:39" s="654" customFormat="1" ht="15" customHeight="1">
      <c r="A22" s="772" t="s">
        <v>866</v>
      </c>
      <c r="B22" s="1965">
        <f>M22</f>
        <v>0</v>
      </c>
      <c r="C22" s="95" t="s">
        <v>36</v>
      </c>
      <c r="D22" s="96" t="s">
        <v>830</v>
      </c>
      <c r="E22" s="96" t="s">
        <v>1651</v>
      </c>
      <c r="F22" s="96" t="s">
        <v>1652</v>
      </c>
      <c r="G22" s="96" t="s">
        <v>79</v>
      </c>
      <c r="H22" s="631" t="s">
        <v>1643</v>
      </c>
      <c r="I22" s="1656" t="s">
        <v>173</v>
      </c>
      <c r="J22" s="1650">
        <v>0</v>
      </c>
      <c r="K22" s="1651"/>
      <c r="L22" s="1657"/>
      <c r="M22" s="1659"/>
      <c r="N22" s="1586"/>
      <c r="O22" s="1654"/>
      <c r="P22" s="1655"/>
      <c r="Q22" s="1851"/>
      <c r="R22" s="1852"/>
      <c r="S22" s="1852"/>
      <c r="T22" s="1852"/>
      <c r="U22" s="1852"/>
      <c r="V22" s="1852"/>
      <c r="W22" s="1852"/>
      <c r="X22" s="1852"/>
      <c r="Y22" s="1852"/>
      <c r="Z22" s="1852"/>
      <c r="AA22" s="1852"/>
      <c r="AB22" s="1853"/>
      <c r="AC22" s="1824">
        <f>SUM(Q22:AB22)</f>
        <v>0</v>
      </c>
      <c r="AD22" s="1825">
        <f>O22-AC22</f>
        <v>0</v>
      </c>
      <c r="AF22" s="848"/>
      <c r="AG22" s="1291"/>
      <c r="AH22" s="1060" t="s">
        <v>173</v>
      </c>
      <c r="AI22" s="1048">
        <f>P22</f>
        <v>0</v>
      </c>
      <c r="AJ22" s="849"/>
      <c r="AK22" s="851">
        <f>AJ22-O22</f>
        <v>0</v>
      </c>
      <c r="AL22" s="845"/>
      <c r="AM22" s="1518">
        <f t="shared" ref="AM22:AM23" si="0">AJ22-M22</f>
        <v>0</v>
      </c>
    </row>
    <row r="23" spans="1:39" s="633" customFormat="1" ht="15" customHeight="1">
      <c r="A23" s="772" t="s">
        <v>866</v>
      </c>
      <c r="B23" s="1965">
        <f>M23</f>
        <v>0</v>
      </c>
      <c r="C23" s="95" t="s">
        <v>36</v>
      </c>
      <c r="D23" s="96" t="s">
        <v>830</v>
      </c>
      <c r="E23" s="96" t="s">
        <v>1651</v>
      </c>
      <c r="F23" s="96" t="s">
        <v>1652</v>
      </c>
      <c r="G23" s="96" t="s">
        <v>79</v>
      </c>
      <c r="H23" s="631" t="s">
        <v>1643</v>
      </c>
      <c r="I23" s="1656" t="s">
        <v>173</v>
      </c>
      <c r="J23" s="1650">
        <v>0</v>
      </c>
      <c r="K23" s="1651"/>
      <c r="L23" s="1658"/>
      <c r="M23" s="1659"/>
      <c r="N23" s="1586"/>
      <c r="O23" s="1604"/>
      <c r="P23" s="1655"/>
      <c r="Q23" s="1851"/>
      <c r="R23" s="1852"/>
      <c r="S23" s="1852"/>
      <c r="T23" s="1852"/>
      <c r="U23" s="1852"/>
      <c r="V23" s="1852"/>
      <c r="W23" s="1852"/>
      <c r="X23" s="1852"/>
      <c r="Y23" s="1852"/>
      <c r="Z23" s="1852"/>
      <c r="AA23" s="1852"/>
      <c r="AB23" s="1853"/>
      <c r="AC23" s="1824">
        <f>SUM(Q23:AB23)</f>
        <v>0</v>
      </c>
      <c r="AD23" s="1825">
        <f>O23-AC23</f>
        <v>0</v>
      </c>
      <c r="AF23" s="848" t="s">
        <v>325</v>
      </c>
      <c r="AG23" s="1291" t="s">
        <v>493</v>
      </c>
      <c r="AH23" s="1060" t="s">
        <v>173</v>
      </c>
      <c r="AI23" s="1048">
        <f>P23</f>
        <v>0</v>
      </c>
      <c r="AJ23" s="849">
        <f>118249162-21364431-5560000-91324731+91324731-3400-13100-91308231</f>
        <v>0</v>
      </c>
      <c r="AK23" s="851">
        <f>AJ23-O23</f>
        <v>0</v>
      </c>
      <c r="AL23" s="845"/>
      <c r="AM23" s="1518">
        <f t="shared" si="0"/>
        <v>0</v>
      </c>
    </row>
    <row r="24" spans="1:39" s="633" customFormat="1" ht="15">
      <c r="A24" s="655" t="s">
        <v>80</v>
      </c>
      <c r="B24" s="1966">
        <f>B18-SUM(B19:B23)</f>
        <v>0</v>
      </c>
      <c r="C24" s="656"/>
      <c r="D24" s="656"/>
      <c r="E24" s="656"/>
      <c r="F24" s="656"/>
      <c r="G24" s="656"/>
      <c r="H24" s="2146"/>
      <c r="I24" s="1660"/>
      <c r="J24" s="1661"/>
      <c r="K24" s="1662"/>
      <c r="L24" s="1589"/>
      <c r="M24" s="1663">
        <f>SUM(M19:M23)</f>
        <v>0</v>
      </c>
      <c r="N24" s="1589"/>
      <c r="O24" s="1663">
        <f>SUM(O19:O23)</f>
        <v>0</v>
      </c>
      <c r="P24" s="1664"/>
      <c r="Q24" s="1663">
        <f t="shared" ref="Q24:AD24" si="1">SUM(Q19:Q23)</f>
        <v>0</v>
      </c>
      <c r="R24" s="1663">
        <f t="shared" si="1"/>
        <v>0</v>
      </c>
      <c r="S24" s="1663">
        <f t="shared" si="1"/>
        <v>0</v>
      </c>
      <c r="T24" s="1663">
        <f t="shared" si="1"/>
        <v>0</v>
      </c>
      <c r="U24" s="1663">
        <f t="shared" si="1"/>
        <v>0</v>
      </c>
      <c r="V24" s="1663">
        <f t="shared" si="1"/>
        <v>0</v>
      </c>
      <c r="W24" s="1663">
        <f t="shared" si="1"/>
        <v>0</v>
      </c>
      <c r="X24" s="1663">
        <f t="shared" si="1"/>
        <v>0</v>
      </c>
      <c r="Y24" s="1663">
        <f t="shared" si="1"/>
        <v>0</v>
      </c>
      <c r="Z24" s="1663">
        <f t="shared" si="1"/>
        <v>0</v>
      </c>
      <c r="AA24" s="1663">
        <f t="shared" si="1"/>
        <v>0</v>
      </c>
      <c r="AB24" s="1826">
        <f t="shared" si="1"/>
        <v>0</v>
      </c>
      <c r="AC24" s="1662">
        <f t="shared" si="1"/>
        <v>0</v>
      </c>
      <c r="AD24" s="1826">
        <f t="shared" si="1"/>
        <v>0</v>
      </c>
      <c r="AF24" s="852"/>
      <c r="AG24" s="14"/>
      <c r="AH24" s="14"/>
      <c r="AI24" s="1052"/>
      <c r="AJ24" s="1663">
        <f>SUM(AJ19:AJ23)</f>
        <v>0</v>
      </c>
      <c r="AK24" s="181">
        <f>SUM(AK19:AK23)</f>
        <v>0</v>
      </c>
      <c r="AL24" s="1872">
        <f>B18-AJ24</f>
        <v>0</v>
      </c>
    </row>
    <row r="25" spans="1:39" s="633" customFormat="1" ht="24" customHeight="1">
      <c r="A25" s="1862" t="s">
        <v>1342</v>
      </c>
      <c r="B25" s="1964">
        <f>B26+B35+B39+B43+B47+B51+B55</f>
        <v>3218613548</v>
      </c>
      <c r="C25" s="1878"/>
      <c r="D25" s="1879"/>
      <c r="E25" s="1879"/>
      <c r="F25" s="1879"/>
      <c r="G25" s="1879"/>
      <c r="H25" s="2147"/>
      <c r="I25" s="1880"/>
      <c r="J25" s="1881"/>
      <c r="K25" s="1882"/>
      <c r="L25" s="1883"/>
      <c r="M25" s="1884"/>
      <c r="N25" s="1883"/>
      <c r="O25" s="1884"/>
      <c r="P25" s="1885"/>
      <c r="Q25" s="1884"/>
      <c r="R25" s="1884"/>
      <c r="S25" s="1884"/>
      <c r="T25" s="1884"/>
      <c r="U25" s="1884"/>
      <c r="V25" s="1884"/>
      <c r="W25" s="1884"/>
      <c r="X25" s="1884"/>
      <c r="Y25" s="1884"/>
      <c r="Z25" s="1884"/>
      <c r="AA25" s="1884"/>
      <c r="AB25" s="1886"/>
      <c r="AC25" s="1882"/>
      <c r="AD25" s="1886"/>
      <c r="AF25" s="852"/>
      <c r="AG25" s="14"/>
      <c r="AH25" s="14"/>
      <c r="AI25" s="1052"/>
      <c r="AJ25" s="1663"/>
      <c r="AK25" s="181"/>
      <c r="AL25" s="845"/>
    </row>
    <row r="26" spans="1:39" s="633" customFormat="1" ht="28.5" customHeight="1">
      <c r="A26" s="1862" t="s">
        <v>1307</v>
      </c>
      <c r="B26" s="1967">
        <f>251888417+696521069+8275133-293288417</f>
        <v>663396202</v>
      </c>
      <c r="C26" s="1863" t="s">
        <v>36</v>
      </c>
      <c r="D26" s="1864" t="s">
        <v>830</v>
      </c>
      <c r="E26" s="1864" t="s">
        <v>1651</v>
      </c>
      <c r="F26" s="1864" t="s">
        <v>1652</v>
      </c>
      <c r="G26" s="1864" t="s">
        <v>79</v>
      </c>
      <c r="H26" s="2148" t="s">
        <v>1643</v>
      </c>
      <c r="I26" s="1868"/>
      <c r="J26" s="1538"/>
      <c r="K26" s="1538"/>
      <c r="L26" s="1538"/>
      <c r="M26" s="1538"/>
      <c r="N26" s="1538"/>
      <c r="O26" s="1538"/>
      <c r="P26" s="1538"/>
      <c r="Q26" s="1538"/>
      <c r="R26" s="1538"/>
      <c r="S26" s="1538"/>
      <c r="T26" s="1538"/>
      <c r="U26" s="1538"/>
      <c r="V26" s="1538"/>
      <c r="W26" s="1538"/>
      <c r="X26" s="1538"/>
      <c r="Y26" s="1538"/>
      <c r="Z26" s="1538"/>
      <c r="AA26" s="1538"/>
      <c r="AB26" s="1867"/>
      <c r="AC26" s="1868"/>
      <c r="AD26" s="1867"/>
      <c r="AE26" s="1367"/>
      <c r="AF26" s="1368"/>
      <c r="AG26" s="1275"/>
      <c r="AH26" s="1275"/>
      <c r="AI26" s="1275"/>
      <c r="AJ26" s="1665"/>
      <c r="AK26" s="1369"/>
      <c r="AL26" s="845"/>
    </row>
    <row r="27" spans="1:39" s="633" customFormat="1" ht="15" customHeight="1">
      <c r="A27" s="1877" t="s">
        <v>1307</v>
      </c>
      <c r="B27" s="1610">
        <f t="shared" ref="B27:B33" si="2">M27</f>
        <v>0</v>
      </c>
      <c r="C27" s="1865" t="s">
        <v>36</v>
      </c>
      <c r="D27" s="1866" t="s">
        <v>830</v>
      </c>
      <c r="E27" s="1866" t="s">
        <v>1651</v>
      </c>
      <c r="F27" s="1866" t="s">
        <v>1652</v>
      </c>
      <c r="G27" s="1866" t="s">
        <v>79</v>
      </c>
      <c r="H27" s="2149" t="s">
        <v>1643</v>
      </c>
      <c r="I27" s="1525" t="s">
        <v>325</v>
      </c>
      <c r="J27" s="1685">
        <v>542</v>
      </c>
      <c r="K27" s="1462">
        <f>251888417-251888417</f>
        <v>0</v>
      </c>
      <c r="L27" s="1583">
        <v>624</v>
      </c>
      <c r="M27" s="1462">
        <f>251888417-251888417</f>
        <v>0</v>
      </c>
      <c r="N27" s="1583"/>
      <c r="O27" s="1462"/>
      <c r="P27" s="1668" t="s">
        <v>1305</v>
      </c>
      <c r="Q27" s="1686"/>
      <c r="R27" s="1687"/>
      <c r="S27" s="1687"/>
      <c r="T27" s="1687"/>
      <c r="U27" s="1687"/>
      <c r="V27" s="1687"/>
      <c r="W27" s="1687"/>
      <c r="X27" s="1687"/>
      <c r="Y27" s="1687"/>
      <c r="Z27" s="1687"/>
      <c r="AA27" s="1687"/>
      <c r="AB27" s="1949"/>
      <c r="AC27" s="1824">
        <f t="shared" ref="AC27:AC33" si="3">SUM(Q27:AB27)</f>
        <v>0</v>
      </c>
      <c r="AD27" s="1825">
        <f t="shared" ref="AD27:AD33" si="4">O27-AC27</f>
        <v>0</v>
      </c>
      <c r="AF27" s="891" t="s">
        <v>325</v>
      </c>
      <c r="AG27" s="1286" t="s">
        <v>1084</v>
      </c>
      <c r="AH27" s="7"/>
      <c r="AI27" s="1048" t="str">
        <f t="shared" ref="AI27:AI33" si="5">P27</f>
        <v>460-2018</v>
      </c>
      <c r="AJ27" s="1462">
        <f>251888417-251888417</f>
        <v>0</v>
      </c>
      <c r="AK27" s="851">
        <f t="shared" ref="AK27:AK33" si="6">AJ27-O27</f>
        <v>0</v>
      </c>
      <c r="AL27" s="845"/>
      <c r="AM27" s="1518">
        <f t="shared" ref="AM27:AM33" si="7">AJ27-M27</f>
        <v>0</v>
      </c>
    </row>
    <row r="28" spans="1:39" s="633" customFormat="1" ht="15" customHeight="1">
      <c r="A28" s="1877" t="s">
        <v>1307</v>
      </c>
      <c r="B28" s="1610">
        <f t="shared" si="2"/>
        <v>254727940</v>
      </c>
      <c r="C28" s="1865" t="s">
        <v>36</v>
      </c>
      <c r="D28" s="1866" t="s">
        <v>830</v>
      </c>
      <c r="E28" s="1866" t="s">
        <v>1651</v>
      </c>
      <c r="F28" s="1866" t="s">
        <v>1652</v>
      </c>
      <c r="G28" s="1866" t="s">
        <v>79</v>
      </c>
      <c r="H28" s="2149" t="s">
        <v>1643</v>
      </c>
      <c r="I28" s="1525" t="s">
        <v>325</v>
      </c>
      <c r="J28" s="1685">
        <v>691</v>
      </c>
      <c r="K28" s="1562">
        <v>548016357</v>
      </c>
      <c r="L28" s="1583">
        <v>793</v>
      </c>
      <c r="M28" s="1562">
        <f>548016357-293288417</f>
        <v>254727940</v>
      </c>
      <c r="N28" s="1583">
        <v>1004</v>
      </c>
      <c r="O28" s="1462">
        <v>254727940</v>
      </c>
      <c r="P28" s="1668" t="s">
        <v>1305</v>
      </c>
      <c r="Q28" s="1686"/>
      <c r="R28" s="1687"/>
      <c r="S28" s="1687"/>
      <c r="T28" s="1687"/>
      <c r="U28" s="1687"/>
      <c r="V28" s="1687"/>
      <c r="W28" s="1687"/>
      <c r="X28" s="1687"/>
      <c r="Y28" s="1687"/>
      <c r="Z28" s="1687"/>
      <c r="AA28" s="1687"/>
      <c r="AB28" s="1949"/>
      <c r="AC28" s="1824">
        <f t="shared" si="3"/>
        <v>0</v>
      </c>
      <c r="AD28" s="1825">
        <f t="shared" si="4"/>
        <v>254727940</v>
      </c>
      <c r="AE28" s="1917"/>
      <c r="AF28" s="891" t="s">
        <v>325</v>
      </c>
      <c r="AG28" s="1286" t="s">
        <v>1309</v>
      </c>
      <c r="AH28" s="7"/>
      <c r="AI28" s="1048" t="str">
        <f t="shared" si="5"/>
        <v>460-2018</v>
      </c>
      <c r="AJ28" s="1462">
        <f>296127940+251888417-44127275+44127275-293288417</f>
        <v>254727940</v>
      </c>
      <c r="AK28" s="851">
        <f t="shared" si="6"/>
        <v>0</v>
      </c>
      <c r="AL28" s="845"/>
      <c r="AM28" s="1518">
        <f t="shared" si="7"/>
        <v>0</v>
      </c>
    </row>
    <row r="29" spans="1:39" s="633" customFormat="1" ht="15" customHeight="1">
      <c r="A29" s="1877" t="s">
        <v>1307</v>
      </c>
      <c r="B29" s="1610">
        <f t="shared" si="2"/>
        <v>263213470</v>
      </c>
      <c r="C29" s="1865" t="s">
        <v>36</v>
      </c>
      <c r="D29" s="1866" t="s">
        <v>830</v>
      </c>
      <c r="E29" s="1866" t="s">
        <v>1651</v>
      </c>
      <c r="F29" s="1866" t="s">
        <v>1652</v>
      </c>
      <c r="G29" s="1866" t="s">
        <v>79</v>
      </c>
      <c r="H29" s="2149" t="s">
        <v>1643</v>
      </c>
      <c r="I29" s="1525" t="s">
        <v>325</v>
      </c>
      <c r="J29" s="1685">
        <v>692</v>
      </c>
      <c r="K29" s="1562">
        <v>400393129</v>
      </c>
      <c r="L29" s="1583">
        <v>791</v>
      </c>
      <c r="M29" s="1462">
        <f>400393129-137179659</f>
        <v>263213470</v>
      </c>
      <c r="N29" s="1583">
        <v>1139</v>
      </c>
      <c r="O29" s="1462">
        <v>263213470</v>
      </c>
      <c r="P29" s="1668" t="s">
        <v>1397</v>
      </c>
      <c r="Q29" s="1686"/>
      <c r="R29" s="1687"/>
      <c r="S29" s="1687"/>
      <c r="T29" s="1687"/>
      <c r="U29" s="1687"/>
      <c r="V29" s="1687"/>
      <c r="W29" s="1687"/>
      <c r="X29" s="1687"/>
      <c r="Y29" s="1687"/>
      <c r="Z29" s="1687"/>
      <c r="AA29" s="1687"/>
      <c r="AB29" s="1949">
        <v>113432337</v>
      </c>
      <c r="AC29" s="1824">
        <f t="shared" si="3"/>
        <v>113432337</v>
      </c>
      <c r="AD29" s="1825">
        <f t="shared" si="4"/>
        <v>149781133</v>
      </c>
      <c r="AF29" s="891" t="s">
        <v>325</v>
      </c>
      <c r="AG29" s="1286" t="s">
        <v>1310</v>
      </c>
      <c r="AH29" s="7"/>
      <c r="AI29" s="1048" t="str">
        <f t="shared" si="5"/>
        <v>468-2018</v>
      </c>
      <c r="AJ29" s="1462">
        <v>400393129</v>
      </c>
      <c r="AK29" s="851">
        <f t="shared" si="6"/>
        <v>137179659</v>
      </c>
      <c r="AL29" s="845"/>
      <c r="AM29" s="1518">
        <f t="shared" si="7"/>
        <v>137179659</v>
      </c>
    </row>
    <row r="30" spans="1:39" s="633" customFormat="1" ht="15" customHeight="1">
      <c r="A30" s="1877" t="s">
        <v>1307</v>
      </c>
      <c r="B30" s="1610">
        <f t="shared" si="2"/>
        <v>8275133</v>
      </c>
      <c r="C30" s="1865" t="s">
        <v>36</v>
      </c>
      <c r="D30" s="1866" t="s">
        <v>830</v>
      </c>
      <c r="E30" s="1866" t="s">
        <v>181</v>
      </c>
      <c r="F30" s="1866" t="s">
        <v>1652</v>
      </c>
      <c r="G30" s="1866" t="s">
        <v>79</v>
      </c>
      <c r="H30" s="2149" t="s">
        <v>1643</v>
      </c>
      <c r="I30" s="1666" t="s">
        <v>173</v>
      </c>
      <c r="J30" s="1685" t="s">
        <v>1558</v>
      </c>
      <c r="K30" s="1562">
        <v>8275133</v>
      </c>
      <c r="L30" s="1583">
        <v>934</v>
      </c>
      <c r="M30" s="1462">
        <v>8275133</v>
      </c>
      <c r="N30" s="1583">
        <v>1061</v>
      </c>
      <c r="O30" s="1462">
        <v>8275133</v>
      </c>
      <c r="P30" s="1668" t="s">
        <v>1512</v>
      </c>
      <c r="Q30" s="1686"/>
      <c r="R30" s="1687"/>
      <c r="S30" s="1687"/>
      <c r="T30" s="1687"/>
      <c r="U30" s="1687"/>
      <c r="V30" s="1687"/>
      <c r="W30" s="1687"/>
      <c r="X30" s="1687"/>
      <c r="Y30" s="1687"/>
      <c r="Z30" s="1687"/>
      <c r="AA30" s="1687"/>
      <c r="AB30" s="1949">
        <v>2993133</v>
      </c>
      <c r="AC30" s="1824">
        <f t="shared" si="3"/>
        <v>2993133</v>
      </c>
      <c r="AD30" s="1825">
        <f t="shared" si="4"/>
        <v>5282000</v>
      </c>
      <c r="AF30" s="891" t="s">
        <v>325</v>
      </c>
      <c r="AG30" s="1286" t="s">
        <v>1559</v>
      </c>
      <c r="AH30" s="1286" t="s">
        <v>567</v>
      </c>
      <c r="AI30" s="1048" t="str">
        <f t="shared" si="5"/>
        <v>381</v>
      </c>
      <c r="AJ30" s="1462">
        <v>8275133</v>
      </c>
      <c r="AK30" s="851">
        <f t="shared" si="6"/>
        <v>0</v>
      </c>
      <c r="AL30" s="845"/>
      <c r="AM30" s="1518">
        <f t="shared" si="7"/>
        <v>0</v>
      </c>
    </row>
    <row r="31" spans="1:39" s="633" customFormat="1" ht="15">
      <c r="A31" s="1877" t="s">
        <v>1307</v>
      </c>
      <c r="B31" s="1610">
        <f t="shared" si="2"/>
        <v>0</v>
      </c>
      <c r="C31" s="1865" t="s">
        <v>36</v>
      </c>
      <c r="D31" s="1866" t="s">
        <v>830</v>
      </c>
      <c r="E31" s="1866" t="s">
        <v>182</v>
      </c>
      <c r="F31" s="1866" t="s">
        <v>1652</v>
      </c>
      <c r="G31" s="1866" t="s">
        <v>79</v>
      </c>
      <c r="H31" s="2149" t="s">
        <v>1643</v>
      </c>
      <c r="I31" s="1666" t="s">
        <v>173</v>
      </c>
      <c r="J31" s="1667"/>
      <c r="K31" s="1562"/>
      <c r="L31" s="1583"/>
      <c r="M31" s="1462"/>
      <c r="N31" s="1583"/>
      <c r="O31" s="1462"/>
      <c r="P31" s="1668"/>
      <c r="Q31" s="1686"/>
      <c r="R31" s="1687"/>
      <c r="S31" s="1687"/>
      <c r="T31" s="1687"/>
      <c r="U31" s="1687"/>
      <c r="V31" s="1687"/>
      <c r="W31" s="1687"/>
      <c r="X31" s="1687"/>
      <c r="Y31" s="1687"/>
      <c r="Z31" s="1687"/>
      <c r="AA31" s="1687"/>
      <c r="AB31" s="1949"/>
      <c r="AC31" s="1824">
        <f t="shared" si="3"/>
        <v>0</v>
      </c>
      <c r="AD31" s="1825">
        <f t="shared" si="4"/>
        <v>0</v>
      </c>
      <c r="AF31" s="891"/>
      <c r="AG31" s="1286"/>
      <c r="AH31" s="7"/>
      <c r="AI31" s="1048">
        <f t="shared" si="5"/>
        <v>0</v>
      </c>
      <c r="AJ31" s="1462"/>
      <c r="AK31" s="851">
        <f t="shared" si="6"/>
        <v>0</v>
      </c>
      <c r="AL31" s="845"/>
      <c r="AM31" s="1518">
        <f t="shared" si="7"/>
        <v>0</v>
      </c>
    </row>
    <row r="32" spans="1:39" s="633" customFormat="1" ht="15">
      <c r="A32" s="1877" t="s">
        <v>1307</v>
      </c>
      <c r="B32" s="1610">
        <f t="shared" si="2"/>
        <v>0</v>
      </c>
      <c r="C32" s="1865" t="s">
        <v>36</v>
      </c>
      <c r="D32" s="1866" t="s">
        <v>830</v>
      </c>
      <c r="E32" s="1866" t="s">
        <v>183</v>
      </c>
      <c r="F32" s="1866" t="s">
        <v>1652</v>
      </c>
      <c r="G32" s="1866" t="s">
        <v>79</v>
      </c>
      <c r="H32" s="2149" t="s">
        <v>1643</v>
      </c>
      <c r="I32" s="1666" t="s">
        <v>173</v>
      </c>
      <c r="J32" s="1667"/>
      <c r="K32" s="1562"/>
      <c r="L32" s="1583"/>
      <c r="M32" s="1462"/>
      <c r="N32" s="1583"/>
      <c r="O32" s="1462"/>
      <c r="P32" s="1668"/>
      <c r="Q32" s="1686"/>
      <c r="R32" s="1687"/>
      <c r="S32" s="1687"/>
      <c r="T32" s="1687"/>
      <c r="U32" s="1687"/>
      <c r="V32" s="1687"/>
      <c r="W32" s="1687"/>
      <c r="X32" s="1687"/>
      <c r="Y32" s="1687"/>
      <c r="Z32" s="1687"/>
      <c r="AA32" s="1687"/>
      <c r="AB32" s="1949"/>
      <c r="AC32" s="1824">
        <f t="shared" si="3"/>
        <v>0</v>
      </c>
      <c r="AD32" s="1825">
        <f t="shared" si="4"/>
        <v>0</v>
      </c>
      <c r="AE32" s="1917"/>
      <c r="AF32" s="891"/>
      <c r="AG32" s="1286"/>
      <c r="AH32" s="7"/>
      <c r="AI32" s="1048">
        <f t="shared" si="5"/>
        <v>0</v>
      </c>
      <c r="AJ32" s="1462"/>
      <c r="AK32" s="851">
        <f t="shared" si="6"/>
        <v>0</v>
      </c>
      <c r="AL32" s="845"/>
      <c r="AM32" s="1518">
        <f t="shared" si="7"/>
        <v>0</v>
      </c>
    </row>
    <row r="33" spans="1:39" s="633" customFormat="1" ht="15">
      <c r="A33" s="1877" t="s">
        <v>1307</v>
      </c>
      <c r="B33" s="1610">
        <f t="shared" si="2"/>
        <v>0</v>
      </c>
      <c r="C33" s="1865" t="s">
        <v>36</v>
      </c>
      <c r="D33" s="1866" t="s">
        <v>830</v>
      </c>
      <c r="E33" s="1866" t="s">
        <v>1651</v>
      </c>
      <c r="F33" s="1866" t="s">
        <v>1652</v>
      </c>
      <c r="G33" s="1866" t="s">
        <v>79</v>
      </c>
      <c r="H33" s="2149" t="s">
        <v>1643</v>
      </c>
      <c r="I33" s="1666" t="s">
        <v>173</v>
      </c>
      <c r="J33" s="1667"/>
      <c r="K33" s="1562"/>
      <c r="L33" s="1583"/>
      <c r="M33" s="1462"/>
      <c r="N33" s="1583"/>
      <c r="O33" s="1462"/>
      <c r="P33" s="1668"/>
      <c r="Q33" s="1686"/>
      <c r="R33" s="1687"/>
      <c r="S33" s="1687"/>
      <c r="T33" s="1687"/>
      <c r="U33" s="1687"/>
      <c r="V33" s="1687"/>
      <c r="W33" s="1687"/>
      <c r="X33" s="1687"/>
      <c r="Y33" s="1687"/>
      <c r="Z33" s="1687"/>
      <c r="AA33" s="1687"/>
      <c r="AB33" s="1854"/>
      <c r="AC33" s="1824">
        <f t="shared" si="3"/>
        <v>0</v>
      </c>
      <c r="AD33" s="1825">
        <f t="shared" si="4"/>
        <v>0</v>
      </c>
      <c r="AF33" s="891"/>
      <c r="AG33" s="1245"/>
      <c r="AH33" s="7"/>
      <c r="AI33" s="1048">
        <f t="shared" si="5"/>
        <v>0</v>
      </c>
      <c r="AJ33" s="1462"/>
      <c r="AK33" s="851">
        <f t="shared" si="6"/>
        <v>0</v>
      </c>
      <c r="AL33" s="845"/>
      <c r="AM33" s="1518">
        <f t="shared" si="7"/>
        <v>0</v>
      </c>
    </row>
    <row r="34" spans="1:39" s="633" customFormat="1" ht="15">
      <c r="A34" s="655" t="s">
        <v>80</v>
      </c>
      <c r="B34" s="1966">
        <f>B26-SUM(B27:B33)</f>
        <v>137179659</v>
      </c>
      <c r="C34" s="656"/>
      <c r="D34" s="657"/>
      <c r="E34" s="657"/>
      <c r="F34" s="657"/>
      <c r="G34" s="657"/>
      <c r="H34" s="2150"/>
      <c r="I34" s="1669"/>
      <c r="J34" s="1661"/>
      <c r="K34" s="1662"/>
      <c r="L34" s="1589"/>
      <c r="M34" s="1663">
        <f>SUM(M27:M33)</f>
        <v>526216543</v>
      </c>
      <c r="N34" s="1589"/>
      <c r="O34" s="1663">
        <f>SUM(O27:O33)</f>
        <v>526216543</v>
      </c>
      <c r="P34" s="1664"/>
      <c r="Q34" s="1663">
        <f t="shared" ref="Q34:AD34" si="8">SUM(Q27:Q33)</f>
        <v>0</v>
      </c>
      <c r="R34" s="1663">
        <f t="shared" si="8"/>
        <v>0</v>
      </c>
      <c r="S34" s="1663">
        <f t="shared" si="8"/>
        <v>0</v>
      </c>
      <c r="T34" s="1663">
        <f t="shared" si="8"/>
        <v>0</v>
      </c>
      <c r="U34" s="1663">
        <f t="shared" si="8"/>
        <v>0</v>
      </c>
      <c r="V34" s="1663">
        <f t="shared" si="8"/>
        <v>0</v>
      </c>
      <c r="W34" s="1663">
        <f t="shared" si="8"/>
        <v>0</v>
      </c>
      <c r="X34" s="1663">
        <f t="shared" si="8"/>
        <v>0</v>
      </c>
      <c r="Y34" s="1663">
        <f t="shared" si="8"/>
        <v>0</v>
      </c>
      <c r="Z34" s="1663">
        <f t="shared" si="8"/>
        <v>0</v>
      </c>
      <c r="AA34" s="1663">
        <f t="shared" si="8"/>
        <v>0</v>
      </c>
      <c r="AB34" s="1663">
        <f t="shared" si="8"/>
        <v>116425470</v>
      </c>
      <c r="AC34" s="1663">
        <f t="shared" si="8"/>
        <v>116425470</v>
      </c>
      <c r="AD34" s="1663">
        <f t="shared" si="8"/>
        <v>409791073</v>
      </c>
      <c r="AF34" s="852"/>
      <c r="AG34" s="14"/>
      <c r="AH34" s="14"/>
      <c r="AI34" s="1052"/>
      <c r="AJ34" s="1663">
        <f>SUM(AJ27:AJ33)</f>
        <v>663396202</v>
      </c>
      <c r="AK34" s="14">
        <f>SUM(AK27:AK33)</f>
        <v>137179659</v>
      </c>
      <c r="AL34" s="1872">
        <f>B26-AJ34</f>
        <v>0</v>
      </c>
    </row>
    <row r="35" spans="1:39" s="633" customFormat="1" ht="28.5" customHeight="1">
      <c r="A35" s="1862" t="s">
        <v>1307</v>
      </c>
      <c r="B35" s="1967">
        <v>1330108000</v>
      </c>
      <c r="C35" s="1863" t="s">
        <v>146</v>
      </c>
      <c r="D35" s="1864" t="s">
        <v>830</v>
      </c>
      <c r="E35" s="1864" t="s">
        <v>1651</v>
      </c>
      <c r="F35" s="1864" t="s">
        <v>1652</v>
      </c>
      <c r="G35" s="1864" t="s">
        <v>79</v>
      </c>
      <c r="H35" s="2148" t="s">
        <v>1643</v>
      </c>
      <c r="I35" s="1868"/>
      <c r="J35" s="1538"/>
      <c r="K35" s="1538"/>
      <c r="L35" s="1538"/>
      <c r="M35" s="1538"/>
      <c r="N35" s="1538"/>
      <c r="O35" s="1538"/>
      <c r="P35" s="1538"/>
      <c r="Q35" s="1538"/>
      <c r="R35" s="1538"/>
      <c r="S35" s="1538"/>
      <c r="T35" s="1538"/>
      <c r="U35" s="1538"/>
      <c r="V35" s="1538"/>
      <c r="W35" s="1538"/>
      <c r="X35" s="1538"/>
      <c r="Y35" s="1538"/>
      <c r="Z35" s="1538"/>
      <c r="AA35" s="1538"/>
      <c r="AB35" s="1867"/>
      <c r="AC35" s="1868"/>
      <c r="AD35" s="1867"/>
      <c r="AE35" s="1367"/>
      <c r="AF35" s="1368"/>
      <c r="AG35" s="1275"/>
      <c r="AH35" s="1275"/>
      <c r="AI35" s="1275"/>
      <c r="AJ35" s="1665"/>
      <c r="AK35" s="1369"/>
      <c r="AL35" s="845"/>
    </row>
    <row r="36" spans="1:39" s="633" customFormat="1" ht="15">
      <c r="A36" s="1877" t="s">
        <v>1307</v>
      </c>
      <c r="B36" s="1610">
        <f>M36</f>
        <v>240064402</v>
      </c>
      <c r="C36" s="1892" t="s">
        <v>146</v>
      </c>
      <c r="D36" s="1866" t="s">
        <v>830</v>
      </c>
      <c r="E36" s="1866" t="s">
        <v>1651</v>
      </c>
      <c r="F36" s="1866" t="s">
        <v>1652</v>
      </c>
      <c r="G36" s="1866" t="s">
        <v>79</v>
      </c>
      <c r="H36" s="2149" t="s">
        <v>1643</v>
      </c>
      <c r="I36" s="1666" t="s">
        <v>325</v>
      </c>
      <c r="J36" s="1667">
        <v>692</v>
      </c>
      <c r="K36" s="1562">
        <v>240064402</v>
      </c>
      <c r="L36" s="1583">
        <v>791</v>
      </c>
      <c r="M36" s="1462">
        <v>240064402</v>
      </c>
      <c r="N36" s="1583">
        <v>1139</v>
      </c>
      <c r="O36" s="1462">
        <v>240064402</v>
      </c>
      <c r="P36" s="1668" t="s">
        <v>1397</v>
      </c>
      <c r="Q36" s="1686"/>
      <c r="R36" s="1687"/>
      <c r="S36" s="1687"/>
      <c r="T36" s="1687"/>
      <c r="U36" s="1687"/>
      <c r="V36" s="1687"/>
      <c r="W36" s="1687"/>
      <c r="X36" s="1687"/>
      <c r="Y36" s="1687"/>
      <c r="Z36" s="1687"/>
      <c r="AA36" s="1687"/>
      <c r="AB36" s="1949">
        <v>0</v>
      </c>
      <c r="AC36" s="1824">
        <f>SUM(Q36:AB36)</f>
        <v>0</v>
      </c>
      <c r="AD36" s="1825">
        <f>O36-AC36</f>
        <v>240064402</v>
      </c>
      <c r="AE36" s="1917"/>
      <c r="AF36" s="891" t="s">
        <v>325</v>
      </c>
      <c r="AG36" s="1286" t="s">
        <v>1306</v>
      </c>
      <c r="AH36" s="7"/>
      <c r="AI36" s="1048" t="str">
        <f>P36</f>
        <v>468-2018</v>
      </c>
      <c r="AJ36" s="1462">
        <v>240064402</v>
      </c>
      <c r="AK36" s="851">
        <f>AJ36-O36</f>
        <v>0</v>
      </c>
      <c r="AL36" s="845"/>
      <c r="AM36" s="1518">
        <f>AJ36-M36</f>
        <v>0</v>
      </c>
    </row>
    <row r="37" spans="1:39" s="633" customFormat="1" ht="15">
      <c r="A37" s="1877" t="s">
        <v>1307</v>
      </c>
      <c r="B37" s="1610">
        <f>M37</f>
        <v>1090043598</v>
      </c>
      <c r="C37" s="1892" t="s">
        <v>146</v>
      </c>
      <c r="D37" s="1866" t="s">
        <v>830</v>
      </c>
      <c r="E37" s="1866" t="s">
        <v>1651</v>
      </c>
      <c r="F37" s="1866" t="s">
        <v>1652</v>
      </c>
      <c r="G37" s="1866" t="s">
        <v>79</v>
      </c>
      <c r="H37" s="2149" t="s">
        <v>1643</v>
      </c>
      <c r="I37" s="1525" t="s">
        <v>325</v>
      </c>
      <c r="J37" s="1685">
        <v>691</v>
      </c>
      <c r="K37" s="1651">
        <v>1090043598</v>
      </c>
      <c r="L37" s="1583">
        <v>793</v>
      </c>
      <c r="M37" s="1651">
        <v>1090043598</v>
      </c>
      <c r="N37" s="1583">
        <v>1004</v>
      </c>
      <c r="O37" s="1651">
        <v>1090043598</v>
      </c>
      <c r="P37" s="1668" t="s">
        <v>1305</v>
      </c>
      <c r="Q37" s="1686"/>
      <c r="R37" s="1687"/>
      <c r="S37" s="1687"/>
      <c r="T37" s="1687"/>
      <c r="U37" s="1687"/>
      <c r="V37" s="1687"/>
      <c r="W37" s="1687"/>
      <c r="X37" s="1687"/>
      <c r="Y37" s="1687"/>
      <c r="Z37" s="1687"/>
      <c r="AA37" s="1687"/>
      <c r="AB37" s="1949"/>
      <c r="AC37" s="1824">
        <f>SUM(Q37:AB37)</f>
        <v>0</v>
      </c>
      <c r="AD37" s="1825">
        <f>O37-AC37</f>
        <v>1090043598</v>
      </c>
      <c r="AF37" s="891" t="s">
        <v>325</v>
      </c>
      <c r="AG37" s="1286" t="s">
        <v>1309</v>
      </c>
      <c r="AH37" s="7"/>
      <c r="AI37" s="1048" t="str">
        <f>P37</f>
        <v>460-2018</v>
      </c>
      <c r="AJ37" s="1462">
        <v>1090043598</v>
      </c>
      <c r="AK37" s="851">
        <f>AJ37-O37</f>
        <v>0</v>
      </c>
      <c r="AL37" s="845"/>
      <c r="AM37" s="1518">
        <f>AJ37-M37</f>
        <v>0</v>
      </c>
    </row>
    <row r="38" spans="1:39" s="633" customFormat="1" ht="15">
      <c r="A38" s="655" t="s">
        <v>80</v>
      </c>
      <c r="B38" s="1966">
        <f>B35-SUM(B36:B37)</f>
        <v>0</v>
      </c>
      <c r="C38" s="656"/>
      <c r="D38" s="657"/>
      <c r="E38" s="657"/>
      <c r="F38" s="657"/>
      <c r="G38" s="657"/>
      <c r="H38" s="2150"/>
      <c r="I38" s="1669"/>
      <c r="J38" s="1661"/>
      <c r="K38" s="1662"/>
      <c r="L38" s="1589"/>
      <c r="M38" s="1663">
        <f>SUM(M36:M37)</f>
        <v>1330108000</v>
      </c>
      <c r="N38" s="1589"/>
      <c r="O38" s="1663">
        <f>SUM(O36:O37)</f>
        <v>1330108000</v>
      </c>
      <c r="P38" s="1664"/>
      <c r="Q38" s="1663">
        <f t="shared" ref="Q38:AD38" si="9">SUM(Q36:Q37)</f>
        <v>0</v>
      </c>
      <c r="R38" s="1663">
        <f t="shared" si="9"/>
        <v>0</v>
      </c>
      <c r="S38" s="1663">
        <f t="shared" si="9"/>
        <v>0</v>
      </c>
      <c r="T38" s="1663">
        <f t="shared" si="9"/>
        <v>0</v>
      </c>
      <c r="U38" s="1663">
        <f t="shared" si="9"/>
        <v>0</v>
      </c>
      <c r="V38" s="1663">
        <f t="shared" si="9"/>
        <v>0</v>
      </c>
      <c r="W38" s="1663">
        <f t="shared" si="9"/>
        <v>0</v>
      </c>
      <c r="X38" s="1663">
        <f t="shared" si="9"/>
        <v>0</v>
      </c>
      <c r="Y38" s="1663">
        <f t="shared" si="9"/>
        <v>0</v>
      </c>
      <c r="Z38" s="1663">
        <f t="shared" si="9"/>
        <v>0</v>
      </c>
      <c r="AA38" s="1663">
        <f t="shared" si="9"/>
        <v>0</v>
      </c>
      <c r="AB38" s="1663">
        <f t="shared" si="9"/>
        <v>0</v>
      </c>
      <c r="AC38" s="1663">
        <f t="shared" si="9"/>
        <v>0</v>
      </c>
      <c r="AD38" s="1663">
        <f t="shared" si="9"/>
        <v>1330108000</v>
      </c>
      <c r="AF38" s="852"/>
      <c r="AG38" s="14"/>
      <c r="AH38" s="14"/>
      <c r="AI38" s="1052"/>
      <c r="AJ38" s="1663">
        <f>SUM(AJ36:AJ37)</f>
        <v>1330108000</v>
      </c>
      <c r="AK38" s="14">
        <f>SUM(AK36:AK37)</f>
        <v>0</v>
      </c>
      <c r="AL38" s="845">
        <f>B35-AJ38</f>
        <v>0</v>
      </c>
    </row>
    <row r="39" spans="1:39" s="633" customFormat="1" ht="28.5" customHeight="1">
      <c r="A39" s="1862" t="s">
        <v>1307</v>
      </c>
      <c r="B39" s="1967">
        <v>1139390346</v>
      </c>
      <c r="C39" s="1863" t="s">
        <v>81</v>
      </c>
      <c r="D39" s="1864" t="s">
        <v>830</v>
      </c>
      <c r="E39" s="1864" t="s">
        <v>1651</v>
      </c>
      <c r="F39" s="1864" t="s">
        <v>1652</v>
      </c>
      <c r="G39" s="1864" t="s">
        <v>79</v>
      </c>
      <c r="H39" s="2148" t="s">
        <v>1643</v>
      </c>
      <c r="I39" s="1868"/>
      <c r="J39" s="1538"/>
      <c r="K39" s="1538"/>
      <c r="L39" s="1538"/>
      <c r="M39" s="1538"/>
      <c r="N39" s="1538"/>
      <c r="O39" s="1538"/>
      <c r="P39" s="1538"/>
      <c r="Q39" s="1538"/>
      <c r="R39" s="1538"/>
      <c r="S39" s="1538"/>
      <c r="T39" s="1538"/>
      <c r="U39" s="1538"/>
      <c r="V39" s="1538"/>
      <c r="W39" s="1538"/>
      <c r="X39" s="1538"/>
      <c r="Y39" s="1538"/>
      <c r="Z39" s="1538"/>
      <c r="AA39" s="1538"/>
      <c r="AB39" s="1867"/>
      <c r="AC39" s="1868"/>
      <c r="AD39" s="1867"/>
      <c r="AE39" s="1367"/>
      <c r="AF39" s="1368"/>
      <c r="AG39" s="1275"/>
      <c r="AH39" s="1275"/>
      <c r="AI39" s="1275"/>
      <c r="AJ39" s="1665"/>
      <c r="AK39" s="1369"/>
      <c r="AL39" s="845"/>
    </row>
    <row r="40" spans="1:39" s="633" customFormat="1" ht="15">
      <c r="A40" s="1877" t="s">
        <v>1307</v>
      </c>
      <c r="B40" s="1610">
        <f>M40</f>
        <v>1139390346</v>
      </c>
      <c r="C40" s="1892" t="s">
        <v>81</v>
      </c>
      <c r="D40" s="1866" t="s">
        <v>830</v>
      </c>
      <c r="E40" s="1866" t="s">
        <v>1651</v>
      </c>
      <c r="F40" s="1866" t="s">
        <v>1652</v>
      </c>
      <c r="G40" s="1866" t="s">
        <v>79</v>
      </c>
      <c r="H40" s="2149" t="s">
        <v>1643</v>
      </c>
      <c r="I40" s="1666" t="s">
        <v>173</v>
      </c>
      <c r="J40" s="1685">
        <v>691</v>
      </c>
      <c r="K40" s="1562">
        <v>1139390346</v>
      </c>
      <c r="L40" s="1583">
        <v>793</v>
      </c>
      <c r="M40" s="1562">
        <v>1139390346</v>
      </c>
      <c r="N40" s="1583">
        <v>1004</v>
      </c>
      <c r="O40" s="1562">
        <v>1139390346</v>
      </c>
      <c r="P40" s="1668" t="s">
        <v>1305</v>
      </c>
      <c r="Q40" s="1686"/>
      <c r="R40" s="1687"/>
      <c r="S40" s="1687"/>
      <c r="T40" s="1687"/>
      <c r="U40" s="1687"/>
      <c r="V40" s="1687"/>
      <c r="W40" s="1687"/>
      <c r="X40" s="1687"/>
      <c r="Y40" s="1687"/>
      <c r="Z40" s="1687"/>
      <c r="AA40" s="1687"/>
      <c r="AB40" s="1949"/>
      <c r="AC40" s="1824">
        <f>SUM(Q40:AB40)</f>
        <v>0</v>
      </c>
      <c r="AD40" s="1825">
        <f>O40-AC40</f>
        <v>1139390346</v>
      </c>
      <c r="AE40" s="1917"/>
      <c r="AF40" s="891" t="s">
        <v>325</v>
      </c>
      <c r="AG40" s="1286" t="s">
        <v>1309</v>
      </c>
      <c r="AH40" s="7"/>
      <c r="AI40" s="1048" t="str">
        <f>P40</f>
        <v>460-2018</v>
      </c>
      <c r="AJ40" s="1462">
        <v>1139390346</v>
      </c>
      <c r="AK40" s="851">
        <f>AJ40-O40</f>
        <v>0</v>
      </c>
      <c r="AL40" s="845"/>
      <c r="AM40" s="1518">
        <f>AJ40-M40</f>
        <v>0</v>
      </c>
    </row>
    <row r="41" spans="1:39" s="633" customFormat="1" ht="15">
      <c r="A41" s="1877" t="s">
        <v>1307</v>
      </c>
      <c r="B41" s="1610">
        <f>M41</f>
        <v>0</v>
      </c>
      <c r="C41" s="1892" t="s">
        <v>81</v>
      </c>
      <c r="D41" s="1866" t="s">
        <v>830</v>
      </c>
      <c r="E41" s="1866" t="s">
        <v>1651</v>
      </c>
      <c r="F41" s="1866" t="s">
        <v>1652</v>
      </c>
      <c r="G41" s="1866" t="s">
        <v>79</v>
      </c>
      <c r="H41" s="2149" t="s">
        <v>1643</v>
      </c>
      <c r="I41" s="1666" t="s">
        <v>173</v>
      </c>
      <c r="J41" s="1667"/>
      <c r="K41" s="1562"/>
      <c r="L41" s="1583"/>
      <c r="M41" s="1462"/>
      <c r="N41" s="1583"/>
      <c r="O41" s="1462"/>
      <c r="P41" s="1668"/>
      <c r="Q41" s="1686"/>
      <c r="R41" s="1687"/>
      <c r="S41" s="1687"/>
      <c r="T41" s="1687"/>
      <c r="U41" s="1687"/>
      <c r="V41" s="1687"/>
      <c r="W41" s="1687"/>
      <c r="X41" s="1687"/>
      <c r="Y41" s="1687"/>
      <c r="Z41" s="1687"/>
      <c r="AA41" s="1687"/>
      <c r="AB41" s="1854"/>
      <c r="AC41" s="1824">
        <f>SUM(Q41:AB41)</f>
        <v>0</v>
      </c>
      <c r="AD41" s="1825">
        <f>O41-AC41</f>
        <v>0</v>
      </c>
      <c r="AF41" s="891"/>
      <c r="AG41" s="1245"/>
      <c r="AH41" s="7"/>
      <c r="AI41" s="1048"/>
      <c r="AJ41" s="1462"/>
      <c r="AK41" s="851">
        <f>AJ41-O41</f>
        <v>0</v>
      </c>
      <c r="AL41" s="845"/>
      <c r="AM41" s="1518">
        <f>AJ41-M41</f>
        <v>0</v>
      </c>
    </row>
    <row r="42" spans="1:39" s="633" customFormat="1" ht="15">
      <c r="A42" s="655" t="s">
        <v>80</v>
      </c>
      <c r="B42" s="1966">
        <f>B39-SUM(B40:B41)</f>
        <v>0</v>
      </c>
      <c r="C42" s="656"/>
      <c r="D42" s="657"/>
      <c r="E42" s="657"/>
      <c r="F42" s="657"/>
      <c r="G42" s="657"/>
      <c r="H42" s="2150"/>
      <c r="I42" s="1669"/>
      <c r="J42" s="1661"/>
      <c r="K42" s="1662"/>
      <c r="L42" s="1589"/>
      <c r="M42" s="1663">
        <f>SUM(M40:M41)</f>
        <v>1139390346</v>
      </c>
      <c r="N42" s="1589"/>
      <c r="O42" s="1663">
        <f>SUM(O40:O41)</f>
        <v>1139390346</v>
      </c>
      <c r="P42" s="1664"/>
      <c r="Q42" s="1663">
        <f t="shared" ref="Q42:AD42" si="10">SUM(Q40:Q41)</f>
        <v>0</v>
      </c>
      <c r="R42" s="1663">
        <f t="shared" si="10"/>
        <v>0</v>
      </c>
      <c r="S42" s="1663">
        <f t="shared" si="10"/>
        <v>0</v>
      </c>
      <c r="T42" s="1663">
        <f t="shared" si="10"/>
        <v>0</v>
      </c>
      <c r="U42" s="1663">
        <f t="shared" si="10"/>
        <v>0</v>
      </c>
      <c r="V42" s="1663">
        <f t="shared" si="10"/>
        <v>0</v>
      </c>
      <c r="W42" s="1663">
        <f t="shared" si="10"/>
        <v>0</v>
      </c>
      <c r="X42" s="1663">
        <f t="shared" si="10"/>
        <v>0</v>
      </c>
      <c r="Y42" s="1663">
        <f t="shared" si="10"/>
        <v>0</v>
      </c>
      <c r="Z42" s="1663">
        <f t="shared" si="10"/>
        <v>0</v>
      </c>
      <c r="AA42" s="1663">
        <f t="shared" si="10"/>
        <v>0</v>
      </c>
      <c r="AB42" s="1663">
        <f t="shared" si="10"/>
        <v>0</v>
      </c>
      <c r="AC42" s="1663">
        <f t="shared" si="10"/>
        <v>0</v>
      </c>
      <c r="AD42" s="1663">
        <f t="shared" si="10"/>
        <v>1139390346</v>
      </c>
      <c r="AF42" s="852"/>
      <c r="AG42" s="14"/>
      <c r="AH42" s="14"/>
      <c r="AI42" s="1052"/>
      <c r="AJ42" s="1663">
        <f>SUM(AJ40:AJ41)</f>
        <v>1139390346</v>
      </c>
      <c r="AK42" s="14">
        <f>SUM(AK40:AK41)</f>
        <v>0</v>
      </c>
      <c r="AL42" s="845">
        <f>B39-AJ42</f>
        <v>0</v>
      </c>
    </row>
    <row r="43" spans="1:39" s="633" customFormat="1" ht="28.5" customHeight="1">
      <c r="A43" s="1862" t="s">
        <v>1307</v>
      </c>
      <c r="B43" s="1967">
        <v>62424000</v>
      </c>
      <c r="C43" s="1863" t="s">
        <v>83</v>
      </c>
      <c r="D43" s="1864" t="s">
        <v>830</v>
      </c>
      <c r="E43" s="1864" t="s">
        <v>1651</v>
      </c>
      <c r="F43" s="1864" t="s">
        <v>1652</v>
      </c>
      <c r="G43" s="1864" t="s">
        <v>79</v>
      </c>
      <c r="H43" s="2148" t="s">
        <v>1643</v>
      </c>
      <c r="I43" s="1868"/>
      <c r="J43" s="1538"/>
      <c r="K43" s="1538"/>
      <c r="L43" s="1538"/>
      <c r="M43" s="1538"/>
      <c r="N43" s="1538"/>
      <c r="O43" s="1538"/>
      <c r="P43" s="1538"/>
      <c r="Q43" s="1538"/>
      <c r="R43" s="1538"/>
      <c r="S43" s="1538"/>
      <c r="T43" s="1538"/>
      <c r="U43" s="1538"/>
      <c r="V43" s="1538"/>
      <c r="W43" s="1538"/>
      <c r="X43" s="1538"/>
      <c r="Y43" s="1538"/>
      <c r="Z43" s="1538"/>
      <c r="AA43" s="1538"/>
      <c r="AB43" s="1867"/>
      <c r="AC43" s="1868"/>
      <c r="AD43" s="1867"/>
      <c r="AE43" s="1367"/>
      <c r="AF43" s="1368"/>
      <c r="AG43" s="1275"/>
      <c r="AH43" s="1275"/>
      <c r="AI43" s="1275"/>
      <c r="AJ43" s="1665"/>
      <c r="AK43" s="1369"/>
      <c r="AL43" s="845"/>
    </row>
    <row r="44" spans="1:39" s="633" customFormat="1" ht="15">
      <c r="A44" s="1877" t="s">
        <v>1307</v>
      </c>
      <c r="B44" s="1610">
        <f>M44</f>
        <v>62424000</v>
      </c>
      <c r="C44" s="1892" t="s">
        <v>83</v>
      </c>
      <c r="D44" s="1866" t="s">
        <v>830</v>
      </c>
      <c r="E44" s="1866" t="s">
        <v>1651</v>
      </c>
      <c r="F44" s="1866" t="s">
        <v>1652</v>
      </c>
      <c r="G44" s="1866" t="s">
        <v>79</v>
      </c>
      <c r="H44" s="2149" t="s">
        <v>1643</v>
      </c>
      <c r="I44" s="1525" t="s">
        <v>325</v>
      </c>
      <c r="J44" s="1685">
        <v>691</v>
      </c>
      <c r="K44" s="1562">
        <v>62424000</v>
      </c>
      <c r="L44" s="1583">
        <v>793</v>
      </c>
      <c r="M44" s="1462">
        <v>62424000</v>
      </c>
      <c r="N44" s="1583">
        <v>1004</v>
      </c>
      <c r="O44" s="1462">
        <v>62424000</v>
      </c>
      <c r="P44" s="1668" t="s">
        <v>1305</v>
      </c>
      <c r="Q44" s="1686"/>
      <c r="R44" s="1687"/>
      <c r="S44" s="1687"/>
      <c r="T44" s="1687"/>
      <c r="U44" s="1687"/>
      <c r="V44" s="1687"/>
      <c r="W44" s="1687"/>
      <c r="X44" s="1687"/>
      <c r="Y44" s="1687"/>
      <c r="Z44" s="1687"/>
      <c r="AA44" s="1687"/>
      <c r="AB44" s="1854"/>
      <c r="AC44" s="1824">
        <f>SUM(Q44:AB44)</f>
        <v>0</v>
      </c>
      <c r="AD44" s="1825">
        <f>O44-AC44</f>
        <v>62424000</v>
      </c>
      <c r="AE44" s="1917"/>
      <c r="AF44" s="891" t="s">
        <v>325</v>
      </c>
      <c r="AG44" s="1286" t="s">
        <v>1309</v>
      </c>
      <c r="AH44" s="7"/>
      <c r="AI44" s="1048" t="str">
        <f>P44</f>
        <v>460-2018</v>
      </c>
      <c r="AJ44" s="1462">
        <v>62424000</v>
      </c>
      <c r="AK44" s="851">
        <f>AJ44-O44</f>
        <v>0</v>
      </c>
      <c r="AL44" s="845"/>
      <c r="AM44" s="1518">
        <f>AJ44-M44</f>
        <v>0</v>
      </c>
    </row>
    <row r="45" spans="1:39" s="633" customFormat="1" ht="15">
      <c r="A45" s="1877" t="s">
        <v>1307</v>
      </c>
      <c r="B45" s="1610">
        <f>M45</f>
        <v>0</v>
      </c>
      <c r="C45" s="1892" t="s">
        <v>83</v>
      </c>
      <c r="D45" s="1866" t="s">
        <v>830</v>
      </c>
      <c r="E45" s="1866" t="s">
        <v>1651</v>
      </c>
      <c r="F45" s="1866" t="s">
        <v>1652</v>
      </c>
      <c r="G45" s="1866" t="s">
        <v>79</v>
      </c>
      <c r="H45" s="2149" t="s">
        <v>1643</v>
      </c>
      <c r="I45" s="1666" t="s">
        <v>173</v>
      </c>
      <c r="J45" s="1667"/>
      <c r="K45" s="1562"/>
      <c r="L45" s="1583"/>
      <c r="M45" s="1462"/>
      <c r="N45" s="1583"/>
      <c r="O45" s="1462"/>
      <c r="P45" s="1668"/>
      <c r="Q45" s="1686"/>
      <c r="R45" s="1687"/>
      <c r="S45" s="1687"/>
      <c r="T45" s="1687"/>
      <c r="U45" s="1687"/>
      <c r="V45" s="1687"/>
      <c r="W45" s="1687"/>
      <c r="X45" s="1687"/>
      <c r="Y45" s="1687"/>
      <c r="Z45" s="1687"/>
      <c r="AA45" s="1687"/>
      <c r="AB45" s="1854"/>
      <c r="AC45" s="1824">
        <f>SUM(Q45:AB45)</f>
        <v>0</v>
      </c>
      <c r="AD45" s="1825">
        <f>O45-AC45</f>
        <v>0</v>
      </c>
      <c r="AF45" s="891"/>
      <c r="AG45" s="1245"/>
      <c r="AH45" s="7"/>
      <c r="AI45" s="1048"/>
      <c r="AJ45" s="1462"/>
      <c r="AK45" s="851">
        <f>AJ45-O45</f>
        <v>0</v>
      </c>
      <c r="AL45" s="845"/>
    </row>
    <row r="46" spans="1:39" s="633" customFormat="1" ht="15">
      <c r="A46" s="655" t="s">
        <v>80</v>
      </c>
      <c r="B46" s="1966">
        <f>B43-SUM(B44:B45)</f>
        <v>0</v>
      </c>
      <c r="C46" s="656"/>
      <c r="D46" s="657"/>
      <c r="E46" s="657"/>
      <c r="F46" s="657"/>
      <c r="G46" s="657"/>
      <c r="H46" s="2150"/>
      <c r="I46" s="1669"/>
      <c r="J46" s="1661"/>
      <c r="K46" s="1662"/>
      <c r="L46" s="1589"/>
      <c r="M46" s="1663">
        <f>SUM(M44:M45)</f>
        <v>62424000</v>
      </c>
      <c r="N46" s="1589"/>
      <c r="O46" s="1663">
        <f>SUM(O44:O45)</f>
        <v>62424000</v>
      </c>
      <c r="P46" s="1664"/>
      <c r="Q46" s="1663">
        <f t="shared" ref="Q46:AD46" si="11">SUM(Q44:Q45)</f>
        <v>0</v>
      </c>
      <c r="R46" s="1663">
        <f t="shared" si="11"/>
        <v>0</v>
      </c>
      <c r="S46" s="1663">
        <f t="shared" si="11"/>
        <v>0</v>
      </c>
      <c r="T46" s="1663">
        <f t="shared" si="11"/>
        <v>0</v>
      </c>
      <c r="U46" s="1663">
        <f t="shared" si="11"/>
        <v>0</v>
      </c>
      <c r="V46" s="1663">
        <f t="shared" si="11"/>
        <v>0</v>
      </c>
      <c r="W46" s="1663">
        <f t="shared" si="11"/>
        <v>0</v>
      </c>
      <c r="X46" s="1663">
        <f t="shared" si="11"/>
        <v>0</v>
      </c>
      <c r="Y46" s="1663">
        <f t="shared" si="11"/>
        <v>0</v>
      </c>
      <c r="Z46" s="1663">
        <f t="shared" si="11"/>
        <v>0</v>
      </c>
      <c r="AA46" s="1663">
        <f t="shared" si="11"/>
        <v>0</v>
      </c>
      <c r="AB46" s="1663">
        <f t="shared" si="11"/>
        <v>0</v>
      </c>
      <c r="AC46" s="1663">
        <f t="shared" si="11"/>
        <v>0</v>
      </c>
      <c r="AD46" s="1663">
        <f t="shared" si="11"/>
        <v>62424000</v>
      </c>
      <c r="AF46" s="852"/>
      <c r="AG46" s="14"/>
      <c r="AH46" s="14"/>
      <c r="AI46" s="1052"/>
      <c r="AJ46" s="1663">
        <f>SUM(AJ44:AJ45)</f>
        <v>62424000</v>
      </c>
      <c r="AK46" s="14">
        <f>SUM(AK44:AK45)</f>
        <v>0</v>
      </c>
      <c r="AL46" s="845">
        <f>B43-AJ46</f>
        <v>0</v>
      </c>
    </row>
    <row r="47" spans="1:39" s="633" customFormat="1" ht="28.5" customHeight="1">
      <c r="A47" s="1862" t="s">
        <v>1307</v>
      </c>
      <c r="B47" s="1967">
        <v>725000</v>
      </c>
      <c r="C47" s="1863" t="s">
        <v>82</v>
      </c>
      <c r="D47" s="1864" t="s">
        <v>830</v>
      </c>
      <c r="E47" s="1864" t="s">
        <v>1651</v>
      </c>
      <c r="F47" s="1864" t="s">
        <v>1652</v>
      </c>
      <c r="G47" s="1864" t="s">
        <v>79</v>
      </c>
      <c r="H47" s="2148" t="s">
        <v>1643</v>
      </c>
      <c r="I47" s="1868"/>
      <c r="J47" s="1538"/>
      <c r="K47" s="1538"/>
      <c r="L47" s="1538"/>
      <c r="M47" s="1538"/>
      <c r="N47" s="1538"/>
      <c r="O47" s="1538"/>
      <c r="P47" s="1538"/>
      <c r="Q47" s="1538"/>
      <c r="R47" s="1538"/>
      <c r="S47" s="1538"/>
      <c r="T47" s="1538"/>
      <c r="U47" s="1538"/>
      <c r="V47" s="1538"/>
      <c r="W47" s="1538"/>
      <c r="X47" s="1538"/>
      <c r="Y47" s="1538"/>
      <c r="Z47" s="1538"/>
      <c r="AA47" s="1538"/>
      <c r="AB47" s="1867"/>
      <c r="AC47" s="1868"/>
      <c r="AD47" s="1867"/>
      <c r="AE47" s="1367"/>
      <c r="AF47" s="1368"/>
      <c r="AG47" s="1275"/>
      <c r="AH47" s="1275"/>
      <c r="AI47" s="1275"/>
      <c r="AJ47" s="1665"/>
      <c r="AK47" s="1369"/>
      <c r="AL47" s="845"/>
    </row>
    <row r="48" spans="1:39" s="633" customFormat="1" ht="15">
      <c r="A48" s="1877" t="s">
        <v>1307</v>
      </c>
      <c r="B48" s="1610">
        <f>M48</f>
        <v>725000</v>
      </c>
      <c r="C48" s="1892" t="s">
        <v>82</v>
      </c>
      <c r="D48" s="1866" t="s">
        <v>830</v>
      </c>
      <c r="E48" s="1866" t="s">
        <v>1651</v>
      </c>
      <c r="F48" s="1866" t="s">
        <v>1652</v>
      </c>
      <c r="G48" s="1866" t="s">
        <v>79</v>
      </c>
      <c r="H48" s="2149" t="s">
        <v>1643</v>
      </c>
      <c r="I48" s="1525" t="s">
        <v>325</v>
      </c>
      <c r="J48" s="1685">
        <v>691</v>
      </c>
      <c r="K48" s="1562">
        <v>725000</v>
      </c>
      <c r="L48" s="1583">
        <v>793</v>
      </c>
      <c r="M48" s="1462">
        <v>725000</v>
      </c>
      <c r="N48" s="1583">
        <v>1004</v>
      </c>
      <c r="O48" s="1462">
        <v>725000</v>
      </c>
      <c r="P48" s="1668" t="s">
        <v>1305</v>
      </c>
      <c r="Q48" s="1686"/>
      <c r="R48" s="1687"/>
      <c r="S48" s="1687"/>
      <c r="T48" s="1687"/>
      <c r="U48" s="1687"/>
      <c r="V48" s="1687"/>
      <c r="W48" s="1687"/>
      <c r="X48" s="1687"/>
      <c r="Y48" s="1687"/>
      <c r="Z48" s="1687"/>
      <c r="AA48" s="1687"/>
      <c r="AB48" s="1854"/>
      <c r="AC48" s="1824">
        <f>SUM(Q48:AB48)</f>
        <v>0</v>
      </c>
      <c r="AD48" s="1825">
        <f>O48-AC48</f>
        <v>725000</v>
      </c>
      <c r="AE48" s="1917"/>
      <c r="AF48" s="891" t="s">
        <v>325</v>
      </c>
      <c r="AG48" s="1286" t="s">
        <v>1309</v>
      </c>
      <c r="AH48" s="7"/>
      <c r="AI48" s="1048" t="str">
        <f>P48</f>
        <v>460-2018</v>
      </c>
      <c r="AJ48" s="1462">
        <v>725000</v>
      </c>
      <c r="AK48" s="851">
        <f>AJ48-O48</f>
        <v>0</v>
      </c>
      <c r="AL48" s="845"/>
      <c r="AM48" s="1518">
        <f>AJ48-M48</f>
        <v>0</v>
      </c>
    </row>
    <row r="49" spans="1:39" s="633" customFormat="1" ht="15">
      <c r="A49" s="1877" t="s">
        <v>1307</v>
      </c>
      <c r="B49" s="1610">
        <f>M49</f>
        <v>0</v>
      </c>
      <c r="C49" s="1892" t="s">
        <v>82</v>
      </c>
      <c r="D49" s="1866" t="s">
        <v>830</v>
      </c>
      <c r="E49" s="1866" t="s">
        <v>1651</v>
      </c>
      <c r="F49" s="1866" t="s">
        <v>1652</v>
      </c>
      <c r="G49" s="1866" t="s">
        <v>79</v>
      </c>
      <c r="H49" s="2149" t="s">
        <v>1643</v>
      </c>
      <c r="I49" s="1666" t="s">
        <v>173</v>
      </c>
      <c r="J49" s="1667"/>
      <c r="K49" s="1562"/>
      <c r="L49" s="1583"/>
      <c r="M49" s="1462"/>
      <c r="N49" s="1583"/>
      <c r="O49" s="1462"/>
      <c r="P49" s="1668"/>
      <c r="Q49" s="1686"/>
      <c r="R49" s="1687"/>
      <c r="S49" s="1687"/>
      <c r="T49" s="1687"/>
      <c r="U49" s="1687"/>
      <c r="V49" s="1687"/>
      <c r="W49" s="1687"/>
      <c r="X49" s="1687"/>
      <c r="Y49" s="1687"/>
      <c r="Z49" s="1687"/>
      <c r="AA49" s="1687"/>
      <c r="AB49" s="1854"/>
      <c r="AC49" s="1824">
        <f>SUM(Q49:AB49)</f>
        <v>0</v>
      </c>
      <c r="AD49" s="1825">
        <f>O49-AC49</f>
        <v>0</v>
      </c>
      <c r="AF49" s="891"/>
      <c r="AG49" s="1245"/>
      <c r="AH49" s="7"/>
      <c r="AI49" s="1048"/>
      <c r="AJ49" s="1462"/>
      <c r="AK49" s="851">
        <f>AJ49-O49</f>
        <v>0</v>
      </c>
      <c r="AL49" s="845"/>
    </row>
    <row r="50" spans="1:39" s="633" customFormat="1" ht="15">
      <c r="A50" s="655" t="s">
        <v>80</v>
      </c>
      <c r="B50" s="1966">
        <f>B47-SUM(B48:B49)</f>
        <v>0</v>
      </c>
      <c r="C50" s="656"/>
      <c r="D50" s="657"/>
      <c r="E50" s="657"/>
      <c r="F50" s="657"/>
      <c r="G50" s="657"/>
      <c r="H50" s="2150"/>
      <c r="I50" s="1669"/>
      <c r="J50" s="1661"/>
      <c r="K50" s="1662"/>
      <c r="L50" s="1589"/>
      <c r="M50" s="1663">
        <f>SUM(M48:M49)</f>
        <v>725000</v>
      </c>
      <c r="N50" s="1589"/>
      <c r="O50" s="1663">
        <f>SUM(O48:O49)</f>
        <v>725000</v>
      </c>
      <c r="P50" s="1664"/>
      <c r="Q50" s="1663">
        <f t="shared" ref="Q50:AD50" si="12">SUM(Q48:Q49)</f>
        <v>0</v>
      </c>
      <c r="R50" s="1663">
        <f t="shared" si="12"/>
        <v>0</v>
      </c>
      <c r="S50" s="1663">
        <f t="shared" si="12"/>
        <v>0</v>
      </c>
      <c r="T50" s="1663">
        <f t="shared" si="12"/>
        <v>0</v>
      </c>
      <c r="U50" s="1663">
        <f t="shared" si="12"/>
        <v>0</v>
      </c>
      <c r="V50" s="1663">
        <f t="shared" si="12"/>
        <v>0</v>
      </c>
      <c r="W50" s="1663">
        <f t="shared" si="12"/>
        <v>0</v>
      </c>
      <c r="X50" s="1663">
        <f t="shared" si="12"/>
        <v>0</v>
      </c>
      <c r="Y50" s="1663">
        <f t="shared" si="12"/>
        <v>0</v>
      </c>
      <c r="Z50" s="1663">
        <f t="shared" si="12"/>
        <v>0</v>
      </c>
      <c r="AA50" s="1663">
        <f t="shared" si="12"/>
        <v>0</v>
      </c>
      <c r="AB50" s="1663">
        <f t="shared" si="12"/>
        <v>0</v>
      </c>
      <c r="AC50" s="1663">
        <f t="shared" si="12"/>
        <v>0</v>
      </c>
      <c r="AD50" s="1663">
        <f t="shared" si="12"/>
        <v>725000</v>
      </c>
      <c r="AF50" s="852"/>
      <c r="AG50" s="14"/>
      <c r="AH50" s="14"/>
      <c r="AI50" s="1052"/>
      <c r="AJ50" s="1663">
        <f>SUM(AJ48:AJ49)</f>
        <v>725000</v>
      </c>
      <c r="AK50" s="14">
        <f>SUM(AK48:AK49)</f>
        <v>0</v>
      </c>
      <c r="AL50" s="845">
        <f>B47-AJ50</f>
        <v>0</v>
      </c>
    </row>
    <row r="51" spans="1:39" s="633" customFormat="1" ht="28.5" customHeight="1">
      <c r="A51" s="1862" t="s">
        <v>1307</v>
      </c>
      <c r="B51" s="1967">
        <v>2570000</v>
      </c>
      <c r="C51" s="1863" t="s">
        <v>156</v>
      </c>
      <c r="D51" s="1864" t="s">
        <v>830</v>
      </c>
      <c r="E51" s="1864" t="s">
        <v>1651</v>
      </c>
      <c r="F51" s="1864" t="s">
        <v>1652</v>
      </c>
      <c r="G51" s="1864" t="s">
        <v>79</v>
      </c>
      <c r="H51" s="2148" t="s">
        <v>1643</v>
      </c>
      <c r="I51" s="1868"/>
      <c r="J51" s="1538"/>
      <c r="K51" s="1538"/>
      <c r="L51" s="1538"/>
      <c r="M51" s="1538"/>
      <c r="N51" s="1538"/>
      <c r="O51" s="1538"/>
      <c r="P51" s="1538"/>
      <c r="Q51" s="1538"/>
      <c r="R51" s="1538"/>
      <c r="S51" s="1538"/>
      <c r="T51" s="1538"/>
      <c r="U51" s="1538"/>
      <c r="V51" s="1538"/>
      <c r="W51" s="1538"/>
      <c r="X51" s="1538"/>
      <c r="Y51" s="1538"/>
      <c r="Z51" s="1538"/>
      <c r="AA51" s="1538"/>
      <c r="AB51" s="1867"/>
      <c r="AC51" s="1868"/>
      <c r="AD51" s="1867"/>
      <c r="AE51" s="1367"/>
      <c r="AF51" s="1368"/>
      <c r="AG51" s="1275"/>
      <c r="AH51" s="1275"/>
      <c r="AI51" s="1275"/>
      <c r="AJ51" s="1665"/>
      <c r="AK51" s="1369"/>
      <c r="AL51" s="845"/>
    </row>
    <row r="52" spans="1:39" s="633" customFormat="1" ht="15">
      <c r="A52" s="1877" t="s">
        <v>1307</v>
      </c>
      <c r="B52" s="1610">
        <f>M52</f>
        <v>2570000</v>
      </c>
      <c r="C52" s="1892" t="s">
        <v>156</v>
      </c>
      <c r="D52" s="1866" t="s">
        <v>830</v>
      </c>
      <c r="E52" s="1866" t="s">
        <v>1651</v>
      </c>
      <c r="F52" s="1866" t="s">
        <v>1652</v>
      </c>
      <c r="G52" s="1866" t="s">
        <v>79</v>
      </c>
      <c r="H52" s="2149" t="s">
        <v>1643</v>
      </c>
      <c r="I52" s="1525" t="s">
        <v>325</v>
      </c>
      <c r="J52" s="1685">
        <v>691</v>
      </c>
      <c r="K52" s="1562">
        <v>2570000</v>
      </c>
      <c r="L52" s="1583">
        <v>793</v>
      </c>
      <c r="M52" s="1462">
        <v>2570000</v>
      </c>
      <c r="N52" s="1583">
        <v>1004</v>
      </c>
      <c r="O52" s="1462">
        <v>2570000</v>
      </c>
      <c r="P52" s="1668" t="s">
        <v>1305</v>
      </c>
      <c r="Q52" s="1686"/>
      <c r="R52" s="1687"/>
      <c r="S52" s="1687"/>
      <c r="T52" s="1687"/>
      <c r="U52" s="1687"/>
      <c r="V52" s="1687"/>
      <c r="W52" s="1687"/>
      <c r="X52" s="1687"/>
      <c r="Y52" s="1687"/>
      <c r="Z52" s="1687"/>
      <c r="AA52" s="1687"/>
      <c r="AB52" s="1854"/>
      <c r="AC52" s="1824">
        <f>SUM(Q52:AB52)</f>
        <v>0</v>
      </c>
      <c r="AD52" s="1825">
        <f>O52-AC52</f>
        <v>2570000</v>
      </c>
      <c r="AF52" s="891" t="s">
        <v>325</v>
      </c>
      <c r="AG52" s="1286" t="s">
        <v>1309</v>
      </c>
      <c r="AH52" s="7"/>
      <c r="AI52" s="1048" t="str">
        <f>P52</f>
        <v>460-2018</v>
      </c>
      <c r="AJ52" s="1462">
        <v>2570000</v>
      </c>
      <c r="AK52" s="851">
        <f>AJ52-O52</f>
        <v>0</v>
      </c>
      <c r="AL52" s="845"/>
      <c r="AM52" s="1518">
        <f>AJ52-M52</f>
        <v>0</v>
      </c>
    </row>
    <row r="53" spans="1:39" s="633" customFormat="1" ht="15">
      <c r="A53" s="1877" t="s">
        <v>1307</v>
      </c>
      <c r="B53" s="1610">
        <f>M53</f>
        <v>0</v>
      </c>
      <c r="C53" s="1892" t="s">
        <v>156</v>
      </c>
      <c r="D53" s="1866" t="s">
        <v>830</v>
      </c>
      <c r="E53" s="1866" t="s">
        <v>1651</v>
      </c>
      <c r="F53" s="1866" t="s">
        <v>1652</v>
      </c>
      <c r="G53" s="1866" t="s">
        <v>79</v>
      </c>
      <c r="H53" s="2149" t="s">
        <v>1643</v>
      </c>
      <c r="I53" s="1666" t="s">
        <v>173</v>
      </c>
      <c r="J53" s="1667"/>
      <c r="K53" s="1562"/>
      <c r="L53" s="1583"/>
      <c r="M53" s="1462"/>
      <c r="N53" s="1583"/>
      <c r="O53" s="1462"/>
      <c r="P53" s="1668"/>
      <c r="Q53" s="1686"/>
      <c r="R53" s="1687"/>
      <c r="S53" s="1687"/>
      <c r="T53" s="1687"/>
      <c r="U53" s="1687"/>
      <c r="V53" s="1687"/>
      <c r="W53" s="1687"/>
      <c r="X53" s="1687"/>
      <c r="Y53" s="1687"/>
      <c r="Z53" s="1687"/>
      <c r="AA53" s="1687"/>
      <c r="AB53" s="1854"/>
      <c r="AC53" s="1824">
        <f>SUM(Q53:AB53)</f>
        <v>0</v>
      </c>
      <c r="AD53" s="1825">
        <f>O53-AC53</f>
        <v>0</v>
      </c>
      <c r="AF53" s="891"/>
      <c r="AG53" s="1245"/>
      <c r="AH53" s="7"/>
      <c r="AI53" s="1048"/>
      <c r="AJ53" s="1462"/>
      <c r="AK53" s="851">
        <f>AJ53-O53</f>
        <v>0</v>
      </c>
      <c r="AL53" s="845"/>
    </row>
    <row r="54" spans="1:39" s="633" customFormat="1" ht="15">
      <c r="A54" s="655" t="s">
        <v>80</v>
      </c>
      <c r="B54" s="1966">
        <f>B51-SUM(B52:B53)</f>
        <v>0</v>
      </c>
      <c r="C54" s="656"/>
      <c r="D54" s="657"/>
      <c r="E54" s="657"/>
      <c r="F54" s="657"/>
      <c r="G54" s="657"/>
      <c r="H54" s="2150"/>
      <c r="I54" s="1669"/>
      <c r="J54" s="1661"/>
      <c r="K54" s="1662"/>
      <c r="L54" s="1589"/>
      <c r="M54" s="1663">
        <f>SUM(M52:M53)</f>
        <v>2570000</v>
      </c>
      <c r="N54" s="1589"/>
      <c r="O54" s="1663">
        <f>SUM(O52:O53)</f>
        <v>2570000</v>
      </c>
      <c r="P54" s="1664"/>
      <c r="Q54" s="1663">
        <f t="shared" ref="Q54:AD54" si="13">SUM(Q52:Q53)</f>
        <v>0</v>
      </c>
      <c r="R54" s="1663">
        <f t="shared" si="13"/>
        <v>0</v>
      </c>
      <c r="S54" s="1663">
        <f t="shared" si="13"/>
        <v>0</v>
      </c>
      <c r="T54" s="1663">
        <f t="shared" si="13"/>
        <v>0</v>
      </c>
      <c r="U54" s="1663">
        <f t="shared" si="13"/>
        <v>0</v>
      </c>
      <c r="V54" s="1663">
        <f t="shared" si="13"/>
        <v>0</v>
      </c>
      <c r="W54" s="1663">
        <f t="shared" si="13"/>
        <v>0</v>
      </c>
      <c r="X54" s="1663">
        <f t="shared" si="13"/>
        <v>0</v>
      </c>
      <c r="Y54" s="1663">
        <f t="shared" si="13"/>
        <v>0</v>
      </c>
      <c r="Z54" s="1663">
        <f t="shared" si="13"/>
        <v>0</v>
      </c>
      <c r="AA54" s="1663">
        <f t="shared" si="13"/>
        <v>0</v>
      </c>
      <c r="AB54" s="1663">
        <f t="shared" si="13"/>
        <v>0</v>
      </c>
      <c r="AC54" s="1663">
        <f t="shared" si="13"/>
        <v>0</v>
      </c>
      <c r="AD54" s="1663">
        <f t="shared" si="13"/>
        <v>2570000</v>
      </c>
      <c r="AF54" s="852"/>
      <c r="AG54" s="14"/>
      <c r="AH54" s="14"/>
      <c r="AI54" s="1052"/>
      <c r="AJ54" s="1663">
        <f>SUM(AJ52:AJ53)</f>
        <v>2570000</v>
      </c>
      <c r="AK54" s="14">
        <f>SUM(AK52:AK53)</f>
        <v>0</v>
      </c>
      <c r="AL54" s="845">
        <f>B51-AJ54</f>
        <v>0</v>
      </c>
    </row>
    <row r="55" spans="1:39" s="633" customFormat="1" ht="28.5" customHeight="1">
      <c r="A55" s="1862" t="s">
        <v>1307</v>
      </c>
      <c r="B55" s="1967">
        <v>20000000</v>
      </c>
      <c r="C55" s="1863" t="s">
        <v>155</v>
      </c>
      <c r="D55" s="1864" t="s">
        <v>830</v>
      </c>
      <c r="E55" s="1864" t="s">
        <v>1651</v>
      </c>
      <c r="F55" s="1864" t="s">
        <v>1652</v>
      </c>
      <c r="G55" s="1864" t="s">
        <v>79</v>
      </c>
      <c r="H55" s="2148" t="s">
        <v>1643</v>
      </c>
      <c r="I55" s="1868"/>
      <c r="J55" s="1538"/>
      <c r="K55" s="1538"/>
      <c r="L55" s="1538"/>
      <c r="M55" s="1538"/>
      <c r="N55" s="1538"/>
      <c r="O55" s="1538"/>
      <c r="P55" s="1538"/>
      <c r="Q55" s="1538"/>
      <c r="R55" s="1538"/>
      <c r="S55" s="1538"/>
      <c r="T55" s="1538"/>
      <c r="U55" s="1538"/>
      <c r="V55" s="1538"/>
      <c r="W55" s="1538"/>
      <c r="X55" s="1538"/>
      <c r="Y55" s="1538"/>
      <c r="Z55" s="1538"/>
      <c r="AA55" s="1538"/>
      <c r="AB55" s="1867"/>
      <c r="AC55" s="1868"/>
      <c r="AD55" s="1867"/>
      <c r="AE55" s="1367"/>
      <c r="AF55" s="1368"/>
      <c r="AG55" s="1275"/>
      <c r="AH55" s="1275"/>
      <c r="AI55" s="1275"/>
      <c r="AJ55" s="1665"/>
      <c r="AK55" s="1369"/>
      <c r="AL55" s="845"/>
    </row>
    <row r="56" spans="1:39" s="633" customFormat="1" ht="15">
      <c r="A56" s="1877" t="s">
        <v>1307</v>
      </c>
      <c r="B56" s="1610">
        <f>M56</f>
        <v>20000000</v>
      </c>
      <c r="C56" s="1892" t="s">
        <v>155</v>
      </c>
      <c r="D56" s="1866" t="s">
        <v>830</v>
      </c>
      <c r="E56" s="1866" t="s">
        <v>1651</v>
      </c>
      <c r="F56" s="1866" t="s">
        <v>1652</v>
      </c>
      <c r="G56" s="1866" t="s">
        <v>79</v>
      </c>
      <c r="H56" s="2149" t="s">
        <v>1643</v>
      </c>
      <c r="I56" s="1525" t="s">
        <v>325</v>
      </c>
      <c r="J56" s="1685">
        <v>691</v>
      </c>
      <c r="K56" s="1562">
        <v>20000000</v>
      </c>
      <c r="L56" s="1583">
        <v>793</v>
      </c>
      <c r="M56" s="1462">
        <v>20000000</v>
      </c>
      <c r="N56" s="1583">
        <v>1004</v>
      </c>
      <c r="O56" s="1462">
        <v>20000000</v>
      </c>
      <c r="P56" s="1668" t="s">
        <v>1305</v>
      </c>
      <c r="Q56" s="1686"/>
      <c r="R56" s="1687"/>
      <c r="S56" s="1687"/>
      <c r="T56" s="1687"/>
      <c r="U56" s="1687"/>
      <c r="V56" s="1687"/>
      <c r="W56" s="1687"/>
      <c r="X56" s="1687"/>
      <c r="Y56" s="1687"/>
      <c r="Z56" s="1687"/>
      <c r="AA56" s="1687"/>
      <c r="AB56" s="1854"/>
      <c r="AC56" s="1824">
        <f>SUM(Q56:AB56)</f>
        <v>0</v>
      </c>
      <c r="AD56" s="1825">
        <f>O56-AC56</f>
        <v>20000000</v>
      </c>
      <c r="AF56" s="891" t="s">
        <v>325</v>
      </c>
      <c r="AG56" s="1286" t="s">
        <v>1309</v>
      </c>
      <c r="AH56" s="7"/>
      <c r="AI56" s="1048" t="str">
        <f>P56</f>
        <v>460-2018</v>
      </c>
      <c r="AJ56" s="1462">
        <v>20000000</v>
      </c>
      <c r="AK56" s="851">
        <f>AJ56-O56</f>
        <v>0</v>
      </c>
      <c r="AL56" s="845"/>
      <c r="AM56" s="1518">
        <f>AJ56-M56</f>
        <v>0</v>
      </c>
    </row>
    <row r="57" spans="1:39" s="633" customFormat="1" ht="15">
      <c r="A57" s="1877" t="s">
        <v>1307</v>
      </c>
      <c r="B57" s="1610">
        <f>M57</f>
        <v>0</v>
      </c>
      <c r="C57" s="1892" t="s">
        <v>155</v>
      </c>
      <c r="D57" s="1866" t="s">
        <v>830</v>
      </c>
      <c r="E57" s="1866" t="s">
        <v>1651</v>
      </c>
      <c r="F57" s="1866" t="s">
        <v>1652</v>
      </c>
      <c r="G57" s="1866" t="s">
        <v>79</v>
      </c>
      <c r="H57" s="2149" t="s">
        <v>1643</v>
      </c>
      <c r="I57" s="1666" t="s">
        <v>173</v>
      </c>
      <c r="J57" s="1667"/>
      <c r="K57" s="1562"/>
      <c r="L57" s="1583"/>
      <c r="M57" s="1462"/>
      <c r="N57" s="1583"/>
      <c r="O57" s="1462"/>
      <c r="P57" s="1668"/>
      <c r="Q57" s="1686"/>
      <c r="R57" s="1687"/>
      <c r="S57" s="1687"/>
      <c r="T57" s="1687"/>
      <c r="U57" s="1687"/>
      <c r="V57" s="1687"/>
      <c r="W57" s="1687"/>
      <c r="X57" s="1687"/>
      <c r="Y57" s="1687"/>
      <c r="Z57" s="1687"/>
      <c r="AA57" s="1687"/>
      <c r="AB57" s="1854"/>
      <c r="AC57" s="1824">
        <f>SUM(Q57:AB57)</f>
        <v>0</v>
      </c>
      <c r="AD57" s="1825">
        <f>O57-AC57</f>
        <v>0</v>
      </c>
      <c r="AF57" s="891"/>
      <c r="AG57" s="1245"/>
      <c r="AH57" s="7"/>
      <c r="AI57" s="1048"/>
      <c r="AJ57" s="1462"/>
      <c r="AK57" s="851">
        <f>AJ57-O57</f>
        <v>0</v>
      </c>
      <c r="AL57" s="845"/>
    </row>
    <row r="58" spans="1:39" s="633" customFormat="1" ht="15">
      <c r="A58" s="655" t="s">
        <v>80</v>
      </c>
      <c r="B58" s="1966">
        <f>B55-SUM(B56:B57)</f>
        <v>0</v>
      </c>
      <c r="C58" s="656"/>
      <c r="D58" s="657"/>
      <c r="E58" s="657"/>
      <c r="F58" s="657"/>
      <c r="G58" s="657"/>
      <c r="H58" s="2150"/>
      <c r="I58" s="1669"/>
      <c r="J58" s="1661"/>
      <c r="K58" s="1662"/>
      <c r="L58" s="1589"/>
      <c r="M58" s="1663">
        <f>SUM(M56:M57)</f>
        <v>20000000</v>
      </c>
      <c r="N58" s="1589"/>
      <c r="O58" s="1663">
        <f>SUM(O56:O57)</f>
        <v>20000000</v>
      </c>
      <c r="P58" s="1664"/>
      <c r="Q58" s="1663">
        <f t="shared" ref="Q58:AD58" si="14">SUM(Q56:Q57)</f>
        <v>0</v>
      </c>
      <c r="R58" s="1663">
        <f t="shared" si="14"/>
        <v>0</v>
      </c>
      <c r="S58" s="1663">
        <f t="shared" si="14"/>
        <v>0</v>
      </c>
      <c r="T58" s="1663">
        <f t="shared" si="14"/>
        <v>0</v>
      </c>
      <c r="U58" s="1663">
        <f t="shared" si="14"/>
        <v>0</v>
      </c>
      <c r="V58" s="1663">
        <f t="shared" si="14"/>
        <v>0</v>
      </c>
      <c r="W58" s="1663">
        <f t="shared" si="14"/>
        <v>0</v>
      </c>
      <c r="X58" s="1663">
        <f t="shared" si="14"/>
        <v>0</v>
      </c>
      <c r="Y58" s="1663">
        <f t="shared" si="14"/>
        <v>0</v>
      </c>
      <c r="Z58" s="1663">
        <f t="shared" si="14"/>
        <v>0</v>
      </c>
      <c r="AA58" s="1663">
        <f t="shared" si="14"/>
        <v>0</v>
      </c>
      <c r="AB58" s="1663">
        <f t="shared" si="14"/>
        <v>0</v>
      </c>
      <c r="AC58" s="1663">
        <f t="shared" si="14"/>
        <v>0</v>
      </c>
      <c r="AD58" s="1663">
        <f t="shared" si="14"/>
        <v>20000000</v>
      </c>
      <c r="AF58" s="852"/>
      <c r="AG58" s="14"/>
      <c r="AH58" s="14"/>
      <c r="AI58" s="1052"/>
      <c r="AJ58" s="1663">
        <f>SUM(AJ56:AJ57)</f>
        <v>20000000</v>
      </c>
      <c r="AK58" s="14">
        <f>SUM(AK56:AK57)</f>
        <v>0</v>
      </c>
      <c r="AL58" s="845">
        <f>B55-AJ58</f>
        <v>0</v>
      </c>
    </row>
    <row r="59" spans="1:39" s="633" customFormat="1" ht="25.5" customHeight="1">
      <c r="A59" s="1862" t="s">
        <v>1343</v>
      </c>
      <c r="B59" s="1963">
        <f>B60+B68+B71+B74+B77+B80+B83+B86</f>
        <v>57376984</v>
      </c>
      <c r="C59" s="269"/>
      <c r="D59" s="757"/>
      <c r="E59" s="757"/>
      <c r="F59" s="757"/>
      <c r="G59" s="757"/>
      <c r="H59" s="2145"/>
      <c r="I59" s="1644"/>
      <c r="J59" s="1645"/>
      <c r="K59" s="1646"/>
      <c r="L59" s="1647"/>
      <c r="M59" s="1648"/>
      <c r="N59" s="1647"/>
      <c r="O59" s="1649"/>
      <c r="P59" s="1643"/>
      <c r="Q59" s="1822"/>
      <c r="R59" s="1850"/>
      <c r="S59" s="1850"/>
      <c r="T59" s="1850"/>
      <c r="U59" s="1850"/>
      <c r="V59" s="1850"/>
      <c r="W59" s="1850"/>
      <c r="X59" s="1850"/>
      <c r="Y59" s="1850"/>
      <c r="Z59" s="1850"/>
      <c r="AA59" s="1850"/>
      <c r="AB59" s="1823"/>
      <c r="AC59" s="1822"/>
      <c r="AD59" s="1823"/>
      <c r="AF59" s="1183"/>
      <c r="AG59" s="652"/>
      <c r="AH59" s="652"/>
      <c r="AI59" s="652"/>
      <c r="AJ59" s="1850"/>
      <c r="AK59" s="653"/>
      <c r="AL59" s="845"/>
      <c r="AM59" s="1987">
        <f>B25-AL34</f>
        <v>3218613548</v>
      </c>
    </row>
    <row r="60" spans="1:39" s="654" customFormat="1" ht="26.25" customHeight="1">
      <c r="A60" s="1279" t="s">
        <v>1308</v>
      </c>
      <c r="B60" s="1967">
        <f>2531346001+35425772-2509994074+599285</f>
        <v>57376984</v>
      </c>
      <c r="C60" s="1275" t="s">
        <v>36</v>
      </c>
      <c r="D60" s="1276" t="s">
        <v>830</v>
      </c>
      <c r="E60" s="1276" t="s">
        <v>1651</v>
      </c>
      <c r="F60" s="1276" t="s">
        <v>1652</v>
      </c>
      <c r="G60" s="1276" t="s">
        <v>79</v>
      </c>
      <c r="H60" s="2151" t="s">
        <v>1643</v>
      </c>
      <c r="I60" s="1644"/>
      <c r="J60" s="1645">
        <v>0</v>
      </c>
      <c r="K60" s="1646"/>
      <c r="L60" s="1647"/>
      <c r="M60" s="1648"/>
      <c r="N60" s="1647"/>
      <c r="O60" s="1649"/>
      <c r="P60" s="1643"/>
      <c r="Q60" s="1822"/>
      <c r="R60" s="1850"/>
      <c r="S60" s="1850"/>
      <c r="T60" s="1850"/>
      <c r="U60" s="1850"/>
      <c r="V60" s="1850"/>
      <c r="W60" s="1850"/>
      <c r="X60" s="1850"/>
      <c r="Y60" s="1850"/>
      <c r="Z60" s="1850"/>
      <c r="AA60" s="1850"/>
      <c r="AB60" s="1823"/>
      <c r="AC60" s="1822"/>
      <c r="AD60" s="1823"/>
      <c r="AF60" s="1183"/>
      <c r="AG60" s="652"/>
      <c r="AH60" s="652"/>
      <c r="AI60" s="652"/>
      <c r="AJ60" s="1850"/>
      <c r="AK60" s="653"/>
      <c r="AL60" s="845"/>
      <c r="AM60" s="1517"/>
    </row>
    <row r="61" spans="1:39" s="654" customFormat="1" ht="15" customHeight="1">
      <c r="A61" s="772" t="s">
        <v>1308</v>
      </c>
      <c r="B61" s="1965">
        <f t="shared" ref="B61:B66" si="15">M61</f>
        <v>0</v>
      </c>
      <c r="C61" s="95" t="s">
        <v>36</v>
      </c>
      <c r="D61" s="96" t="s">
        <v>830</v>
      </c>
      <c r="E61" s="96" t="s">
        <v>1651</v>
      </c>
      <c r="F61" s="96" t="s">
        <v>1652</v>
      </c>
      <c r="G61" s="96" t="s">
        <v>79</v>
      </c>
      <c r="H61" s="631" t="s">
        <v>1643</v>
      </c>
      <c r="I61" s="2142">
        <v>317</v>
      </c>
      <c r="J61" s="1650">
        <v>0</v>
      </c>
      <c r="K61" s="1651"/>
      <c r="L61" s="1652"/>
      <c r="M61" s="1653"/>
      <c r="N61" s="1586"/>
      <c r="O61" s="1654"/>
      <c r="P61" s="1655"/>
      <c r="Q61" s="1851"/>
      <c r="R61" s="1852"/>
      <c r="S61" s="1852"/>
      <c r="T61" s="1852"/>
      <c r="U61" s="1852"/>
      <c r="V61" s="1852"/>
      <c r="W61" s="1852"/>
      <c r="X61" s="1852"/>
      <c r="Y61" s="1852"/>
      <c r="Z61" s="1852"/>
      <c r="AA61" s="1852"/>
      <c r="AB61" s="1853"/>
      <c r="AC61" s="1824">
        <f t="shared" ref="AC61:AC66" si="16">SUM(Q61:AB61)</f>
        <v>0</v>
      </c>
      <c r="AD61" s="1825">
        <f t="shared" ref="AD61:AD66" si="17">O61-AC61</f>
        <v>0</v>
      </c>
      <c r="AF61" s="848">
        <v>317</v>
      </c>
      <c r="AG61" s="1291" t="s">
        <v>174</v>
      </c>
      <c r="AH61" s="1060" t="s">
        <v>173</v>
      </c>
      <c r="AI61" s="1048">
        <f t="shared" ref="AI61:AI66" si="18">P61</f>
        <v>0</v>
      </c>
      <c r="AJ61" s="849">
        <f>1677499869-34000000-51974308-1591525561</f>
        <v>0</v>
      </c>
      <c r="AK61" s="851">
        <f t="shared" ref="AK61:AK66" si="19">AJ61-O61</f>
        <v>0</v>
      </c>
      <c r="AL61" s="845"/>
      <c r="AM61" s="1518">
        <f t="shared" ref="AM61:AM66" si="20">AJ61-M61</f>
        <v>0</v>
      </c>
    </row>
    <row r="62" spans="1:39" s="654" customFormat="1" ht="15">
      <c r="A62" s="772" t="s">
        <v>1308</v>
      </c>
      <c r="B62" s="1965">
        <f t="shared" si="15"/>
        <v>2838557</v>
      </c>
      <c r="C62" s="95" t="s">
        <v>36</v>
      </c>
      <c r="D62" s="96" t="s">
        <v>830</v>
      </c>
      <c r="E62" s="96" t="s">
        <v>1651</v>
      </c>
      <c r="F62" s="96" t="s">
        <v>1652</v>
      </c>
      <c r="G62" s="96" t="s">
        <v>79</v>
      </c>
      <c r="H62" s="631" t="s">
        <v>1643</v>
      </c>
      <c r="I62" s="2142" t="s">
        <v>1167</v>
      </c>
      <c r="J62" s="1670" t="s">
        <v>1236</v>
      </c>
      <c r="K62" s="1651">
        <f>85680+1478975+1478975+160650+71222560</f>
        <v>74426840</v>
      </c>
      <c r="L62" s="1900" t="s">
        <v>1348</v>
      </c>
      <c r="M62" s="1659">
        <f>328486+150535+220626+299285+1478975+85680-85680+1478975-1478975+160650+71222560-67587215-3435345</f>
        <v>2838557</v>
      </c>
      <c r="N62" s="1900" t="s">
        <v>1598</v>
      </c>
      <c r="O62" s="1604">
        <f>328486+150535+220626+299285+1478975+160650+200000+299285-299285</f>
        <v>2838557</v>
      </c>
      <c r="P62" s="1672" t="s">
        <v>1599</v>
      </c>
      <c r="Q62" s="1851" t="s">
        <v>173</v>
      </c>
      <c r="R62" s="1852"/>
      <c r="S62" s="1852"/>
      <c r="T62" s="1852"/>
      <c r="U62" s="1852"/>
      <c r="V62" s="1852">
        <f>328486+150535+220626</f>
        <v>699647</v>
      </c>
      <c r="W62" s="1852"/>
      <c r="X62" s="1852"/>
      <c r="Y62" s="1852">
        <f>200000+1478975+160650</f>
        <v>1839625</v>
      </c>
      <c r="Z62" s="1852"/>
      <c r="AA62" s="1852"/>
      <c r="AB62" s="1853"/>
      <c r="AC62" s="1824">
        <f t="shared" si="16"/>
        <v>2539272</v>
      </c>
      <c r="AD62" s="1825">
        <f t="shared" si="17"/>
        <v>299285</v>
      </c>
      <c r="AF62" s="848" t="s">
        <v>148</v>
      </c>
      <c r="AG62" s="1291" t="s">
        <v>175</v>
      </c>
      <c r="AH62" s="1059" t="s">
        <v>1017</v>
      </c>
      <c r="AI62" s="1048" t="str">
        <f t="shared" si="18"/>
        <v>Factura 19130-2539-2730-20657-2822-3295</v>
      </c>
      <c r="AJ62" s="849">
        <f>6000000+34000000+35425772-72587215+599285</f>
        <v>3437842</v>
      </c>
      <c r="AK62" s="851">
        <f t="shared" si="19"/>
        <v>599285</v>
      </c>
      <c r="AL62" s="845"/>
      <c r="AM62" s="1518">
        <f t="shared" si="20"/>
        <v>599285</v>
      </c>
    </row>
    <row r="63" spans="1:39" s="654" customFormat="1" ht="15">
      <c r="A63" s="772" t="s">
        <v>1308</v>
      </c>
      <c r="B63" s="1965">
        <f t="shared" si="15"/>
        <v>15846132</v>
      </c>
      <c r="C63" s="95" t="s">
        <v>36</v>
      </c>
      <c r="D63" s="96" t="s">
        <v>830</v>
      </c>
      <c r="E63" s="96" t="s">
        <v>1651</v>
      </c>
      <c r="F63" s="96" t="s">
        <v>1652</v>
      </c>
      <c r="G63" s="96" t="s">
        <v>79</v>
      </c>
      <c r="H63" s="631" t="s">
        <v>1643</v>
      </c>
      <c r="I63" s="2142">
        <v>318</v>
      </c>
      <c r="J63" s="1650">
        <v>0</v>
      </c>
      <c r="K63" s="1651"/>
      <c r="L63" s="1652">
        <v>136</v>
      </c>
      <c r="M63" s="1659">
        <v>15846132</v>
      </c>
      <c r="N63" s="1593">
        <v>122</v>
      </c>
      <c r="O63" s="1604">
        <v>15846132</v>
      </c>
      <c r="P63" s="1655">
        <v>125</v>
      </c>
      <c r="Q63" s="1851"/>
      <c r="R63" s="1852">
        <v>1408545</v>
      </c>
      <c r="S63" s="1852">
        <f>VLOOKUP(N63,[9]Hoja2!N$2:T$77,7,0)</f>
        <v>5282044</v>
      </c>
      <c r="T63" s="1852">
        <v>5282044</v>
      </c>
      <c r="U63" s="1852">
        <v>3873499</v>
      </c>
      <c r="V63" s="1852"/>
      <c r="W63" s="1852"/>
      <c r="X63" s="1852"/>
      <c r="Y63" s="1852"/>
      <c r="Z63" s="1852"/>
      <c r="AA63" s="1852"/>
      <c r="AB63" s="1949"/>
      <c r="AC63" s="1824">
        <f t="shared" si="16"/>
        <v>15846132</v>
      </c>
      <c r="AD63" s="1825">
        <f t="shared" si="17"/>
        <v>0</v>
      </c>
      <c r="AF63" s="848">
        <v>318</v>
      </c>
      <c r="AG63" s="1291" t="s">
        <v>176</v>
      </c>
      <c r="AH63" s="1059" t="s">
        <v>567</v>
      </c>
      <c r="AI63" s="1048">
        <f t="shared" si="18"/>
        <v>125</v>
      </c>
      <c r="AJ63" s="849">
        <v>15846132</v>
      </c>
      <c r="AK63" s="851">
        <f t="shared" si="19"/>
        <v>0</v>
      </c>
      <c r="AL63" s="845"/>
      <c r="AM63" s="1518">
        <f t="shared" si="20"/>
        <v>0</v>
      </c>
    </row>
    <row r="64" spans="1:39" s="654" customFormat="1" ht="15" customHeight="1">
      <c r="A64" s="772" t="s">
        <v>1308</v>
      </c>
      <c r="B64" s="1965">
        <f t="shared" si="15"/>
        <v>0</v>
      </c>
      <c r="C64" s="95" t="s">
        <v>36</v>
      </c>
      <c r="D64" s="96" t="s">
        <v>830</v>
      </c>
      <c r="E64" s="96" t="s">
        <v>1651</v>
      </c>
      <c r="F64" s="96" t="s">
        <v>1652</v>
      </c>
      <c r="G64" s="96" t="s">
        <v>79</v>
      </c>
      <c r="H64" s="631" t="s">
        <v>1643</v>
      </c>
      <c r="I64" s="2142">
        <v>319</v>
      </c>
      <c r="J64" s="1650">
        <v>0</v>
      </c>
      <c r="K64" s="1651"/>
      <c r="L64" s="1652"/>
      <c r="M64" s="1653"/>
      <c r="N64" s="1586"/>
      <c r="O64" s="1654"/>
      <c r="P64" s="1655"/>
      <c r="Q64" s="1851"/>
      <c r="R64" s="1852"/>
      <c r="S64" s="1852"/>
      <c r="T64" s="1852"/>
      <c r="U64" s="1852"/>
      <c r="V64" s="1852"/>
      <c r="W64" s="1852"/>
      <c r="X64" s="1852"/>
      <c r="Y64" s="1852"/>
      <c r="Z64" s="1852"/>
      <c r="AA64" s="1852"/>
      <c r="AB64" s="1949"/>
      <c r="AC64" s="1824">
        <f t="shared" si="16"/>
        <v>0</v>
      </c>
      <c r="AD64" s="1825">
        <f t="shared" si="17"/>
        <v>0</v>
      </c>
      <c r="AF64" s="848">
        <v>319</v>
      </c>
      <c r="AG64" s="1291" t="s">
        <v>177</v>
      </c>
      <c r="AH64" s="1060" t="s">
        <v>173</v>
      </c>
      <c r="AI64" s="1048">
        <f t="shared" si="18"/>
        <v>0</v>
      </c>
      <c r="AJ64" s="849">
        <f>832000000-832000000</f>
        <v>0</v>
      </c>
      <c r="AK64" s="851">
        <f t="shared" si="19"/>
        <v>0</v>
      </c>
      <c r="AL64" s="845"/>
      <c r="AM64" s="1518">
        <f t="shared" si="20"/>
        <v>0</v>
      </c>
    </row>
    <row r="65" spans="1:39" s="654" customFormat="1" ht="15">
      <c r="A65" s="772" t="s">
        <v>1308</v>
      </c>
      <c r="B65" s="1965">
        <f t="shared" si="15"/>
        <v>31692000</v>
      </c>
      <c r="C65" s="95" t="s">
        <v>36</v>
      </c>
      <c r="D65" s="96" t="s">
        <v>830</v>
      </c>
      <c r="E65" s="96" t="s">
        <v>1651</v>
      </c>
      <c r="F65" s="96" t="s">
        <v>1652</v>
      </c>
      <c r="G65" s="96" t="s">
        <v>79</v>
      </c>
      <c r="H65" s="631" t="s">
        <v>1643</v>
      </c>
      <c r="I65" s="1656">
        <v>519</v>
      </c>
      <c r="J65" s="1650">
        <v>0</v>
      </c>
      <c r="K65" s="1651"/>
      <c r="L65" s="1652">
        <v>531</v>
      </c>
      <c r="M65" s="1659">
        <f>34333000-2641000</f>
        <v>31692000</v>
      </c>
      <c r="N65" s="1593">
        <v>613</v>
      </c>
      <c r="O65" s="1604">
        <v>31692000</v>
      </c>
      <c r="P65" s="1655">
        <v>381</v>
      </c>
      <c r="Q65" s="1851"/>
      <c r="R65" s="1852"/>
      <c r="S65" s="1852"/>
      <c r="T65" s="1852"/>
      <c r="U65" s="1852"/>
      <c r="V65" s="1852"/>
      <c r="W65" s="1852">
        <v>2993133</v>
      </c>
      <c r="X65" s="1852">
        <v>5282000</v>
      </c>
      <c r="Y65" s="1852">
        <v>5282000</v>
      </c>
      <c r="Z65" s="1852">
        <v>5282000</v>
      </c>
      <c r="AA65" s="1852">
        <v>5282000</v>
      </c>
      <c r="AB65" s="1949">
        <f>5282000+2288867</f>
        <v>7570867</v>
      </c>
      <c r="AC65" s="1824">
        <f t="shared" si="16"/>
        <v>31692000</v>
      </c>
      <c r="AD65" s="1825">
        <f t="shared" si="17"/>
        <v>0</v>
      </c>
      <c r="AF65" s="848">
        <v>519</v>
      </c>
      <c r="AG65" s="1291" t="s">
        <v>1560</v>
      </c>
      <c r="AH65" s="1059" t="s">
        <v>567</v>
      </c>
      <c r="AI65" s="1048">
        <f t="shared" si="18"/>
        <v>381</v>
      </c>
      <c r="AJ65" s="849">
        <f>36974308-5282308</f>
        <v>31692000</v>
      </c>
      <c r="AK65" s="851">
        <f t="shared" si="19"/>
        <v>0</v>
      </c>
      <c r="AL65" s="845"/>
      <c r="AM65" s="1518">
        <f t="shared" si="20"/>
        <v>0</v>
      </c>
    </row>
    <row r="66" spans="1:39" s="633" customFormat="1" ht="15" customHeight="1">
      <c r="A66" s="772" t="s">
        <v>1308</v>
      </c>
      <c r="B66" s="1965">
        <f t="shared" si="15"/>
        <v>6401010</v>
      </c>
      <c r="C66" s="95" t="s">
        <v>36</v>
      </c>
      <c r="D66" s="96" t="s">
        <v>830</v>
      </c>
      <c r="E66" s="96" t="s">
        <v>1651</v>
      </c>
      <c r="F66" s="96" t="s">
        <v>1652</v>
      </c>
      <c r="G66" s="96" t="s">
        <v>79</v>
      </c>
      <c r="H66" s="631" t="s">
        <v>1643</v>
      </c>
      <c r="I66" s="1656">
        <v>518</v>
      </c>
      <c r="J66" s="1650">
        <v>0</v>
      </c>
      <c r="K66" s="1651"/>
      <c r="L66" s="1658">
        <v>578</v>
      </c>
      <c r="M66" s="1659">
        <f>6493671-92661</f>
        <v>6401010</v>
      </c>
      <c r="N66" s="1593">
        <v>735</v>
      </c>
      <c r="O66" s="1604">
        <v>6401010</v>
      </c>
      <c r="P66" s="1655">
        <v>436</v>
      </c>
      <c r="Q66" s="1851"/>
      <c r="R66" s="1852"/>
      <c r="S66" s="1852"/>
      <c r="T66" s="1852"/>
      <c r="U66" s="1852"/>
      <c r="V66" s="1852"/>
      <c r="W66" s="1852"/>
      <c r="X66" s="1852"/>
      <c r="Y66" s="1852"/>
      <c r="Z66" s="1852"/>
      <c r="AA66" s="1852"/>
      <c r="AB66" s="1949">
        <v>6401010</v>
      </c>
      <c r="AC66" s="1824">
        <f t="shared" si="16"/>
        <v>6401010</v>
      </c>
      <c r="AD66" s="1825">
        <f t="shared" si="17"/>
        <v>0</v>
      </c>
      <c r="AF66" s="848">
        <v>518</v>
      </c>
      <c r="AG66" s="1291" t="s">
        <v>943</v>
      </c>
      <c r="AH66" s="1059" t="s">
        <v>1203</v>
      </c>
      <c r="AI66" s="1048">
        <f t="shared" si="18"/>
        <v>436</v>
      </c>
      <c r="AJ66" s="849">
        <f>15000000-8598990</f>
        <v>6401010</v>
      </c>
      <c r="AK66" s="851">
        <f t="shared" si="19"/>
        <v>0</v>
      </c>
      <c r="AL66" s="845"/>
      <c r="AM66" s="1518">
        <f t="shared" si="20"/>
        <v>0</v>
      </c>
    </row>
    <row r="67" spans="1:39" s="633" customFormat="1" ht="15" customHeight="1">
      <c r="A67" s="655" t="s">
        <v>80</v>
      </c>
      <c r="B67" s="1966">
        <f>B60-SUM(B61:B66)</f>
        <v>599285</v>
      </c>
      <c r="C67" s="656"/>
      <c r="D67" s="656"/>
      <c r="E67" s="656"/>
      <c r="F67" s="656"/>
      <c r="G67" s="656"/>
      <c r="H67" s="2146"/>
      <c r="I67" s="1660"/>
      <c r="J67" s="1661"/>
      <c r="K67" s="1662"/>
      <c r="L67" s="1589"/>
      <c r="M67" s="1663">
        <f>SUM(M61:M66)</f>
        <v>56777699</v>
      </c>
      <c r="N67" s="1589"/>
      <c r="O67" s="1663">
        <f>SUM(O61:O66)</f>
        <v>56777699</v>
      </c>
      <c r="P67" s="1664"/>
      <c r="Q67" s="1663">
        <f t="shared" ref="Q67:AD67" si="21">SUM(Q61:Q66)</f>
        <v>0</v>
      </c>
      <c r="R67" s="1663">
        <f t="shared" si="21"/>
        <v>1408545</v>
      </c>
      <c r="S67" s="1663">
        <f t="shared" si="21"/>
        <v>5282044</v>
      </c>
      <c r="T67" s="1663">
        <f t="shared" si="21"/>
        <v>5282044</v>
      </c>
      <c r="U67" s="1663">
        <f t="shared" si="21"/>
        <v>3873499</v>
      </c>
      <c r="V67" s="1663">
        <f t="shared" si="21"/>
        <v>699647</v>
      </c>
      <c r="W67" s="1663">
        <f t="shared" si="21"/>
        <v>2993133</v>
      </c>
      <c r="X67" s="1663">
        <f t="shared" si="21"/>
        <v>5282000</v>
      </c>
      <c r="Y67" s="1663">
        <f t="shared" si="21"/>
        <v>7121625</v>
      </c>
      <c r="Z67" s="1663">
        <f t="shared" si="21"/>
        <v>5282000</v>
      </c>
      <c r="AA67" s="1663">
        <f t="shared" si="21"/>
        <v>5282000</v>
      </c>
      <c r="AB67" s="1663">
        <f t="shared" si="21"/>
        <v>13971877</v>
      </c>
      <c r="AC67" s="1663">
        <f t="shared" si="21"/>
        <v>56478414</v>
      </c>
      <c r="AD67" s="1663">
        <f t="shared" si="21"/>
        <v>299285</v>
      </c>
      <c r="AF67" s="852"/>
      <c r="AG67" s="14">
        <f>SUM(AG66:AG66)</f>
        <v>0</v>
      </c>
      <c r="AH67" s="14">
        <f>SUM(AH66:AH66)</f>
        <v>0</v>
      </c>
      <c r="AI67" s="1052">
        <f>SUM(AI66:AI66)</f>
        <v>436</v>
      </c>
      <c r="AJ67" s="1663">
        <f>SUM(AJ61:AJ66)</f>
        <v>57376984</v>
      </c>
      <c r="AK67" s="181">
        <f>SUM(AK61:AK66)</f>
        <v>599285</v>
      </c>
      <c r="AL67" s="845">
        <f>B60-AJ67</f>
        <v>0</v>
      </c>
    </row>
    <row r="68" spans="1:39" s="654" customFormat="1" ht="28.5" customHeight="1">
      <c r="A68" s="1279" t="s">
        <v>1308</v>
      </c>
      <c r="B68" s="1967">
        <f>864424000-802000000-62424000</f>
        <v>0</v>
      </c>
      <c r="C68" s="1275" t="s">
        <v>83</v>
      </c>
      <c r="D68" s="1276" t="s">
        <v>830</v>
      </c>
      <c r="E68" s="1276" t="s">
        <v>1651</v>
      </c>
      <c r="F68" s="1276" t="s">
        <v>1652</v>
      </c>
      <c r="G68" s="1276" t="s">
        <v>79</v>
      </c>
      <c r="H68" s="2151" t="s">
        <v>1643</v>
      </c>
      <c r="I68" s="1644"/>
      <c r="J68" s="1645">
        <v>0</v>
      </c>
      <c r="K68" s="1646"/>
      <c r="L68" s="1647"/>
      <c r="M68" s="1648"/>
      <c r="N68" s="1647"/>
      <c r="O68" s="1649"/>
      <c r="P68" s="1643"/>
      <c r="Q68" s="1822"/>
      <c r="R68" s="1850"/>
      <c r="S68" s="1850"/>
      <c r="T68" s="1850"/>
      <c r="U68" s="1850"/>
      <c r="V68" s="1850"/>
      <c r="W68" s="1850"/>
      <c r="X68" s="1850"/>
      <c r="Y68" s="1850"/>
      <c r="Z68" s="1850"/>
      <c r="AA68" s="1850"/>
      <c r="AB68" s="1823"/>
      <c r="AC68" s="1822"/>
      <c r="AD68" s="1823"/>
      <c r="AF68" s="1183"/>
      <c r="AG68" s="652"/>
      <c r="AH68" s="652"/>
      <c r="AI68" s="652"/>
      <c r="AJ68" s="1850"/>
      <c r="AK68" s="653"/>
      <c r="AL68" s="845"/>
      <c r="AM68" s="1988">
        <f>B59-AL67</f>
        <v>57376984</v>
      </c>
    </row>
    <row r="69" spans="1:39" s="633" customFormat="1" ht="24">
      <c r="A69" s="1287" t="s">
        <v>1308</v>
      </c>
      <c r="B69" s="1965">
        <f>M69</f>
        <v>0</v>
      </c>
      <c r="C69" s="95" t="s">
        <v>83</v>
      </c>
      <c r="D69" s="96" t="s">
        <v>830</v>
      </c>
      <c r="E69" s="96" t="s">
        <v>1651</v>
      </c>
      <c r="F69" s="96" t="s">
        <v>1652</v>
      </c>
      <c r="G69" s="96" t="s">
        <v>79</v>
      </c>
      <c r="H69" s="631" t="s">
        <v>1643</v>
      </c>
      <c r="I69" s="2142">
        <v>317</v>
      </c>
      <c r="J69" s="1650">
        <v>0</v>
      </c>
      <c r="K69" s="1651"/>
      <c r="L69" s="1586"/>
      <c r="M69" s="1653"/>
      <c r="N69" s="1586"/>
      <c r="O69" s="1604"/>
      <c r="P69" s="1655"/>
      <c r="Q69" s="1851"/>
      <c r="R69" s="1852"/>
      <c r="S69" s="1852"/>
      <c r="T69" s="1852"/>
      <c r="U69" s="1852"/>
      <c r="V69" s="1852"/>
      <c r="W69" s="1852"/>
      <c r="X69" s="1852"/>
      <c r="Y69" s="1852"/>
      <c r="Z69" s="1852"/>
      <c r="AA69" s="1852"/>
      <c r="AB69" s="1853"/>
      <c r="AC69" s="1824">
        <f>SUM(Q69:AB69)</f>
        <v>0</v>
      </c>
      <c r="AD69" s="1825">
        <f>O69-AC69</f>
        <v>0</v>
      </c>
      <c r="AF69" s="1351">
        <v>317</v>
      </c>
      <c r="AG69" s="1291" t="s">
        <v>174</v>
      </c>
      <c r="AH69" s="1059" t="s">
        <v>173</v>
      </c>
      <c r="AI69" s="1048">
        <f>P69</f>
        <v>0</v>
      </c>
      <c r="AJ69" s="1352">
        <f>864424000-802000000-62424000</f>
        <v>0</v>
      </c>
      <c r="AK69" s="851">
        <f>AJ69-O69</f>
        <v>0</v>
      </c>
      <c r="AL69" s="845"/>
      <c r="AM69" s="1518">
        <f>AJ69-M69</f>
        <v>0</v>
      </c>
    </row>
    <row r="70" spans="1:39" s="633" customFormat="1" ht="15">
      <c r="A70" s="655" t="s">
        <v>80</v>
      </c>
      <c r="B70" s="1966">
        <f>+B69-L69</f>
        <v>0</v>
      </c>
      <c r="C70" s="656"/>
      <c r="D70" s="656"/>
      <c r="E70" s="656"/>
      <c r="F70" s="656"/>
      <c r="G70" s="656"/>
      <c r="H70" s="2146"/>
      <c r="I70" s="1660"/>
      <c r="J70" s="1661"/>
      <c r="K70" s="1662"/>
      <c r="L70" s="1589"/>
      <c r="M70" s="1663">
        <f>SUM(M69:M69)</f>
        <v>0</v>
      </c>
      <c r="N70" s="1589"/>
      <c r="O70" s="1663">
        <f>SUM(O69:O69)</f>
        <v>0</v>
      </c>
      <c r="P70" s="1664"/>
      <c r="Q70" s="1662">
        <f t="shared" ref="Q70:AD70" si="22">SUM(Q69:Q69)</f>
        <v>0</v>
      </c>
      <c r="R70" s="1663">
        <f t="shared" si="22"/>
        <v>0</v>
      </c>
      <c r="S70" s="1663">
        <f t="shared" si="22"/>
        <v>0</v>
      </c>
      <c r="T70" s="1663">
        <f t="shared" si="22"/>
        <v>0</v>
      </c>
      <c r="U70" s="1663">
        <f t="shared" si="22"/>
        <v>0</v>
      </c>
      <c r="V70" s="1663">
        <f t="shared" si="22"/>
        <v>0</v>
      </c>
      <c r="W70" s="1663">
        <f t="shared" si="22"/>
        <v>0</v>
      </c>
      <c r="X70" s="1663">
        <f t="shared" si="22"/>
        <v>0</v>
      </c>
      <c r="Y70" s="1663">
        <f t="shared" si="22"/>
        <v>0</v>
      </c>
      <c r="Z70" s="1663">
        <f t="shared" si="22"/>
        <v>0</v>
      </c>
      <c r="AA70" s="1663">
        <f t="shared" si="22"/>
        <v>0</v>
      </c>
      <c r="AB70" s="1826">
        <f t="shared" si="22"/>
        <v>0</v>
      </c>
      <c r="AC70" s="1662">
        <f t="shared" si="22"/>
        <v>0</v>
      </c>
      <c r="AD70" s="1826">
        <f t="shared" si="22"/>
        <v>0</v>
      </c>
      <c r="AF70" s="852"/>
      <c r="AG70" s="14">
        <f>SUM(AG69:AG69)</f>
        <v>0</v>
      </c>
      <c r="AH70" s="14">
        <f>SUM(AH69:AH69)</f>
        <v>0</v>
      </c>
      <c r="AI70" s="1052">
        <f>SUM(AI69:AI69)</f>
        <v>0</v>
      </c>
      <c r="AJ70" s="1663">
        <f>SUM(AJ69:AJ69)</f>
        <v>0</v>
      </c>
      <c r="AK70" s="181">
        <f>SUM(AK69:AK69)</f>
        <v>0</v>
      </c>
      <c r="AL70" s="845">
        <f>B68-AJ70</f>
        <v>0</v>
      </c>
    </row>
    <row r="71" spans="1:39" s="654" customFormat="1" ht="29.25" customHeight="1">
      <c r="A71" s="1279" t="s">
        <v>1308</v>
      </c>
      <c r="B71" s="1967">
        <f>725000-725000</f>
        <v>0</v>
      </c>
      <c r="C71" s="1275" t="s">
        <v>82</v>
      </c>
      <c r="D71" s="1276" t="s">
        <v>830</v>
      </c>
      <c r="E71" s="1276" t="s">
        <v>1651</v>
      </c>
      <c r="F71" s="1276" t="s">
        <v>1652</v>
      </c>
      <c r="G71" s="1276" t="s">
        <v>79</v>
      </c>
      <c r="H71" s="2151" t="s">
        <v>1643</v>
      </c>
      <c r="I71" s="1644"/>
      <c r="J71" s="1645">
        <v>0</v>
      </c>
      <c r="K71" s="1646"/>
      <c r="L71" s="1647"/>
      <c r="M71" s="1648"/>
      <c r="N71" s="1647"/>
      <c r="O71" s="1649"/>
      <c r="P71" s="1643"/>
      <c r="Q71" s="1822"/>
      <c r="R71" s="1850"/>
      <c r="S71" s="1850"/>
      <c r="T71" s="1850"/>
      <c r="U71" s="1850"/>
      <c r="V71" s="1850"/>
      <c r="W71" s="1850"/>
      <c r="X71" s="1850"/>
      <c r="Y71" s="1850"/>
      <c r="Z71" s="1850"/>
      <c r="AA71" s="1850"/>
      <c r="AB71" s="1823"/>
      <c r="AC71" s="1822"/>
      <c r="AD71" s="1823"/>
      <c r="AF71" s="1183"/>
      <c r="AG71" s="652"/>
      <c r="AH71" s="652"/>
      <c r="AI71" s="652"/>
      <c r="AJ71" s="1850"/>
      <c r="AK71" s="653"/>
      <c r="AL71" s="845"/>
      <c r="AM71" s="1517"/>
    </row>
    <row r="72" spans="1:39" s="633" customFormat="1" ht="24">
      <c r="A72" s="1287" t="s">
        <v>1308</v>
      </c>
      <c r="B72" s="1965">
        <f>M72</f>
        <v>0</v>
      </c>
      <c r="C72" s="95" t="s">
        <v>82</v>
      </c>
      <c r="D72" s="96" t="s">
        <v>830</v>
      </c>
      <c r="E72" s="1277" t="s">
        <v>1651</v>
      </c>
      <c r="F72" s="1277" t="s">
        <v>1652</v>
      </c>
      <c r="G72" s="1277" t="s">
        <v>79</v>
      </c>
      <c r="H72" s="2152" t="s">
        <v>1643</v>
      </c>
      <c r="I72" s="2142">
        <v>317</v>
      </c>
      <c r="J72" s="1650">
        <v>0</v>
      </c>
      <c r="K72" s="1651"/>
      <c r="L72" s="1586"/>
      <c r="M72" s="1653"/>
      <c r="N72" s="1586"/>
      <c r="O72" s="1604"/>
      <c r="P72" s="1655"/>
      <c r="Q72" s="1851"/>
      <c r="R72" s="1852"/>
      <c r="S72" s="1852"/>
      <c r="T72" s="1852"/>
      <c r="U72" s="1852"/>
      <c r="V72" s="1852"/>
      <c r="W72" s="1852"/>
      <c r="X72" s="1852"/>
      <c r="Y72" s="1852"/>
      <c r="Z72" s="1852"/>
      <c r="AA72" s="1852"/>
      <c r="AB72" s="1853"/>
      <c r="AC72" s="1824">
        <f>SUM(Q72:AB72)</f>
        <v>0</v>
      </c>
      <c r="AD72" s="1825">
        <f>O72-AC72</f>
        <v>0</v>
      </c>
      <c r="AF72" s="1351">
        <v>317</v>
      </c>
      <c r="AG72" s="1291" t="s">
        <v>174</v>
      </c>
      <c r="AH72" s="1059" t="s">
        <v>173</v>
      </c>
      <c r="AI72" s="1048">
        <f>P72</f>
        <v>0</v>
      </c>
      <c r="AJ72" s="1352">
        <f>725000-725000</f>
        <v>0</v>
      </c>
      <c r="AK72" s="851">
        <f>AJ72-O72</f>
        <v>0</v>
      </c>
      <c r="AL72" s="845"/>
      <c r="AM72" s="1518">
        <f>AJ72-M72</f>
        <v>0</v>
      </c>
    </row>
    <row r="73" spans="1:39" s="633" customFormat="1" ht="15">
      <c r="A73" s="655" t="s">
        <v>80</v>
      </c>
      <c r="B73" s="1966">
        <f>B71-SUM(B72:B72)</f>
        <v>0</v>
      </c>
      <c r="C73" s="656"/>
      <c r="D73" s="656"/>
      <c r="E73" s="656"/>
      <c r="F73" s="656"/>
      <c r="G73" s="656"/>
      <c r="H73" s="2146"/>
      <c r="I73" s="1660"/>
      <c r="J73" s="1661"/>
      <c r="K73" s="1662"/>
      <c r="L73" s="1589"/>
      <c r="M73" s="1663">
        <f>SUM(M72:M72)</f>
        <v>0</v>
      </c>
      <c r="N73" s="1589"/>
      <c r="O73" s="1663">
        <f>SUM(O72:O72)</f>
        <v>0</v>
      </c>
      <c r="P73" s="1664"/>
      <c r="Q73" s="1662">
        <f t="shared" ref="Q73:AD73" si="23">SUM(Q72:Q72)</f>
        <v>0</v>
      </c>
      <c r="R73" s="1663">
        <f t="shared" si="23"/>
        <v>0</v>
      </c>
      <c r="S73" s="1663">
        <f t="shared" si="23"/>
        <v>0</v>
      </c>
      <c r="T73" s="1663">
        <f t="shared" si="23"/>
        <v>0</v>
      </c>
      <c r="U73" s="1663">
        <f t="shared" si="23"/>
        <v>0</v>
      </c>
      <c r="V73" s="1663">
        <f t="shared" si="23"/>
        <v>0</v>
      </c>
      <c r="W73" s="1663">
        <f t="shared" si="23"/>
        <v>0</v>
      </c>
      <c r="X73" s="1663">
        <f t="shared" si="23"/>
        <v>0</v>
      </c>
      <c r="Y73" s="1663">
        <f t="shared" si="23"/>
        <v>0</v>
      </c>
      <c r="Z73" s="1663">
        <f t="shared" si="23"/>
        <v>0</v>
      </c>
      <c r="AA73" s="1663">
        <f t="shared" si="23"/>
        <v>0</v>
      </c>
      <c r="AB73" s="1826">
        <f t="shared" si="23"/>
        <v>0</v>
      </c>
      <c r="AC73" s="1662">
        <f t="shared" si="23"/>
        <v>0</v>
      </c>
      <c r="AD73" s="1826">
        <f t="shared" si="23"/>
        <v>0</v>
      </c>
      <c r="AF73" s="852"/>
      <c r="AG73" s="14">
        <f>SUM(AG72:AG72)</f>
        <v>0</v>
      </c>
      <c r="AH73" s="14">
        <f>SUM(AH72:AH72)</f>
        <v>0</v>
      </c>
      <c r="AI73" s="1052">
        <f>SUM(AI72:AI72)</f>
        <v>0</v>
      </c>
      <c r="AJ73" s="1663">
        <f>SUM(AJ72:AJ72)</f>
        <v>0</v>
      </c>
      <c r="AK73" s="181">
        <f>SUM(AK72:AK72)</f>
        <v>0</v>
      </c>
      <c r="AL73" s="845">
        <f>B71-AJ73</f>
        <v>0</v>
      </c>
    </row>
    <row r="74" spans="1:39" s="654" customFormat="1" ht="26.25" customHeight="1">
      <c r="A74" s="1279" t="s">
        <v>1308</v>
      </c>
      <c r="B74" s="1967">
        <f>528108000+802000000-1330108000</f>
        <v>0</v>
      </c>
      <c r="C74" s="1275" t="s">
        <v>146</v>
      </c>
      <c r="D74" s="1276" t="s">
        <v>830</v>
      </c>
      <c r="E74" s="1276" t="s">
        <v>1651</v>
      </c>
      <c r="F74" s="1276" t="s">
        <v>1652</v>
      </c>
      <c r="G74" s="1276" t="s">
        <v>79</v>
      </c>
      <c r="H74" s="2151" t="s">
        <v>1643</v>
      </c>
      <c r="I74" s="1644"/>
      <c r="J74" s="1645">
        <v>0</v>
      </c>
      <c r="K74" s="1646"/>
      <c r="L74" s="1673"/>
      <c r="M74" s="1648"/>
      <c r="N74" s="1647"/>
      <c r="O74" s="1649"/>
      <c r="P74" s="1643"/>
      <c r="Q74" s="1822"/>
      <c r="R74" s="1850"/>
      <c r="S74" s="1850"/>
      <c r="T74" s="1850"/>
      <c r="U74" s="1850"/>
      <c r="V74" s="1850"/>
      <c r="W74" s="1850"/>
      <c r="X74" s="1850"/>
      <c r="Y74" s="1850"/>
      <c r="Z74" s="1850"/>
      <c r="AA74" s="1850"/>
      <c r="AB74" s="1823"/>
      <c r="AC74" s="1822"/>
      <c r="AD74" s="1823"/>
      <c r="AF74" s="1183"/>
      <c r="AG74" s="652"/>
      <c r="AH74" s="652"/>
      <c r="AI74" s="652"/>
      <c r="AJ74" s="1850"/>
      <c r="AK74" s="653"/>
      <c r="AL74" s="845"/>
      <c r="AM74" s="1517"/>
    </row>
    <row r="75" spans="1:39" s="633" customFormat="1" ht="24" customHeight="1">
      <c r="A75" s="1287" t="s">
        <v>1308</v>
      </c>
      <c r="B75" s="1965">
        <f>M75</f>
        <v>0</v>
      </c>
      <c r="C75" s="95" t="s">
        <v>146</v>
      </c>
      <c r="D75" s="96" t="s">
        <v>830</v>
      </c>
      <c r="E75" s="96" t="s">
        <v>1651</v>
      </c>
      <c r="F75" s="96" t="s">
        <v>1652</v>
      </c>
      <c r="G75" s="96" t="s">
        <v>79</v>
      </c>
      <c r="H75" s="631" t="s">
        <v>1643</v>
      </c>
      <c r="I75" s="2142">
        <v>317</v>
      </c>
      <c r="J75" s="1650">
        <v>0</v>
      </c>
      <c r="K75" s="1651"/>
      <c r="L75" s="1652"/>
      <c r="M75" s="1659"/>
      <c r="N75" s="1652"/>
      <c r="O75" s="1604"/>
      <c r="P75" s="1655"/>
      <c r="Q75" s="1851"/>
      <c r="R75" s="1852"/>
      <c r="S75" s="1852"/>
      <c r="T75" s="1852"/>
      <c r="U75" s="1852"/>
      <c r="V75" s="1852"/>
      <c r="W75" s="1852"/>
      <c r="X75" s="1852"/>
      <c r="Y75" s="1852"/>
      <c r="Z75" s="1852"/>
      <c r="AA75" s="1852"/>
      <c r="AB75" s="1853"/>
      <c r="AC75" s="1824">
        <f>SUM(Q75:AB75)</f>
        <v>0</v>
      </c>
      <c r="AD75" s="1825">
        <f>O75-AC75</f>
        <v>0</v>
      </c>
      <c r="AF75" s="1351">
        <v>317</v>
      </c>
      <c r="AG75" s="1291" t="s">
        <v>174</v>
      </c>
      <c r="AH75" s="1059" t="s">
        <v>173</v>
      </c>
      <c r="AI75" s="1048">
        <f>P75</f>
        <v>0</v>
      </c>
      <c r="AJ75" s="1352">
        <f>528108000+802000000-1330108000</f>
        <v>0</v>
      </c>
      <c r="AK75" s="851">
        <f>AJ75-O75</f>
        <v>0</v>
      </c>
      <c r="AL75" s="845"/>
      <c r="AM75" s="1518">
        <f>AJ75-M75</f>
        <v>0</v>
      </c>
    </row>
    <row r="76" spans="1:39" s="633" customFormat="1" ht="15">
      <c r="A76" s="655" t="s">
        <v>80</v>
      </c>
      <c r="B76" s="1966">
        <f>B74-SUM(B75:B75)</f>
        <v>0</v>
      </c>
      <c r="C76" s="656"/>
      <c r="D76" s="656"/>
      <c r="E76" s="656"/>
      <c r="F76" s="656"/>
      <c r="G76" s="656"/>
      <c r="H76" s="2146"/>
      <c r="I76" s="1660"/>
      <c r="J76" s="1661"/>
      <c r="K76" s="1662"/>
      <c r="L76" s="1589"/>
      <c r="M76" s="1663">
        <f>SUM(M75:M75)</f>
        <v>0</v>
      </c>
      <c r="N76" s="1589"/>
      <c r="O76" s="1663">
        <f>SUM(O75:O75)</f>
        <v>0</v>
      </c>
      <c r="P76" s="1664"/>
      <c r="Q76" s="1662">
        <f t="shared" ref="Q76:AD76" si="24">SUM(Q75:Q75)</f>
        <v>0</v>
      </c>
      <c r="R76" s="1663">
        <f t="shared" si="24"/>
        <v>0</v>
      </c>
      <c r="S76" s="1663">
        <f t="shared" si="24"/>
        <v>0</v>
      </c>
      <c r="T76" s="1663">
        <f t="shared" si="24"/>
        <v>0</v>
      </c>
      <c r="U76" s="1663">
        <f t="shared" si="24"/>
        <v>0</v>
      </c>
      <c r="V76" s="1663">
        <f t="shared" si="24"/>
        <v>0</v>
      </c>
      <c r="W76" s="1663">
        <f t="shared" si="24"/>
        <v>0</v>
      </c>
      <c r="X76" s="1663">
        <f t="shared" si="24"/>
        <v>0</v>
      </c>
      <c r="Y76" s="1663">
        <f t="shared" si="24"/>
        <v>0</v>
      </c>
      <c r="Z76" s="1663">
        <f t="shared" si="24"/>
        <v>0</v>
      </c>
      <c r="AA76" s="1663">
        <f t="shared" si="24"/>
        <v>0</v>
      </c>
      <c r="AB76" s="1826">
        <f t="shared" si="24"/>
        <v>0</v>
      </c>
      <c r="AC76" s="1662">
        <f t="shared" si="24"/>
        <v>0</v>
      </c>
      <c r="AD76" s="1826">
        <f t="shared" si="24"/>
        <v>0</v>
      </c>
      <c r="AF76" s="852"/>
      <c r="AG76" s="14">
        <f>SUM(AG75:AG75)</f>
        <v>0</v>
      </c>
      <c r="AH76" s="14">
        <f>SUM(AH75:AH75)</f>
        <v>0</v>
      </c>
      <c r="AI76" s="1052">
        <f>SUM(AI75:AI75)</f>
        <v>0</v>
      </c>
      <c r="AJ76" s="1663">
        <f>SUM(AJ75:AJ75)</f>
        <v>0</v>
      </c>
      <c r="AK76" s="181">
        <f>SUM(AK75:AK75)</f>
        <v>0</v>
      </c>
      <c r="AL76" s="845">
        <f>B74-AJ76</f>
        <v>0</v>
      </c>
    </row>
    <row r="77" spans="1:39" s="654" customFormat="1" ht="23.25" customHeight="1">
      <c r="A77" s="1279" t="s">
        <v>1308</v>
      </c>
      <c r="B77" s="1967">
        <f>1139390346-1139390346</f>
        <v>0</v>
      </c>
      <c r="C77" s="1275" t="s">
        <v>81</v>
      </c>
      <c r="D77" s="1276" t="s">
        <v>830</v>
      </c>
      <c r="E77" s="1276" t="s">
        <v>1651</v>
      </c>
      <c r="F77" s="1276" t="s">
        <v>1652</v>
      </c>
      <c r="G77" s="1276" t="s">
        <v>79</v>
      </c>
      <c r="H77" s="2151" t="s">
        <v>1643</v>
      </c>
      <c r="I77" s="1644"/>
      <c r="J77" s="1645">
        <v>0</v>
      </c>
      <c r="K77" s="1646"/>
      <c r="L77" s="1647"/>
      <c r="M77" s="1648"/>
      <c r="N77" s="1647"/>
      <c r="O77" s="1649"/>
      <c r="P77" s="1643"/>
      <c r="Q77" s="1822"/>
      <c r="R77" s="1850"/>
      <c r="S77" s="1850"/>
      <c r="T77" s="1850"/>
      <c r="U77" s="1850"/>
      <c r="V77" s="1850"/>
      <c r="W77" s="1850"/>
      <c r="X77" s="1850"/>
      <c r="Y77" s="1850"/>
      <c r="Z77" s="1850"/>
      <c r="AA77" s="1850"/>
      <c r="AB77" s="1823"/>
      <c r="AC77" s="1822"/>
      <c r="AD77" s="1823"/>
      <c r="AF77" s="1183"/>
      <c r="AG77" s="652"/>
      <c r="AH77" s="652"/>
      <c r="AI77" s="652"/>
      <c r="AJ77" s="1850"/>
      <c r="AK77" s="653"/>
      <c r="AL77" s="845"/>
      <c r="AM77" s="1517"/>
    </row>
    <row r="78" spans="1:39" s="633" customFormat="1" ht="24" customHeight="1">
      <c r="A78" s="1287" t="s">
        <v>1308</v>
      </c>
      <c r="B78" s="1965">
        <f>M78</f>
        <v>0</v>
      </c>
      <c r="C78" s="95" t="s">
        <v>81</v>
      </c>
      <c r="D78" s="96" t="s">
        <v>830</v>
      </c>
      <c r="E78" s="96" t="s">
        <v>1651</v>
      </c>
      <c r="F78" s="96" t="s">
        <v>1652</v>
      </c>
      <c r="G78" s="96" t="s">
        <v>79</v>
      </c>
      <c r="H78" s="631" t="s">
        <v>1643</v>
      </c>
      <c r="I78" s="2142">
        <v>317</v>
      </c>
      <c r="J78" s="1650">
        <v>0</v>
      </c>
      <c r="K78" s="1651"/>
      <c r="L78" s="1586"/>
      <c r="M78" s="1653"/>
      <c r="N78" s="1586"/>
      <c r="O78" s="1604"/>
      <c r="P78" s="1655"/>
      <c r="Q78" s="1851"/>
      <c r="R78" s="1852"/>
      <c r="S78" s="1852"/>
      <c r="T78" s="1852"/>
      <c r="U78" s="1852"/>
      <c r="V78" s="1852"/>
      <c r="W78" s="1852"/>
      <c r="X78" s="1852"/>
      <c r="Y78" s="1852"/>
      <c r="Z78" s="1852"/>
      <c r="AA78" s="1852"/>
      <c r="AB78" s="1853"/>
      <c r="AC78" s="1824">
        <f>SUM(Q78:AB78)</f>
        <v>0</v>
      </c>
      <c r="AD78" s="1825">
        <f>O78-AC78</f>
        <v>0</v>
      </c>
      <c r="AF78" s="1351">
        <v>317</v>
      </c>
      <c r="AG78" s="1291" t="s">
        <v>174</v>
      </c>
      <c r="AH78" s="1059" t="s">
        <v>173</v>
      </c>
      <c r="AI78" s="1048">
        <f>P78</f>
        <v>0</v>
      </c>
      <c r="AJ78" s="1352">
        <f>1139390346-1139390346</f>
        <v>0</v>
      </c>
      <c r="AK78" s="851">
        <f>AJ78-O78</f>
        <v>0</v>
      </c>
      <c r="AL78" s="845"/>
      <c r="AM78" s="1518">
        <f>AJ78-M78</f>
        <v>0</v>
      </c>
    </row>
    <row r="79" spans="1:39" s="633" customFormat="1" ht="15">
      <c r="A79" s="655" t="s">
        <v>80</v>
      </c>
      <c r="B79" s="1966">
        <f>B77-SUM(B78:B78)</f>
        <v>0</v>
      </c>
      <c r="C79" s="656"/>
      <c r="D79" s="656"/>
      <c r="E79" s="656"/>
      <c r="F79" s="656"/>
      <c r="G79" s="656"/>
      <c r="H79" s="2146"/>
      <c r="I79" s="1660"/>
      <c r="J79" s="1661"/>
      <c r="K79" s="1662"/>
      <c r="L79" s="1589"/>
      <c r="M79" s="1663">
        <f>SUM(M78:M78)</f>
        <v>0</v>
      </c>
      <c r="N79" s="1589"/>
      <c r="O79" s="1663">
        <f>SUM(O78:O78)</f>
        <v>0</v>
      </c>
      <c r="P79" s="1664"/>
      <c r="Q79" s="1662">
        <f t="shared" ref="Q79:AD79" si="25">SUM(Q78:Q78)</f>
        <v>0</v>
      </c>
      <c r="R79" s="1663">
        <f t="shared" si="25"/>
        <v>0</v>
      </c>
      <c r="S79" s="1663">
        <f t="shared" si="25"/>
        <v>0</v>
      </c>
      <c r="T79" s="1663">
        <f t="shared" si="25"/>
        <v>0</v>
      </c>
      <c r="U79" s="1663">
        <f t="shared" si="25"/>
        <v>0</v>
      </c>
      <c r="V79" s="1663">
        <f t="shared" si="25"/>
        <v>0</v>
      </c>
      <c r="W79" s="1663">
        <f t="shared" si="25"/>
        <v>0</v>
      </c>
      <c r="X79" s="1663">
        <f t="shared" si="25"/>
        <v>0</v>
      </c>
      <c r="Y79" s="1663">
        <f t="shared" si="25"/>
        <v>0</v>
      </c>
      <c r="Z79" s="1663">
        <f t="shared" si="25"/>
        <v>0</v>
      </c>
      <c r="AA79" s="1663">
        <f t="shared" si="25"/>
        <v>0</v>
      </c>
      <c r="AB79" s="1826">
        <f t="shared" si="25"/>
        <v>0</v>
      </c>
      <c r="AC79" s="1662">
        <f t="shared" si="25"/>
        <v>0</v>
      </c>
      <c r="AD79" s="1826">
        <f t="shared" si="25"/>
        <v>0</v>
      </c>
      <c r="AF79" s="852"/>
      <c r="AG79" s="14">
        <f>SUM(AG78:AG78)</f>
        <v>0</v>
      </c>
      <c r="AH79" s="14">
        <f>SUM(AH78:AH78)</f>
        <v>0</v>
      </c>
      <c r="AI79" s="1052">
        <f>SUM(AI78:AI78)</f>
        <v>0</v>
      </c>
      <c r="AJ79" s="1663">
        <f>SUM(AJ78:AJ78)</f>
        <v>0</v>
      </c>
      <c r="AK79" s="181">
        <f>SUM(AK78:AK78)</f>
        <v>0</v>
      </c>
      <c r="AL79" s="845">
        <f>B77-AJ79</f>
        <v>0</v>
      </c>
    </row>
    <row r="80" spans="1:39" s="633" customFormat="1" ht="38.25" customHeight="1">
      <c r="A80" s="1279" t="s">
        <v>1308</v>
      </c>
      <c r="B80" s="1967">
        <f>913436654-913436654</f>
        <v>0</v>
      </c>
      <c r="C80" s="1275" t="s">
        <v>81</v>
      </c>
      <c r="D80" s="1276" t="s">
        <v>830</v>
      </c>
      <c r="E80" s="1276" t="s">
        <v>1651</v>
      </c>
      <c r="F80" s="1276" t="s">
        <v>1652</v>
      </c>
      <c r="G80" s="1276" t="s">
        <v>79</v>
      </c>
      <c r="H80" s="2151" t="s">
        <v>1643</v>
      </c>
      <c r="I80" s="1666" t="s">
        <v>173</v>
      </c>
      <c r="J80" s="1674">
        <v>824</v>
      </c>
      <c r="K80" s="1721">
        <v>913436654</v>
      </c>
      <c r="L80" s="1926">
        <v>914</v>
      </c>
      <c r="M80" s="1927">
        <f>913436654-913436654</f>
        <v>0</v>
      </c>
      <c r="N80" s="1676"/>
      <c r="O80" s="1677"/>
      <c r="P80" s="1655"/>
      <c r="Q80" s="1675"/>
      <c r="R80" s="1677"/>
      <c r="S80" s="1677"/>
      <c r="T80" s="1677"/>
      <c r="U80" s="1677"/>
      <c r="V80" s="1677"/>
      <c r="W80" s="1677"/>
      <c r="X80" s="1677"/>
      <c r="Y80" s="1677"/>
      <c r="Z80" s="1677"/>
      <c r="AA80" s="1677"/>
      <c r="AB80" s="1855"/>
      <c r="AC80" s="1824">
        <f>SUM(Q80:AB80)</f>
        <v>0</v>
      </c>
      <c r="AD80" s="1825">
        <f>O80-AC80</f>
        <v>0</v>
      </c>
      <c r="AF80" s="1311"/>
      <c r="AG80" s="1291" t="s">
        <v>174</v>
      </c>
      <c r="AH80" s="672" t="s">
        <v>173</v>
      </c>
      <c r="AI80" s="1048">
        <f>P80</f>
        <v>0</v>
      </c>
      <c r="AJ80" s="1677">
        <f>913436654-913436654</f>
        <v>0</v>
      </c>
      <c r="AK80" s="851">
        <f>AJ80-O80</f>
        <v>0</v>
      </c>
      <c r="AL80" s="845"/>
      <c r="AM80" s="1518">
        <f>AJ80-M80</f>
        <v>0</v>
      </c>
    </row>
    <row r="81" spans="1:39" s="633" customFormat="1" ht="24" customHeight="1">
      <c r="A81" s="1287" t="s">
        <v>1308</v>
      </c>
      <c r="B81" s="1968">
        <f>M81</f>
        <v>0</v>
      </c>
      <c r="C81" s="95" t="s">
        <v>81</v>
      </c>
      <c r="D81" s="96" t="s">
        <v>830</v>
      </c>
      <c r="E81" s="96" t="s">
        <v>1651</v>
      </c>
      <c r="F81" s="96" t="s">
        <v>1652</v>
      </c>
      <c r="G81" s="96" t="s">
        <v>79</v>
      </c>
      <c r="H81" s="631" t="s">
        <v>1643</v>
      </c>
      <c r="I81" s="1666" t="s">
        <v>173</v>
      </c>
      <c r="J81" s="1674"/>
      <c r="K81" s="1675"/>
      <c r="L81" s="1676"/>
      <c r="M81" s="1677"/>
      <c r="N81" s="1676"/>
      <c r="O81" s="1677"/>
      <c r="P81" s="1655"/>
      <c r="Q81" s="1675"/>
      <c r="R81" s="1677"/>
      <c r="S81" s="1677"/>
      <c r="T81" s="1677"/>
      <c r="U81" s="1677"/>
      <c r="V81" s="1677"/>
      <c r="W81" s="1677"/>
      <c r="X81" s="1677"/>
      <c r="Y81" s="1677"/>
      <c r="Z81" s="1677"/>
      <c r="AA81" s="1677"/>
      <c r="AB81" s="1855"/>
      <c r="AC81" s="1824">
        <f>SUM(Q81:AB81)</f>
        <v>0</v>
      </c>
      <c r="AD81" s="1825">
        <f>O81-AC81</f>
        <v>0</v>
      </c>
      <c r="AF81" s="1311"/>
      <c r="AG81" s="672"/>
      <c r="AH81" s="672" t="s">
        <v>173</v>
      </c>
      <c r="AI81" s="1048">
        <f>P81</f>
        <v>0</v>
      </c>
      <c r="AJ81" s="1677"/>
      <c r="AK81" s="851">
        <f>AJ81-O81</f>
        <v>0</v>
      </c>
      <c r="AL81" s="845"/>
    </row>
    <row r="82" spans="1:39" s="633" customFormat="1" ht="15">
      <c r="A82" s="655" t="s">
        <v>80</v>
      </c>
      <c r="B82" s="1966">
        <f>B80-SUM(B81:B81)</f>
        <v>0</v>
      </c>
      <c r="C82" s="656"/>
      <c r="D82" s="657"/>
      <c r="E82" s="657"/>
      <c r="F82" s="657"/>
      <c r="G82" s="657"/>
      <c r="H82" s="2150"/>
      <c r="I82" s="1669"/>
      <c r="J82" s="1678"/>
      <c r="K82" s="1679"/>
      <c r="L82" s="1680"/>
      <c r="M82" s="1681">
        <f>SUM(M80:M81)</f>
        <v>0</v>
      </c>
      <c r="N82" s="1680"/>
      <c r="O82" s="1681">
        <f>SUM(O80:O81)</f>
        <v>0</v>
      </c>
      <c r="P82" s="1682"/>
      <c r="Q82" s="1681">
        <f t="shared" ref="Q82:AD82" si="26">SUM(Q80:Q81)</f>
        <v>0</v>
      </c>
      <c r="R82" s="1681">
        <f t="shared" si="26"/>
        <v>0</v>
      </c>
      <c r="S82" s="1681">
        <f t="shared" si="26"/>
        <v>0</v>
      </c>
      <c r="T82" s="1681">
        <f t="shared" si="26"/>
        <v>0</v>
      </c>
      <c r="U82" s="1681">
        <f t="shared" si="26"/>
        <v>0</v>
      </c>
      <c r="V82" s="1681">
        <f t="shared" si="26"/>
        <v>0</v>
      </c>
      <c r="W82" s="1681">
        <f t="shared" si="26"/>
        <v>0</v>
      </c>
      <c r="X82" s="1681">
        <f t="shared" si="26"/>
        <v>0</v>
      </c>
      <c r="Y82" s="1681">
        <f t="shared" si="26"/>
        <v>0</v>
      </c>
      <c r="Z82" s="1681">
        <f t="shared" si="26"/>
        <v>0</v>
      </c>
      <c r="AA82" s="1681">
        <f t="shared" si="26"/>
        <v>0</v>
      </c>
      <c r="AB82" s="1681">
        <f t="shared" si="26"/>
        <v>0</v>
      </c>
      <c r="AC82" s="1681">
        <f t="shared" si="26"/>
        <v>0</v>
      </c>
      <c r="AD82" s="1681">
        <f t="shared" si="26"/>
        <v>0</v>
      </c>
      <c r="AF82" s="1309"/>
      <c r="AG82" s="648"/>
      <c r="AH82" s="648"/>
      <c r="AI82" s="1310"/>
      <c r="AJ82" s="1681">
        <f>SUM(AJ80:AJ81)</f>
        <v>0</v>
      </c>
      <c r="AK82" s="648">
        <f>SUM(AK80:AK81)</f>
        <v>0</v>
      </c>
      <c r="AL82" s="845"/>
    </row>
    <row r="83" spans="1:39" s="633" customFormat="1" ht="26.25" customHeight="1">
      <c r="A83" s="1279" t="s">
        <v>1308</v>
      </c>
      <c r="B83" s="1967">
        <f>2570000-2570000</f>
        <v>0</v>
      </c>
      <c r="C83" s="1275" t="s">
        <v>156</v>
      </c>
      <c r="D83" s="1276" t="s">
        <v>830</v>
      </c>
      <c r="E83" s="1276" t="s">
        <v>1651</v>
      </c>
      <c r="F83" s="1276" t="s">
        <v>1652</v>
      </c>
      <c r="G83" s="1276" t="s">
        <v>79</v>
      </c>
      <c r="H83" s="2151" t="s">
        <v>1643</v>
      </c>
      <c r="I83" s="1644"/>
      <c r="J83" s="1683">
        <v>0</v>
      </c>
      <c r="K83" s="1683"/>
      <c r="L83" s="1684"/>
      <c r="M83" s="1683"/>
      <c r="N83" s="1684"/>
      <c r="O83" s="1683"/>
      <c r="P83" s="1684"/>
      <c r="Q83" s="1683"/>
      <c r="R83" s="1683"/>
      <c r="S83" s="1683"/>
      <c r="T83" s="1683"/>
      <c r="U83" s="1683"/>
      <c r="V83" s="1683"/>
      <c r="W83" s="1683"/>
      <c r="X83" s="1683"/>
      <c r="Y83" s="1683"/>
      <c r="Z83" s="1683"/>
      <c r="AA83" s="1683"/>
      <c r="AB83" s="1828"/>
      <c r="AC83" s="1827"/>
      <c r="AD83" s="1828"/>
      <c r="AF83" s="1184"/>
      <c r="AG83" s="96"/>
      <c r="AH83" s="96"/>
      <c r="AI83" s="1313"/>
      <c r="AJ83" s="1683"/>
      <c r="AK83" s="631"/>
      <c r="AL83" s="845"/>
    </row>
    <row r="84" spans="1:39" s="633" customFormat="1" ht="24" customHeight="1">
      <c r="A84" s="1287" t="s">
        <v>1308</v>
      </c>
      <c r="B84" s="1968">
        <f>M84</f>
        <v>0</v>
      </c>
      <c r="C84" s="95" t="s">
        <v>156</v>
      </c>
      <c r="D84" s="96" t="s">
        <v>830</v>
      </c>
      <c r="E84" s="96" t="s">
        <v>1651</v>
      </c>
      <c r="F84" s="96" t="s">
        <v>1652</v>
      </c>
      <c r="G84" s="96" t="s">
        <v>79</v>
      </c>
      <c r="H84" s="631" t="s">
        <v>1643</v>
      </c>
      <c r="I84" s="2142">
        <v>317</v>
      </c>
      <c r="J84" s="1685">
        <v>0</v>
      </c>
      <c r="K84" s="1686"/>
      <c r="L84" s="1607"/>
      <c r="M84" s="1687"/>
      <c r="N84" s="1607"/>
      <c r="O84" s="1687"/>
      <c r="P84" s="1688"/>
      <c r="Q84" s="1686"/>
      <c r="R84" s="1687"/>
      <c r="S84" s="1687"/>
      <c r="T84" s="1687"/>
      <c r="U84" s="1687"/>
      <c r="V84" s="1687"/>
      <c r="W84" s="1687"/>
      <c r="X84" s="1687"/>
      <c r="Y84" s="1687"/>
      <c r="Z84" s="1687"/>
      <c r="AA84" s="1687"/>
      <c r="AB84" s="1854"/>
      <c r="AC84" s="1824">
        <f>SUM(Q84:AB84)</f>
        <v>0</v>
      </c>
      <c r="AD84" s="1825">
        <f>O84-AC84</f>
        <v>0</v>
      </c>
      <c r="AF84" s="1351">
        <v>317</v>
      </c>
      <c r="AG84" s="1291" t="s">
        <v>174</v>
      </c>
      <c r="AH84" s="1059" t="s">
        <v>173</v>
      </c>
      <c r="AI84" s="1048">
        <f>P84</f>
        <v>0</v>
      </c>
      <c r="AJ84" s="1352">
        <f>2570000-2570000</f>
        <v>0</v>
      </c>
      <c r="AK84" s="851">
        <f>AJ84-O84</f>
        <v>0</v>
      </c>
      <c r="AL84" s="845"/>
      <c r="AM84" s="1518">
        <f>AJ84-M84</f>
        <v>0</v>
      </c>
    </row>
    <row r="85" spans="1:39" s="633" customFormat="1" ht="15">
      <c r="A85" s="658"/>
      <c r="B85" s="1966">
        <f>B83-SUM(B84:B84)</f>
        <v>0</v>
      </c>
      <c r="C85" s="656"/>
      <c r="D85" s="657"/>
      <c r="E85" s="657"/>
      <c r="F85" s="657"/>
      <c r="G85" s="657"/>
      <c r="H85" s="2150"/>
      <c r="I85" s="1669"/>
      <c r="J85" s="1661"/>
      <c r="K85" s="1662"/>
      <c r="L85" s="1589"/>
      <c r="M85" s="1663">
        <f>SUM(M83:M84)</f>
        <v>0</v>
      </c>
      <c r="N85" s="1589"/>
      <c r="O85" s="1663">
        <f>SUM(O83:O84)</f>
        <v>0</v>
      </c>
      <c r="P85" s="1664"/>
      <c r="Q85" s="1663">
        <f t="shared" ref="Q85:AD85" si="27">SUM(Q83:Q84)</f>
        <v>0</v>
      </c>
      <c r="R85" s="1663">
        <f t="shared" si="27"/>
        <v>0</v>
      </c>
      <c r="S85" s="1663">
        <f t="shared" si="27"/>
        <v>0</v>
      </c>
      <c r="T85" s="1663">
        <f t="shared" si="27"/>
        <v>0</v>
      </c>
      <c r="U85" s="1663">
        <f t="shared" si="27"/>
        <v>0</v>
      </c>
      <c r="V85" s="1663">
        <f t="shared" si="27"/>
        <v>0</v>
      </c>
      <c r="W85" s="1663">
        <f t="shared" si="27"/>
        <v>0</v>
      </c>
      <c r="X85" s="1663">
        <f t="shared" si="27"/>
        <v>0</v>
      </c>
      <c r="Y85" s="1663">
        <f t="shared" si="27"/>
        <v>0</v>
      </c>
      <c r="Z85" s="1663">
        <f t="shared" si="27"/>
        <v>0</v>
      </c>
      <c r="AA85" s="1663">
        <f t="shared" si="27"/>
        <v>0</v>
      </c>
      <c r="AB85" s="1826">
        <f t="shared" si="27"/>
        <v>0</v>
      </c>
      <c r="AC85" s="1662">
        <f t="shared" si="27"/>
        <v>0</v>
      </c>
      <c r="AD85" s="1826">
        <f t="shared" si="27"/>
        <v>0</v>
      </c>
      <c r="AF85" s="852"/>
      <c r="AG85" s="14">
        <f>SUM(AG83:AG84)</f>
        <v>0</v>
      </c>
      <c r="AH85" s="14">
        <f>SUM(AH83:AH84)</f>
        <v>0</v>
      </c>
      <c r="AI85" s="1052">
        <f>SUM(AI83:AI84)</f>
        <v>0</v>
      </c>
      <c r="AJ85" s="1663">
        <f>SUM(AJ83:AJ84)</f>
        <v>0</v>
      </c>
      <c r="AK85" s="181">
        <f>SUM(AK83:AK84)</f>
        <v>0</v>
      </c>
      <c r="AL85" s="845">
        <f>B83-AJ85</f>
        <v>0</v>
      </c>
    </row>
    <row r="86" spans="1:39" s="633" customFormat="1" ht="23.25" customHeight="1">
      <c r="A86" s="1279" t="s">
        <v>1308</v>
      </c>
      <c r="B86" s="1967">
        <f>20000000-20000000</f>
        <v>0</v>
      </c>
      <c r="C86" s="1275" t="s">
        <v>155</v>
      </c>
      <c r="D86" s="1276" t="s">
        <v>830</v>
      </c>
      <c r="E86" s="1276" t="s">
        <v>1651</v>
      </c>
      <c r="F86" s="1276" t="s">
        <v>1652</v>
      </c>
      <c r="G86" s="1276" t="s">
        <v>79</v>
      </c>
      <c r="H86" s="2151" t="s">
        <v>1643</v>
      </c>
      <c r="I86" s="1644"/>
      <c r="J86" s="1645">
        <v>0</v>
      </c>
      <c r="K86" s="1646"/>
      <c r="L86" s="1647"/>
      <c r="M86" s="1648"/>
      <c r="N86" s="1647"/>
      <c r="O86" s="1642"/>
      <c r="P86" s="1643"/>
      <c r="Q86" s="1822"/>
      <c r="R86" s="1850"/>
      <c r="S86" s="1850"/>
      <c r="T86" s="1850"/>
      <c r="U86" s="1850"/>
      <c r="V86" s="1850"/>
      <c r="W86" s="1850"/>
      <c r="X86" s="1850"/>
      <c r="Y86" s="1850"/>
      <c r="Z86" s="1850"/>
      <c r="AA86" s="1850"/>
      <c r="AB86" s="1823"/>
      <c r="AC86" s="1822"/>
      <c r="AD86" s="1823"/>
      <c r="AF86" s="1183"/>
      <c r="AG86" s="652"/>
      <c r="AH86" s="652"/>
      <c r="AI86" s="652"/>
      <c r="AJ86" s="1850"/>
      <c r="AK86" s="653"/>
      <c r="AL86" s="845"/>
    </row>
    <row r="87" spans="1:39" s="633" customFormat="1" ht="24">
      <c r="A87" s="1287" t="s">
        <v>1308</v>
      </c>
      <c r="B87" s="1969">
        <f>M87</f>
        <v>0</v>
      </c>
      <c r="C87" s="95" t="s">
        <v>155</v>
      </c>
      <c r="D87" s="96" t="s">
        <v>830</v>
      </c>
      <c r="E87" s="96" t="s">
        <v>1651</v>
      </c>
      <c r="F87" s="96" t="s">
        <v>1652</v>
      </c>
      <c r="G87" s="96" t="s">
        <v>79</v>
      </c>
      <c r="H87" s="631" t="s">
        <v>1643</v>
      </c>
      <c r="I87" s="2142">
        <v>317</v>
      </c>
      <c r="J87" s="1650">
        <v>0</v>
      </c>
      <c r="K87" s="1651"/>
      <c r="L87" s="1593"/>
      <c r="M87" s="1659"/>
      <c r="N87" s="1586"/>
      <c r="O87" s="1604"/>
      <c r="P87" s="1655"/>
      <c r="Q87" s="1851"/>
      <c r="R87" s="1852"/>
      <c r="S87" s="1852"/>
      <c r="T87" s="1852"/>
      <c r="U87" s="1852"/>
      <c r="V87" s="1852"/>
      <c r="W87" s="1852"/>
      <c r="X87" s="1852"/>
      <c r="Y87" s="1852"/>
      <c r="Z87" s="1852"/>
      <c r="AA87" s="1852"/>
      <c r="AB87" s="1853"/>
      <c r="AC87" s="1824">
        <f>SUM(Q87:AB87)</f>
        <v>0</v>
      </c>
      <c r="AD87" s="1825">
        <f>O87-AC87</f>
        <v>0</v>
      </c>
      <c r="AF87" s="1351">
        <v>317</v>
      </c>
      <c r="AG87" s="1291" t="s">
        <v>174</v>
      </c>
      <c r="AH87" s="1059" t="s">
        <v>173</v>
      </c>
      <c r="AI87" s="1048">
        <f>P87</f>
        <v>0</v>
      </c>
      <c r="AJ87" s="1352">
        <f>20000000-20000000</f>
        <v>0</v>
      </c>
      <c r="AK87" s="851">
        <f>AJ87-O87</f>
        <v>0</v>
      </c>
      <c r="AL87" s="845"/>
      <c r="AM87" s="1518">
        <f>AJ87-M87</f>
        <v>0</v>
      </c>
    </row>
    <row r="88" spans="1:39" s="633" customFormat="1" ht="15">
      <c r="A88" s="655" t="s">
        <v>80</v>
      </c>
      <c r="B88" s="1966">
        <f>B86-SUM(B87:B87)</f>
        <v>0</v>
      </c>
      <c r="C88" s="656"/>
      <c r="D88" s="657"/>
      <c r="E88" s="657"/>
      <c r="F88" s="657"/>
      <c r="G88" s="657"/>
      <c r="H88" s="2150"/>
      <c r="I88" s="1669"/>
      <c r="J88" s="1661"/>
      <c r="K88" s="1662"/>
      <c r="L88" s="1589"/>
      <c r="M88" s="1663">
        <f>SUM(M87:M87)</f>
        <v>0</v>
      </c>
      <c r="N88" s="1589"/>
      <c r="O88" s="1663">
        <f>SUM(O87:O87)</f>
        <v>0</v>
      </c>
      <c r="P88" s="1664"/>
      <c r="Q88" s="1663">
        <f t="shared" ref="Q88:AD88" si="28">SUM(Q87:Q87)</f>
        <v>0</v>
      </c>
      <c r="R88" s="1663">
        <f t="shared" si="28"/>
        <v>0</v>
      </c>
      <c r="S88" s="1663">
        <f t="shared" si="28"/>
        <v>0</v>
      </c>
      <c r="T88" s="1663">
        <f t="shared" si="28"/>
        <v>0</v>
      </c>
      <c r="U88" s="1663">
        <f t="shared" si="28"/>
        <v>0</v>
      </c>
      <c r="V88" s="1663">
        <f t="shared" si="28"/>
        <v>0</v>
      </c>
      <c r="W88" s="1663">
        <f t="shared" si="28"/>
        <v>0</v>
      </c>
      <c r="X88" s="1663">
        <f t="shared" si="28"/>
        <v>0</v>
      </c>
      <c r="Y88" s="1663">
        <f t="shared" si="28"/>
        <v>0</v>
      </c>
      <c r="Z88" s="1663">
        <f t="shared" si="28"/>
        <v>0</v>
      </c>
      <c r="AA88" s="1663">
        <f t="shared" si="28"/>
        <v>0</v>
      </c>
      <c r="AB88" s="1826">
        <f t="shared" si="28"/>
        <v>0</v>
      </c>
      <c r="AC88" s="1662">
        <f t="shared" si="28"/>
        <v>0</v>
      </c>
      <c r="AD88" s="1826">
        <f t="shared" si="28"/>
        <v>0</v>
      </c>
      <c r="AF88" s="852"/>
      <c r="AG88" s="14">
        <f>SUM(AG87:AG87)</f>
        <v>0</v>
      </c>
      <c r="AH88" s="14">
        <f>SUM(AH87:AH87)</f>
        <v>0</v>
      </c>
      <c r="AI88" s="1052">
        <f>SUM(AI87:AI87)</f>
        <v>0</v>
      </c>
      <c r="AJ88" s="1663">
        <f>SUM(AJ87:AJ87)</f>
        <v>0</v>
      </c>
      <c r="AK88" s="181">
        <f>SUM(AK87:AK87)</f>
        <v>0</v>
      </c>
      <c r="AL88" s="845">
        <f>B86-AJ88</f>
        <v>0</v>
      </c>
    </row>
    <row r="89" spans="1:39" s="654" customFormat="1" ht="25.5" customHeight="1">
      <c r="A89" s="1279" t="s">
        <v>862</v>
      </c>
      <c r="B89" s="1964">
        <f>100000000-100000000</f>
        <v>0</v>
      </c>
      <c r="C89" s="1275" t="s">
        <v>36</v>
      </c>
      <c r="D89" s="1276" t="s">
        <v>830</v>
      </c>
      <c r="E89" s="1276" t="s">
        <v>1651</v>
      </c>
      <c r="F89" s="1276" t="s">
        <v>1652</v>
      </c>
      <c r="G89" s="1276" t="s">
        <v>79</v>
      </c>
      <c r="H89" s="2151" t="s">
        <v>1643</v>
      </c>
      <c r="I89" s="1644"/>
      <c r="J89" s="1645">
        <v>0</v>
      </c>
      <c r="K89" s="1646"/>
      <c r="L89" s="1647"/>
      <c r="M89" s="1648"/>
      <c r="N89" s="1647"/>
      <c r="O89" s="1649"/>
      <c r="P89" s="1643"/>
      <c r="Q89" s="1822"/>
      <c r="R89" s="1850"/>
      <c r="S89" s="1850"/>
      <c r="T89" s="1850"/>
      <c r="U89" s="1850"/>
      <c r="V89" s="1850"/>
      <c r="W89" s="1850"/>
      <c r="X89" s="1850"/>
      <c r="Y89" s="1850"/>
      <c r="Z89" s="1850"/>
      <c r="AA89" s="1850"/>
      <c r="AB89" s="1823"/>
      <c r="AC89" s="1822"/>
      <c r="AD89" s="1823"/>
      <c r="AF89" s="1183"/>
      <c r="AG89" s="652"/>
      <c r="AH89" s="652"/>
      <c r="AI89" s="652"/>
      <c r="AJ89" s="1850"/>
      <c r="AK89" s="653"/>
      <c r="AL89" s="845"/>
      <c r="AM89" s="1517"/>
    </row>
    <row r="90" spans="1:39" s="633" customFormat="1" ht="15">
      <c r="A90" s="1287" t="s">
        <v>862</v>
      </c>
      <c r="B90" s="1965">
        <f>M90</f>
        <v>0</v>
      </c>
      <c r="C90" s="95" t="s">
        <v>36</v>
      </c>
      <c r="D90" s="96" t="s">
        <v>830</v>
      </c>
      <c r="E90" s="96" t="s">
        <v>1651</v>
      </c>
      <c r="F90" s="96" t="s">
        <v>1652</v>
      </c>
      <c r="G90" s="96" t="s">
        <v>79</v>
      </c>
      <c r="H90" s="631" t="s">
        <v>1643</v>
      </c>
      <c r="I90" s="2142">
        <v>311</v>
      </c>
      <c r="J90" s="1650">
        <v>0</v>
      </c>
      <c r="K90" s="1651"/>
      <c r="L90" s="1658"/>
      <c r="M90" s="1659"/>
      <c r="N90" s="1586"/>
      <c r="O90" s="1604"/>
      <c r="P90" s="1655"/>
      <c r="Q90" s="1851"/>
      <c r="R90" s="1852"/>
      <c r="S90" s="1852"/>
      <c r="T90" s="1852"/>
      <c r="U90" s="1852"/>
      <c r="V90" s="1852"/>
      <c r="W90" s="1852"/>
      <c r="X90" s="1852"/>
      <c r="Y90" s="1852"/>
      <c r="Z90" s="1852"/>
      <c r="AA90" s="1852"/>
      <c r="AB90" s="1853"/>
      <c r="AC90" s="1824">
        <f>SUM(Q90:AB90)</f>
        <v>0</v>
      </c>
      <c r="AD90" s="1825">
        <f>O90-AC90</f>
        <v>0</v>
      </c>
      <c r="AF90" s="848">
        <v>311</v>
      </c>
      <c r="AG90" s="1291" t="s">
        <v>459</v>
      </c>
      <c r="AH90" s="1059" t="s">
        <v>173</v>
      </c>
      <c r="AI90" s="1048">
        <f>P90</f>
        <v>0</v>
      </c>
      <c r="AJ90" s="849">
        <f>100000000-100000000</f>
        <v>0</v>
      </c>
      <c r="AK90" s="851">
        <f>AJ90-O90</f>
        <v>0</v>
      </c>
      <c r="AL90" s="845"/>
      <c r="AM90" s="1518">
        <f>AJ90-M90</f>
        <v>0</v>
      </c>
    </row>
    <row r="91" spans="1:39" s="633" customFormat="1" ht="15">
      <c r="A91" s="655" t="s">
        <v>80</v>
      </c>
      <c r="B91" s="1966">
        <f>B89-SUM(B90:B90)</f>
        <v>0</v>
      </c>
      <c r="C91" s="656"/>
      <c r="D91" s="656"/>
      <c r="E91" s="656"/>
      <c r="F91" s="656"/>
      <c r="G91" s="656"/>
      <c r="H91" s="2146"/>
      <c r="I91" s="1660"/>
      <c r="J91" s="1661"/>
      <c r="K91" s="1662"/>
      <c r="L91" s="1589"/>
      <c r="M91" s="1663">
        <f>SUM(M90:M90)</f>
        <v>0</v>
      </c>
      <c r="N91" s="1589"/>
      <c r="O91" s="1663">
        <f>SUM(O90:O90)</f>
        <v>0</v>
      </c>
      <c r="P91" s="1664"/>
      <c r="Q91" s="1662">
        <f t="shared" ref="Q91:AD91" si="29">SUM(Q90:Q90)</f>
        <v>0</v>
      </c>
      <c r="R91" s="1663">
        <f t="shared" si="29"/>
        <v>0</v>
      </c>
      <c r="S91" s="1663">
        <f t="shared" si="29"/>
        <v>0</v>
      </c>
      <c r="T91" s="1663">
        <f t="shared" si="29"/>
        <v>0</v>
      </c>
      <c r="U91" s="1663">
        <f t="shared" si="29"/>
        <v>0</v>
      </c>
      <c r="V91" s="1663">
        <f t="shared" si="29"/>
        <v>0</v>
      </c>
      <c r="W91" s="1663">
        <f t="shared" si="29"/>
        <v>0</v>
      </c>
      <c r="X91" s="1663">
        <f t="shared" si="29"/>
        <v>0</v>
      </c>
      <c r="Y91" s="1663">
        <f t="shared" si="29"/>
        <v>0</v>
      </c>
      <c r="Z91" s="1663">
        <f t="shared" si="29"/>
        <v>0</v>
      </c>
      <c r="AA91" s="1663">
        <f t="shared" si="29"/>
        <v>0</v>
      </c>
      <c r="AB91" s="1826">
        <f t="shared" si="29"/>
        <v>0</v>
      </c>
      <c r="AC91" s="1662">
        <f t="shared" si="29"/>
        <v>0</v>
      </c>
      <c r="AD91" s="1826">
        <f t="shared" si="29"/>
        <v>0</v>
      </c>
      <c r="AF91" s="852"/>
      <c r="AG91" s="14">
        <f>SUM(AG90:AG90)</f>
        <v>0</v>
      </c>
      <c r="AH91" s="14">
        <f>SUM(AH90:AH90)</f>
        <v>0</v>
      </c>
      <c r="AI91" s="1052">
        <f>SUM(AI90:AI90)</f>
        <v>0</v>
      </c>
      <c r="AJ91" s="1663">
        <f>SUM(AJ90:AJ90)</f>
        <v>0</v>
      </c>
      <c r="AK91" s="181">
        <f>SUM(AK90:AK90)</f>
        <v>0</v>
      </c>
      <c r="AL91" s="1872">
        <f>B89-AJ91</f>
        <v>0</v>
      </c>
    </row>
    <row r="92" spans="1:39" s="654" customFormat="1" ht="26.25" customHeight="1">
      <c r="A92" s="1279" t="s">
        <v>863</v>
      </c>
      <c r="B92" s="1964">
        <f>330000000-24666667-11696667-75488568</f>
        <v>218148098</v>
      </c>
      <c r="C92" s="1275" t="s">
        <v>36</v>
      </c>
      <c r="D92" s="1276" t="s">
        <v>830</v>
      </c>
      <c r="E92" s="1276" t="s">
        <v>1651</v>
      </c>
      <c r="F92" s="1276" t="s">
        <v>1652</v>
      </c>
      <c r="G92" s="1276" t="s">
        <v>79</v>
      </c>
      <c r="H92" s="2151" t="s">
        <v>1643</v>
      </c>
      <c r="I92" s="1644"/>
      <c r="J92" s="1645">
        <v>0</v>
      </c>
      <c r="K92" s="1646"/>
      <c r="L92" s="1647"/>
      <c r="M92" s="1648"/>
      <c r="N92" s="1647"/>
      <c r="O92" s="1649"/>
      <c r="P92" s="1643"/>
      <c r="Q92" s="1822"/>
      <c r="R92" s="1850"/>
      <c r="S92" s="1850"/>
      <c r="T92" s="1850"/>
      <c r="U92" s="1850"/>
      <c r="V92" s="1850"/>
      <c r="W92" s="1850"/>
      <c r="X92" s="1850"/>
      <c r="Y92" s="1850"/>
      <c r="Z92" s="1850"/>
      <c r="AA92" s="1850"/>
      <c r="AB92" s="1823"/>
      <c r="AC92" s="1822"/>
      <c r="AD92" s="1823"/>
      <c r="AF92" s="1183"/>
      <c r="AG92" s="652"/>
      <c r="AH92" s="652"/>
      <c r="AI92" s="652"/>
      <c r="AJ92" s="1850"/>
      <c r="AK92" s="653"/>
      <c r="AL92" s="845"/>
      <c r="AM92" s="1517"/>
    </row>
    <row r="93" spans="1:39" s="654" customFormat="1" ht="15" customHeight="1">
      <c r="A93" s="772" t="s">
        <v>867</v>
      </c>
      <c r="B93" s="1965">
        <f>M93</f>
        <v>194310095</v>
      </c>
      <c r="C93" s="95" t="s">
        <v>36</v>
      </c>
      <c r="D93" s="96" t="s">
        <v>830</v>
      </c>
      <c r="E93" s="96" t="s">
        <v>1651</v>
      </c>
      <c r="F93" s="96" t="s">
        <v>1652</v>
      </c>
      <c r="G93" s="96" t="s">
        <v>79</v>
      </c>
      <c r="H93" s="631" t="s">
        <v>1643</v>
      </c>
      <c r="I93" s="2142">
        <v>312</v>
      </c>
      <c r="J93" s="1718" t="s">
        <v>1367</v>
      </c>
      <c r="K93" s="1651">
        <f>230000000-230000000+197881432</f>
        <v>197881432</v>
      </c>
      <c r="L93" s="1652">
        <v>783</v>
      </c>
      <c r="M93" s="1659">
        <f>230000000-230000000+197881432-3571337</f>
        <v>194310095</v>
      </c>
      <c r="N93" s="1583">
        <v>1107</v>
      </c>
      <c r="O93" s="1604">
        <v>194310095</v>
      </c>
      <c r="P93" s="1655">
        <v>507</v>
      </c>
      <c r="Q93" s="1851"/>
      <c r="R93" s="1852"/>
      <c r="S93" s="1852"/>
      <c r="T93" s="1852"/>
      <c r="U93" s="1852"/>
      <c r="V93" s="1852"/>
      <c r="W93" s="1852"/>
      <c r="X93" s="1852"/>
      <c r="Y93" s="1852"/>
      <c r="Z93" s="1852"/>
      <c r="AA93" s="1852"/>
      <c r="AB93" s="1949"/>
      <c r="AC93" s="1824">
        <f>SUM(Q93:AB93)</f>
        <v>0</v>
      </c>
      <c r="AD93" s="1825">
        <f>O93-AC93</f>
        <v>194310095</v>
      </c>
      <c r="AF93" s="848">
        <v>312</v>
      </c>
      <c r="AG93" s="1291" t="s">
        <v>460</v>
      </c>
      <c r="AH93" s="1059" t="s">
        <v>1600</v>
      </c>
      <c r="AI93" s="1048">
        <f>P93</f>
        <v>507</v>
      </c>
      <c r="AJ93" s="849">
        <f>248000000-18000000-32118568</f>
        <v>197881432</v>
      </c>
      <c r="AK93" s="851">
        <f>AJ93-O93</f>
        <v>3571337</v>
      </c>
      <c r="AL93" s="845"/>
      <c r="AM93" s="1518">
        <f>AJ93-M93</f>
        <v>3571337</v>
      </c>
    </row>
    <row r="94" spans="1:39" s="654" customFormat="1" ht="15">
      <c r="A94" s="772" t="s">
        <v>867</v>
      </c>
      <c r="B94" s="1965">
        <f>M94</f>
        <v>15333333</v>
      </c>
      <c r="C94" s="95" t="s">
        <v>36</v>
      </c>
      <c r="D94" s="96" t="s">
        <v>830</v>
      </c>
      <c r="E94" s="96" t="s">
        <v>1651</v>
      </c>
      <c r="F94" s="96" t="s">
        <v>1652</v>
      </c>
      <c r="G94" s="96" t="s">
        <v>79</v>
      </c>
      <c r="H94" s="631" t="s">
        <v>1643</v>
      </c>
      <c r="I94" s="2142">
        <v>313</v>
      </c>
      <c r="J94" s="1650">
        <v>567</v>
      </c>
      <c r="K94" s="1651">
        <v>15333333</v>
      </c>
      <c r="L94" s="1652">
        <v>652</v>
      </c>
      <c r="M94" s="1651">
        <v>15333333</v>
      </c>
      <c r="N94" s="1593">
        <v>795</v>
      </c>
      <c r="O94" s="1651">
        <v>15333333</v>
      </c>
      <c r="P94" s="1655">
        <v>454</v>
      </c>
      <c r="Q94" s="1851"/>
      <c r="R94" s="1852"/>
      <c r="S94" s="1852"/>
      <c r="T94" s="1852"/>
      <c r="U94" s="1852"/>
      <c r="V94" s="1852"/>
      <c r="W94" s="1852"/>
      <c r="X94" s="1852"/>
      <c r="Y94" s="1852"/>
      <c r="Z94" s="1852">
        <v>4133333</v>
      </c>
      <c r="AA94" s="1852">
        <v>4000000</v>
      </c>
      <c r="AB94" s="1949"/>
      <c r="AC94" s="1824">
        <f>SUM(Q94:AB94)</f>
        <v>8133333</v>
      </c>
      <c r="AD94" s="1825">
        <f>O94-AC94</f>
        <v>7200000</v>
      </c>
      <c r="AF94" s="848">
        <v>313</v>
      </c>
      <c r="AG94" s="1291" t="s">
        <v>461</v>
      </c>
      <c r="AH94" s="1059" t="s">
        <v>1227</v>
      </c>
      <c r="AI94" s="1048">
        <f>P94</f>
        <v>454</v>
      </c>
      <c r="AJ94" s="849">
        <f>22000000-6666667</f>
        <v>15333333</v>
      </c>
      <c r="AK94" s="851">
        <f>AJ94-O94</f>
        <v>0</v>
      </c>
      <c r="AL94" s="845"/>
      <c r="AM94" s="1518">
        <f>AJ94-M94</f>
        <v>0</v>
      </c>
    </row>
    <row r="95" spans="1:39" s="654" customFormat="1" ht="15">
      <c r="A95" s="772" t="s">
        <v>867</v>
      </c>
      <c r="B95" s="1965">
        <f>M95</f>
        <v>0</v>
      </c>
      <c r="C95" s="95" t="s">
        <v>36</v>
      </c>
      <c r="D95" s="96" t="s">
        <v>830</v>
      </c>
      <c r="E95" s="96" t="s">
        <v>1651</v>
      </c>
      <c r="F95" s="96" t="s">
        <v>1652</v>
      </c>
      <c r="G95" s="96" t="s">
        <v>79</v>
      </c>
      <c r="H95" s="631" t="s">
        <v>1643</v>
      </c>
      <c r="I95" s="2142" t="s">
        <v>325</v>
      </c>
      <c r="J95" s="1650">
        <v>856</v>
      </c>
      <c r="K95" s="1651">
        <v>4933333</v>
      </c>
      <c r="L95" s="1652">
        <v>984</v>
      </c>
      <c r="M95" s="1651">
        <f>4933333-4933333</f>
        <v>0</v>
      </c>
      <c r="N95" s="1593"/>
      <c r="O95" s="1651"/>
      <c r="P95" s="1655">
        <v>454</v>
      </c>
      <c r="Q95" s="1851"/>
      <c r="R95" s="1852"/>
      <c r="S95" s="1852"/>
      <c r="T95" s="1852"/>
      <c r="U95" s="1852"/>
      <c r="V95" s="1852"/>
      <c r="W95" s="1852"/>
      <c r="X95" s="1852"/>
      <c r="Y95" s="1852"/>
      <c r="Z95" s="1852"/>
      <c r="AA95" s="1852"/>
      <c r="AB95" s="1949"/>
      <c r="AC95" s="1824">
        <f>SUM(Q95:AB95)</f>
        <v>0</v>
      </c>
      <c r="AD95" s="1825">
        <f>O95-AC95</f>
        <v>0</v>
      </c>
      <c r="AF95" s="848" t="s">
        <v>325</v>
      </c>
      <c r="AG95" s="1291" t="s">
        <v>1573</v>
      </c>
      <c r="AH95" s="1059" t="s">
        <v>1227</v>
      </c>
      <c r="AI95" s="1048">
        <f>P95</f>
        <v>454</v>
      </c>
      <c r="AJ95" s="849">
        <v>4933333</v>
      </c>
      <c r="AK95" s="851">
        <f>AJ95-O95</f>
        <v>4933333</v>
      </c>
      <c r="AL95" s="845"/>
      <c r="AM95" s="1518"/>
    </row>
    <row r="96" spans="1:39" s="654" customFormat="1" ht="15" customHeight="1">
      <c r="A96" s="772" t="s">
        <v>867</v>
      </c>
      <c r="B96" s="1965">
        <f>M96</f>
        <v>0</v>
      </c>
      <c r="C96" s="95" t="s">
        <v>36</v>
      </c>
      <c r="D96" s="96" t="s">
        <v>830</v>
      </c>
      <c r="E96" s="96" t="s">
        <v>1651</v>
      </c>
      <c r="F96" s="96" t="s">
        <v>1652</v>
      </c>
      <c r="G96" s="96" t="s">
        <v>79</v>
      </c>
      <c r="H96" s="631" t="s">
        <v>1643</v>
      </c>
      <c r="I96" s="2142">
        <v>314</v>
      </c>
      <c r="J96" s="1650">
        <v>0</v>
      </c>
      <c r="K96" s="1651"/>
      <c r="L96" s="1652"/>
      <c r="M96" s="1659"/>
      <c r="N96" s="1586"/>
      <c r="O96" s="1654"/>
      <c r="P96" s="1655"/>
      <c r="Q96" s="1851"/>
      <c r="R96" s="1852"/>
      <c r="S96" s="1852"/>
      <c r="T96" s="1852"/>
      <c r="U96" s="1852"/>
      <c r="V96" s="1852"/>
      <c r="W96" s="1852"/>
      <c r="X96" s="1852"/>
      <c r="Y96" s="1852"/>
      <c r="Z96" s="1852"/>
      <c r="AA96" s="1852"/>
      <c r="AB96" s="1853"/>
      <c r="AC96" s="1824">
        <f>SUM(Q96:AB96)</f>
        <v>0</v>
      </c>
      <c r="AD96" s="1825">
        <f>O96-AC96</f>
        <v>0</v>
      </c>
      <c r="AF96" s="848">
        <v>314</v>
      </c>
      <c r="AG96" s="1291" t="s">
        <v>462</v>
      </c>
      <c r="AH96" s="1060" t="s">
        <v>173</v>
      </c>
      <c r="AI96" s="1048">
        <f>P96</f>
        <v>0</v>
      </c>
      <c r="AJ96" s="849">
        <f>60000000-11696667-48303333</f>
        <v>0</v>
      </c>
      <c r="AK96" s="851">
        <f>AJ96-O96</f>
        <v>0</v>
      </c>
      <c r="AL96" s="845"/>
      <c r="AM96" s="1518">
        <f>AJ96-M96</f>
        <v>0</v>
      </c>
    </row>
    <row r="97" spans="1:39" s="633" customFormat="1" ht="15">
      <c r="A97" s="772" t="s">
        <v>867</v>
      </c>
      <c r="B97" s="1965">
        <f>M97</f>
        <v>0</v>
      </c>
      <c r="C97" s="95" t="s">
        <v>36</v>
      </c>
      <c r="D97" s="96" t="s">
        <v>830</v>
      </c>
      <c r="E97" s="96" t="s">
        <v>1651</v>
      </c>
      <c r="F97" s="96" t="s">
        <v>1652</v>
      </c>
      <c r="G97" s="96" t="s">
        <v>79</v>
      </c>
      <c r="H97" s="631" t="s">
        <v>1643</v>
      </c>
      <c r="I97" s="1656" t="s">
        <v>173</v>
      </c>
      <c r="J97" s="1650">
        <v>0</v>
      </c>
      <c r="K97" s="1651"/>
      <c r="L97" s="1652"/>
      <c r="M97" s="1659"/>
      <c r="N97" s="1586"/>
      <c r="O97" s="1604"/>
      <c r="P97" s="1655"/>
      <c r="Q97" s="1851"/>
      <c r="R97" s="1852"/>
      <c r="S97" s="1852"/>
      <c r="T97" s="1852"/>
      <c r="U97" s="1852"/>
      <c r="V97" s="1852"/>
      <c r="W97" s="1852"/>
      <c r="X97" s="1852"/>
      <c r="Y97" s="1852"/>
      <c r="Z97" s="1852"/>
      <c r="AA97" s="1852"/>
      <c r="AB97" s="1853"/>
      <c r="AC97" s="1824">
        <f>SUM(Q97:AB97)</f>
        <v>0</v>
      </c>
      <c r="AD97" s="1825">
        <f>O97-AC97</f>
        <v>0</v>
      </c>
      <c r="AF97" s="848" t="s">
        <v>325</v>
      </c>
      <c r="AG97" s="1291" t="s">
        <v>1182</v>
      </c>
      <c r="AH97" s="1060" t="s">
        <v>173</v>
      </c>
      <c r="AI97" s="1048">
        <f>P97</f>
        <v>0</v>
      </c>
      <c r="AJ97" s="849">
        <f>18000000-18000000</f>
        <v>0</v>
      </c>
      <c r="AK97" s="851">
        <f>AJ97-O97</f>
        <v>0</v>
      </c>
      <c r="AL97" s="845"/>
      <c r="AM97" s="1518">
        <f>AJ97-M97</f>
        <v>0</v>
      </c>
    </row>
    <row r="98" spans="1:39" s="633" customFormat="1" ht="15">
      <c r="A98" s="655" t="s">
        <v>80</v>
      </c>
      <c r="B98" s="1966">
        <f>B92-SUM(B93:B97)</f>
        <v>8504670</v>
      </c>
      <c r="C98" s="656"/>
      <c r="D98" s="656"/>
      <c r="E98" s="656"/>
      <c r="F98" s="656"/>
      <c r="G98" s="656"/>
      <c r="H98" s="2146"/>
      <c r="I98" s="1660"/>
      <c r="J98" s="1661"/>
      <c r="K98" s="1662"/>
      <c r="L98" s="1589"/>
      <c r="M98" s="1663">
        <f>SUM(M93:M97)</f>
        <v>209643428</v>
      </c>
      <c r="N98" s="1589"/>
      <c r="O98" s="1663">
        <f>SUM(O93:O97)</f>
        <v>209643428</v>
      </c>
      <c r="P98" s="1664"/>
      <c r="Q98" s="1663">
        <f t="shared" ref="Q98:AD98" si="30">SUM(Q93:Q97)</f>
        <v>0</v>
      </c>
      <c r="R98" s="1663">
        <f t="shared" si="30"/>
        <v>0</v>
      </c>
      <c r="S98" s="1663">
        <f t="shared" si="30"/>
        <v>0</v>
      </c>
      <c r="T98" s="1663">
        <f t="shared" si="30"/>
        <v>0</v>
      </c>
      <c r="U98" s="1663">
        <f t="shared" si="30"/>
        <v>0</v>
      </c>
      <c r="V98" s="1663">
        <f t="shared" si="30"/>
        <v>0</v>
      </c>
      <c r="W98" s="1663">
        <f t="shared" si="30"/>
        <v>0</v>
      </c>
      <c r="X98" s="1663">
        <f t="shared" si="30"/>
        <v>0</v>
      </c>
      <c r="Y98" s="1663">
        <f t="shared" si="30"/>
        <v>0</v>
      </c>
      <c r="Z98" s="1663">
        <f t="shared" si="30"/>
        <v>4133333</v>
      </c>
      <c r="AA98" s="1663">
        <f t="shared" si="30"/>
        <v>4000000</v>
      </c>
      <c r="AB98" s="1663">
        <f t="shared" si="30"/>
        <v>0</v>
      </c>
      <c r="AC98" s="1663">
        <f t="shared" si="30"/>
        <v>8133333</v>
      </c>
      <c r="AD98" s="1663">
        <f t="shared" si="30"/>
        <v>201510095</v>
      </c>
      <c r="AF98" s="852"/>
      <c r="AG98" s="14"/>
      <c r="AH98" s="14"/>
      <c r="AI98" s="1052"/>
      <c r="AJ98" s="1663">
        <f>SUM(AJ93:AJ97)</f>
        <v>218148098</v>
      </c>
      <c r="AK98" s="181">
        <f>SUM(AK93:AK97)</f>
        <v>8504670</v>
      </c>
      <c r="AL98" s="845">
        <f>B92-AJ98</f>
        <v>0</v>
      </c>
    </row>
    <row r="99" spans="1:39" s="654" customFormat="1" ht="24" customHeight="1">
      <c r="A99" s="1279" t="s">
        <v>855</v>
      </c>
      <c r="B99" s="1964">
        <f>860000000+25000000-95714-18505354</f>
        <v>866398932</v>
      </c>
      <c r="C99" s="1275" t="s">
        <v>36</v>
      </c>
      <c r="D99" s="1276" t="s">
        <v>830</v>
      </c>
      <c r="E99" s="1276" t="s">
        <v>1651</v>
      </c>
      <c r="F99" s="1276" t="s">
        <v>1652</v>
      </c>
      <c r="G99" s="1276" t="s">
        <v>79</v>
      </c>
      <c r="H99" s="2151" t="s">
        <v>1643</v>
      </c>
      <c r="I99" s="1644"/>
      <c r="J99" s="1645">
        <v>0</v>
      </c>
      <c r="K99" s="1646"/>
      <c r="L99" s="1647"/>
      <c r="M99" s="1648"/>
      <c r="N99" s="1647"/>
      <c r="O99" s="1649"/>
      <c r="P99" s="1643"/>
      <c r="Q99" s="1822"/>
      <c r="R99" s="1850"/>
      <c r="S99" s="1850"/>
      <c r="T99" s="1850"/>
      <c r="U99" s="1850"/>
      <c r="V99" s="1850"/>
      <c r="W99" s="1850"/>
      <c r="X99" s="1850"/>
      <c r="Y99" s="1850"/>
      <c r="Z99" s="1850"/>
      <c r="AA99" s="1850"/>
      <c r="AB99" s="1823"/>
      <c r="AC99" s="1822"/>
      <c r="AD99" s="1823"/>
      <c r="AF99" s="1183"/>
      <c r="AG99" s="652"/>
      <c r="AH99" s="652"/>
      <c r="AI99" s="652"/>
      <c r="AJ99" s="1850"/>
      <c r="AK99" s="653"/>
      <c r="AL99" s="845"/>
      <c r="AM99" s="1517"/>
    </row>
    <row r="100" spans="1:39" s="654" customFormat="1" ht="14.25" customHeight="1">
      <c r="A100" s="772" t="s">
        <v>855</v>
      </c>
      <c r="B100" s="1965">
        <f t="shared" ref="B100:B105" si="31">M100</f>
        <v>696315481</v>
      </c>
      <c r="C100" s="95" t="s">
        <v>36</v>
      </c>
      <c r="D100" s="96" t="s">
        <v>830</v>
      </c>
      <c r="E100" s="96" t="s">
        <v>1651</v>
      </c>
      <c r="F100" s="96" t="s">
        <v>1652</v>
      </c>
      <c r="G100" s="96" t="s">
        <v>79</v>
      </c>
      <c r="H100" s="631" t="s">
        <v>1643</v>
      </c>
      <c r="I100" s="2142">
        <v>315</v>
      </c>
      <c r="J100" s="1650">
        <v>0</v>
      </c>
      <c r="K100" s="1651"/>
      <c r="L100" s="1652">
        <v>325</v>
      </c>
      <c r="M100" s="1659">
        <f>714166680-17851199</f>
        <v>696315481</v>
      </c>
      <c r="N100" s="1583">
        <v>486</v>
      </c>
      <c r="O100" s="1604">
        <v>696315481</v>
      </c>
      <c r="P100" s="1655">
        <v>329</v>
      </c>
      <c r="Q100" s="1851"/>
      <c r="R100" s="1852"/>
      <c r="S100" s="1852"/>
      <c r="T100" s="1852"/>
      <c r="U100" s="1576"/>
      <c r="V100" s="1852">
        <v>208894644</v>
      </c>
      <c r="W100" s="1852">
        <v>14576348</v>
      </c>
      <c r="X100" s="1852">
        <v>110259635</v>
      </c>
      <c r="Y100" s="1852">
        <v>113218262</v>
      </c>
      <c r="Z100" s="1852">
        <v>242436812</v>
      </c>
      <c r="AA100" s="1852"/>
      <c r="AB100" s="1949"/>
      <c r="AC100" s="1824">
        <f t="shared" ref="AC100:AC105" si="32">SUM(Q100:AB100)</f>
        <v>689385701</v>
      </c>
      <c r="AD100" s="1825">
        <f t="shared" ref="AD100:AD105" si="33">O100-AC100</f>
        <v>6929780</v>
      </c>
      <c r="AF100" s="848">
        <v>315</v>
      </c>
      <c r="AG100" s="1291" t="s">
        <v>465</v>
      </c>
      <c r="AH100" s="1059" t="s">
        <v>986</v>
      </c>
      <c r="AI100" s="1048">
        <f t="shared" ref="AI100:AI105" si="34">P100</f>
        <v>329</v>
      </c>
      <c r="AJ100" s="849">
        <f>714166680-17851199</f>
        <v>696315481</v>
      </c>
      <c r="AK100" s="851">
        <f t="shared" ref="AK100:AK105" si="35">AJ100-O100</f>
        <v>0</v>
      </c>
      <c r="AL100" s="845"/>
      <c r="AM100" s="1518">
        <f>AJ100-M100</f>
        <v>0</v>
      </c>
    </row>
    <row r="101" spans="1:39" s="654" customFormat="1" ht="14.25" customHeight="1">
      <c r="A101" s="772" t="s">
        <v>855</v>
      </c>
      <c r="B101" s="1965">
        <f t="shared" si="31"/>
        <v>24904286</v>
      </c>
      <c r="C101" s="95" t="s">
        <v>36</v>
      </c>
      <c r="D101" s="96" t="s">
        <v>830</v>
      </c>
      <c r="E101" s="96" t="s">
        <v>1651</v>
      </c>
      <c r="F101" s="96" t="s">
        <v>1652</v>
      </c>
      <c r="G101" s="96" t="s">
        <v>79</v>
      </c>
      <c r="H101" s="631" t="s">
        <v>1643</v>
      </c>
      <c r="I101" s="2142" t="s">
        <v>325</v>
      </c>
      <c r="J101" s="1650">
        <v>597</v>
      </c>
      <c r="K101" s="1651">
        <v>24904286</v>
      </c>
      <c r="L101" s="1652">
        <v>678</v>
      </c>
      <c r="M101" s="1651">
        <v>24904286</v>
      </c>
      <c r="N101" s="1583">
        <v>832</v>
      </c>
      <c r="O101" s="1604">
        <v>24904286</v>
      </c>
      <c r="P101" s="1655">
        <v>329</v>
      </c>
      <c r="Q101" s="1851"/>
      <c r="R101" s="1852"/>
      <c r="S101" s="1852"/>
      <c r="T101" s="1852"/>
      <c r="U101" s="1576"/>
      <c r="V101" s="1852"/>
      <c r="W101" s="1852"/>
      <c r="X101" s="1852"/>
      <c r="Y101" s="1852"/>
      <c r="Z101" s="1852"/>
      <c r="AA101" s="1852"/>
      <c r="AB101" s="1949"/>
      <c r="AC101" s="1824">
        <f t="shared" si="32"/>
        <v>0</v>
      </c>
      <c r="AD101" s="1825">
        <f t="shared" si="33"/>
        <v>24904286</v>
      </c>
      <c r="AF101" s="848" t="s">
        <v>325</v>
      </c>
      <c r="AG101" s="1291" t="s">
        <v>1244</v>
      </c>
      <c r="AH101" s="1059" t="s">
        <v>1238</v>
      </c>
      <c r="AI101" s="1048">
        <f t="shared" si="34"/>
        <v>329</v>
      </c>
      <c r="AJ101" s="849">
        <v>24904286</v>
      </c>
      <c r="AK101" s="851">
        <f t="shared" si="35"/>
        <v>0</v>
      </c>
      <c r="AL101" s="845"/>
      <c r="AM101" s="1518"/>
    </row>
    <row r="102" spans="1:39" s="654" customFormat="1" ht="15">
      <c r="A102" s="772" t="s">
        <v>855</v>
      </c>
      <c r="B102" s="1965">
        <f t="shared" si="31"/>
        <v>2724127</v>
      </c>
      <c r="C102" s="95" t="s">
        <v>36</v>
      </c>
      <c r="D102" s="96" t="s">
        <v>830</v>
      </c>
      <c r="E102" s="96" t="s">
        <v>1651</v>
      </c>
      <c r="F102" s="96" t="s">
        <v>1652</v>
      </c>
      <c r="G102" s="96" t="s">
        <v>79</v>
      </c>
      <c r="H102" s="631" t="s">
        <v>1643</v>
      </c>
      <c r="I102" s="2142" t="s">
        <v>148</v>
      </c>
      <c r="J102" s="1650">
        <v>0</v>
      </c>
      <c r="K102" s="1651"/>
      <c r="L102" s="1652" t="s">
        <v>1106</v>
      </c>
      <c r="M102" s="1659">
        <f>985458+1738669</f>
        <v>2724127</v>
      </c>
      <c r="N102" s="1583" t="s">
        <v>1124</v>
      </c>
      <c r="O102" s="1604">
        <f>985458+1738669</f>
        <v>2724127</v>
      </c>
      <c r="P102" s="1672" t="s">
        <v>1125</v>
      </c>
      <c r="Q102" s="1851" t="s">
        <v>173</v>
      </c>
      <c r="R102" s="1852"/>
      <c r="S102" s="1852">
        <v>985458</v>
      </c>
      <c r="T102" s="1852"/>
      <c r="U102" s="1852"/>
      <c r="V102" s="1852"/>
      <c r="W102" s="1852">
        <v>1738669</v>
      </c>
      <c r="X102" s="1852"/>
      <c r="Y102" s="1852"/>
      <c r="Z102" s="1852"/>
      <c r="AA102" s="1852"/>
      <c r="AB102" s="1949"/>
      <c r="AC102" s="1824">
        <f t="shared" si="32"/>
        <v>2724127</v>
      </c>
      <c r="AD102" s="1825">
        <f t="shared" si="33"/>
        <v>0</v>
      </c>
      <c r="AF102" s="848" t="s">
        <v>148</v>
      </c>
      <c r="AG102" s="1291" t="s">
        <v>466</v>
      </c>
      <c r="AH102" s="1059" t="s">
        <v>799</v>
      </c>
      <c r="AI102" s="1048" t="str">
        <f t="shared" si="34"/>
        <v>Factura-18032 -20208</v>
      </c>
      <c r="AJ102" s="849">
        <v>3000000</v>
      </c>
      <c r="AK102" s="851">
        <f t="shared" si="35"/>
        <v>275873</v>
      </c>
      <c r="AL102" s="845"/>
      <c r="AM102" s="1518">
        <f>AJ102-M102</f>
        <v>275873</v>
      </c>
    </row>
    <row r="103" spans="1:39" s="654" customFormat="1" ht="14.25" customHeight="1">
      <c r="A103" s="772" t="s">
        <v>855</v>
      </c>
      <c r="B103" s="1965">
        <f t="shared" si="31"/>
        <v>142179165</v>
      </c>
      <c r="C103" s="95" t="s">
        <v>36</v>
      </c>
      <c r="D103" s="96" t="s">
        <v>830</v>
      </c>
      <c r="E103" s="96" t="s">
        <v>1651</v>
      </c>
      <c r="F103" s="96" t="s">
        <v>1652</v>
      </c>
      <c r="G103" s="96" t="s">
        <v>79</v>
      </c>
      <c r="H103" s="631" t="s">
        <v>1643</v>
      </c>
      <c r="I103" s="2142">
        <v>316</v>
      </c>
      <c r="J103" s="1650">
        <v>0</v>
      </c>
      <c r="K103" s="1651"/>
      <c r="L103" s="1652">
        <v>387</v>
      </c>
      <c r="M103" s="1659">
        <f>142833320-654155</f>
        <v>142179165</v>
      </c>
      <c r="N103" s="1583">
        <v>487</v>
      </c>
      <c r="O103" s="1604">
        <v>142179165</v>
      </c>
      <c r="P103" s="1655">
        <v>336</v>
      </c>
      <c r="Q103" s="1851"/>
      <c r="R103" s="1852"/>
      <c r="S103" s="1852"/>
      <c r="T103" s="1852"/>
      <c r="U103" s="1852"/>
      <c r="V103" s="1852"/>
      <c r="W103" s="1852">
        <v>11013199</v>
      </c>
      <c r="X103" s="1852">
        <v>27810244</v>
      </c>
      <c r="Y103" s="1852">
        <v>28322090</v>
      </c>
      <c r="Z103" s="1852">
        <v>49819580</v>
      </c>
      <c r="AA103" s="1852"/>
      <c r="AB103" s="1949"/>
      <c r="AC103" s="1824">
        <f t="shared" si="32"/>
        <v>116965113</v>
      </c>
      <c r="AD103" s="1825">
        <f t="shared" si="33"/>
        <v>25214052</v>
      </c>
      <c r="AF103" s="848">
        <v>316</v>
      </c>
      <c r="AG103" s="1291" t="s">
        <v>467</v>
      </c>
      <c r="AH103" s="1059" t="s">
        <v>985</v>
      </c>
      <c r="AI103" s="1048">
        <f t="shared" si="34"/>
        <v>336</v>
      </c>
      <c r="AJ103" s="849">
        <f>142833320-654155</f>
        <v>142179165</v>
      </c>
      <c r="AK103" s="851">
        <f t="shared" si="35"/>
        <v>0</v>
      </c>
      <c r="AL103" s="845"/>
      <c r="AM103" s="1518">
        <f>AJ103-M103</f>
        <v>0</v>
      </c>
    </row>
    <row r="104" spans="1:39" s="654" customFormat="1" ht="15">
      <c r="A104" s="772" t="s">
        <v>855</v>
      </c>
      <c r="B104" s="1965">
        <f t="shared" si="31"/>
        <v>0</v>
      </c>
      <c r="C104" s="95" t="s">
        <v>36</v>
      </c>
      <c r="D104" s="96" t="s">
        <v>830</v>
      </c>
      <c r="E104" s="96" t="s">
        <v>1651</v>
      </c>
      <c r="F104" s="96" t="s">
        <v>1652</v>
      </c>
      <c r="G104" s="96" t="s">
        <v>79</v>
      </c>
      <c r="H104" s="631" t="s">
        <v>1643</v>
      </c>
      <c r="I104" s="1656" t="s">
        <v>173</v>
      </c>
      <c r="J104" s="1650">
        <v>0</v>
      </c>
      <c r="K104" s="1651"/>
      <c r="L104" s="1657"/>
      <c r="M104" s="1653"/>
      <c r="N104" s="1586"/>
      <c r="O104" s="1654"/>
      <c r="P104" s="1655"/>
      <c r="Q104" s="1851"/>
      <c r="R104" s="1852"/>
      <c r="S104" s="1852"/>
      <c r="T104" s="1852"/>
      <c r="U104" s="1852"/>
      <c r="V104" s="1852"/>
      <c r="W104" s="1852"/>
      <c r="X104" s="1852"/>
      <c r="Y104" s="1852"/>
      <c r="Z104" s="1852"/>
      <c r="AA104" s="1852"/>
      <c r="AB104" s="1853"/>
      <c r="AC104" s="1824">
        <f t="shared" si="32"/>
        <v>0</v>
      </c>
      <c r="AD104" s="1825">
        <f t="shared" si="33"/>
        <v>0</v>
      </c>
      <c r="AF104" s="848"/>
      <c r="AG104" s="1291"/>
      <c r="AH104" s="1060" t="s">
        <v>173</v>
      </c>
      <c r="AI104" s="1048">
        <f t="shared" si="34"/>
        <v>0</v>
      </c>
      <c r="AJ104" s="849"/>
      <c r="AK104" s="851">
        <f t="shared" si="35"/>
        <v>0</v>
      </c>
      <c r="AL104" s="845"/>
      <c r="AM104" s="1518">
        <f>AJ104-M104</f>
        <v>0</v>
      </c>
    </row>
    <row r="105" spans="1:39" s="633" customFormat="1" ht="15" customHeight="1">
      <c r="A105" s="772" t="s">
        <v>855</v>
      </c>
      <c r="B105" s="1965">
        <f t="shared" si="31"/>
        <v>0</v>
      </c>
      <c r="C105" s="95" t="s">
        <v>36</v>
      </c>
      <c r="D105" s="96" t="s">
        <v>830</v>
      </c>
      <c r="E105" s="96" t="s">
        <v>1651</v>
      </c>
      <c r="F105" s="96" t="s">
        <v>1652</v>
      </c>
      <c r="G105" s="96" t="s">
        <v>79</v>
      </c>
      <c r="H105" s="631" t="s">
        <v>1643</v>
      </c>
      <c r="I105" s="1656" t="s">
        <v>173</v>
      </c>
      <c r="J105" s="1650">
        <v>0</v>
      </c>
      <c r="K105" s="1651"/>
      <c r="L105" s="1658"/>
      <c r="M105" s="1659"/>
      <c r="N105" s="1586"/>
      <c r="O105" s="1604"/>
      <c r="P105" s="1655"/>
      <c r="Q105" s="1851"/>
      <c r="R105" s="1852"/>
      <c r="S105" s="1852"/>
      <c r="T105" s="1852"/>
      <c r="U105" s="1852"/>
      <c r="V105" s="1852"/>
      <c r="W105" s="1852"/>
      <c r="X105" s="1852"/>
      <c r="Y105" s="1852"/>
      <c r="Z105" s="1852"/>
      <c r="AA105" s="1852"/>
      <c r="AB105" s="1853"/>
      <c r="AC105" s="1824">
        <f t="shared" si="32"/>
        <v>0</v>
      </c>
      <c r="AD105" s="1825">
        <f t="shared" si="33"/>
        <v>0</v>
      </c>
      <c r="AF105" s="848" t="s">
        <v>325</v>
      </c>
      <c r="AG105" s="1291" t="s">
        <v>493</v>
      </c>
      <c r="AH105" s="1060" t="s">
        <v>173</v>
      </c>
      <c r="AI105" s="1048">
        <f t="shared" si="34"/>
        <v>0</v>
      </c>
      <c r="AJ105" s="849">
        <f>95714-95714</f>
        <v>0</v>
      </c>
      <c r="AK105" s="851">
        <f t="shared" si="35"/>
        <v>0</v>
      </c>
      <c r="AL105" s="845"/>
      <c r="AM105" s="1518">
        <f>AJ105-M105</f>
        <v>0</v>
      </c>
    </row>
    <row r="106" spans="1:39" s="633" customFormat="1" ht="15" customHeight="1">
      <c r="A106" s="655" t="s">
        <v>80</v>
      </c>
      <c r="B106" s="1966">
        <f>B99-SUM(B100:B105)</f>
        <v>275873</v>
      </c>
      <c r="C106" s="656"/>
      <c r="D106" s="656"/>
      <c r="E106" s="656"/>
      <c r="F106" s="656"/>
      <c r="G106" s="656"/>
      <c r="H106" s="2146"/>
      <c r="I106" s="1660"/>
      <c r="J106" s="1661"/>
      <c r="K106" s="1662"/>
      <c r="L106" s="1589"/>
      <c r="M106" s="1663">
        <f>SUM(M100:M105)</f>
        <v>866123059</v>
      </c>
      <c r="N106" s="1589"/>
      <c r="O106" s="1663">
        <f>SUM(O100:O105)</f>
        <v>866123059</v>
      </c>
      <c r="P106" s="1664"/>
      <c r="Q106" s="1663">
        <f t="shared" ref="Q106:AD106" si="36">SUM(Q100:Q105)</f>
        <v>0</v>
      </c>
      <c r="R106" s="1663">
        <f t="shared" si="36"/>
        <v>0</v>
      </c>
      <c r="S106" s="1663">
        <f t="shared" si="36"/>
        <v>985458</v>
      </c>
      <c r="T106" s="1663">
        <f t="shared" si="36"/>
        <v>0</v>
      </c>
      <c r="U106" s="1663">
        <f t="shared" si="36"/>
        <v>0</v>
      </c>
      <c r="V106" s="1663">
        <f t="shared" si="36"/>
        <v>208894644</v>
      </c>
      <c r="W106" s="1663">
        <f t="shared" si="36"/>
        <v>27328216</v>
      </c>
      <c r="X106" s="1663">
        <f t="shared" si="36"/>
        <v>138069879</v>
      </c>
      <c r="Y106" s="1663">
        <f t="shared" si="36"/>
        <v>141540352</v>
      </c>
      <c r="Z106" s="1663">
        <f t="shared" si="36"/>
        <v>292256392</v>
      </c>
      <c r="AA106" s="1663">
        <f t="shared" si="36"/>
        <v>0</v>
      </c>
      <c r="AB106" s="1663">
        <f t="shared" si="36"/>
        <v>0</v>
      </c>
      <c r="AC106" s="1663">
        <f t="shared" si="36"/>
        <v>809074941</v>
      </c>
      <c r="AD106" s="1663">
        <f t="shared" si="36"/>
        <v>57048118</v>
      </c>
      <c r="AF106" s="852"/>
      <c r="AG106" s="14">
        <f>SUM(AG100:AG105)</f>
        <v>0</v>
      </c>
      <c r="AH106" s="14">
        <f>SUM(AH100:AH105)</f>
        <v>0</v>
      </c>
      <c r="AI106" s="1052">
        <f>SUM(AI100:AI105)</f>
        <v>994</v>
      </c>
      <c r="AJ106" s="1663">
        <f>SUM(AJ100:AJ105)</f>
        <v>866398932</v>
      </c>
      <c r="AK106" s="181">
        <f>SUM(AK100:AK105)</f>
        <v>275873</v>
      </c>
      <c r="AL106" s="1872">
        <f>B99-AJ106</f>
        <v>0</v>
      </c>
    </row>
    <row r="107" spans="1:39" s="654" customFormat="1" ht="31.5" customHeight="1">
      <c r="A107" s="1279" t="s">
        <v>1340</v>
      </c>
      <c r="B107" s="1964">
        <f>400000000+30000000-6597928</f>
        <v>423402072</v>
      </c>
      <c r="C107" s="1275" t="s">
        <v>36</v>
      </c>
      <c r="D107" s="1276" t="s">
        <v>830</v>
      </c>
      <c r="E107" s="1276" t="s">
        <v>1651</v>
      </c>
      <c r="F107" s="1276" t="s">
        <v>1652</v>
      </c>
      <c r="G107" s="1276" t="s">
        <v>79</v>
      </c>
      <c r="H107" s="2151" t="s">
        <v>1643</v>
      </c>
      <c r="I107" s="1644"/>
      <c r="J107" s="1645">
        <v>0</v>
      </c>
      <c r="K107" s="1646"/>
      <c r="L107" s="1647"/>
      <c r="M107" s="1648"/>
      <c r="N107" s="1647"/>
      <c r="O107" s="1649"/>
      <c r="P107" s="1643"/>
      <c r="Q107" s="1822"/>
      <c r="R107" s="1850"/>
      <c r="S107" s="1850"/>
      <c r="T107" s="1850"/>
      <c r="U107" s="1850"/>
      <c r="V107" s="1850"/>
      <c r="W107" s="1850"/>
      <c r="X107" s="1850"/>
      <c r="Y107" s="1850"/>
      <c r="Z107" s="1850"/>
      <c r="AA107" s="1850"/>
      <c r="AB107" s="1823"/>
      <c r="AC107" s="1822"/>
      <c r="AD107" s="1823"/>
      <c r="AF107" s="1183"/>
      <c r="AG107" s="652"/>
      <c r="AH107" s="652"/>
      <c r="AI107" s="652"/>
      <c r="AJ107" s="1850"/>
      <c r="AK107" s="653"/>
      <c r="AL107" s="845"/>
      <c r="AM107" s="1517"/>
    </row>
    <row r="108" spans="1:39" s="654" customFormat="1" ht="15">
      <c r="A108" s="772" t="s">
        <v>1340</v>
      </c>
      <c r="B108" s="1965">
        <f t="shared" ref="B108:B114" si="37">M108</f>
        <v>329854712</v>
      </c>
      <c r="C108" s="95" t="s">
        <v>36</v>
      </c>
      <c r="D108" s="96" t="s">
        <v>830</v>
      </c>
      <c r="E108" s="96" t="s">
        <v>1651</v>
      </c>
      <c r="F108" s="96" t="s">
        <v>1652</v>
      </c>
      <c r="G108" s="96" t="s">
        <v>79</v>
      </c>
      <c r="H108" s="631" t="s">
        <v>1643</v>
      </c>
      <c r="I108" s="2142">
        <v>322</v>
      </c>
      <c r="J108" s="1650">
        <v>0</v>
      </c>
      <c r="K108" s="1651"/>
      <c r="L108" s="1652">
        <v>508</v>
      </c>
      <c r="M108" s="1659">
        <v>329854712</v>
      </c>
      <c r="N108" s="1583">
        <v>547</v>
      </c>
      <c r="O108" s="1604">
        <v>329854712</v>
      </c>
      <c r="P108" s="1689" t="s">
        <v>947</v>
      </c>
      <c r="Q108" s="1851"/>
      <c r="R108" s="1852"/>
      <c r="S108" s="1852"/>
      <c r="T108" s="1852"/>
      <c r="U108" s="1852"/>
      <c r="V108" s="1852"/>
      <c r="W108" s="1852">
        <v>139732241</v>
      </c>
      <c r="X108" s="1852">
        <v>101251071</v>
      </c>
      <c r="Y108" s="1852">
        <v>88871400</v>
      </c>
      <c r="Z108" s="1852"/>
      <c r="AA108" s="1852"/>
      <c r="AB108" s="1949"/>
      <c r="AC108" s="1824">
        <f t="shared" ref="AC108:AC114" si="38">SUM(Q108:AB108)</f>
        <v>329854712</v>
      </c>
      <c r="AD108" s="1825">
        <f t="shared" ref="AD108:AD114" si="39">O108-AC108</f>
        <v>0</v>
      </c>
      <c r="AF108" s="848">
        <v>322</v>
      </c>
      <c r="AG108" s="1291" t="s">
        <v>946</v>
      </c>
      <c r="AH108" s="1059" t="s">
        <v>1018</v>
      </c>
      <c r="AI108" s="1048" t="str">
        <f t="shared" ref="AI108:AI114" si="40">P108</f>
        <v>474/2018</v>
      </c>
      <c r="AJ108" s="849">
        <f>330900000-1045288</f>
        <v>329854712</v>
      </c>
      <c r="AK108" s="851">
        <f t="shared" ref="AK108:AK114" si="41">AJ108-O108</f>
        <v>0</v>
      </c>
      <c r="AL108" s="845"/>
      <c r="AM108" s="1518">
        <f t="shared" ref="AM108:AM114" si="42">AJ108-M108</f>
        <v>0</v>
      </c>
    </row>
    <row r="109" spans="1:39" s="654" customFormat="1" ht="15">
      <c r="A109" s="772" t="s">
        <v>1340</v>
      </c>
      <c r="B109" s="1965">
        <f t="shared" si="37"/>
        <v>23402072</v>
      </c>
      <c r="C109" s="95" t="s">
        <v>36</v>
      </c>
      <c r="D109" s="96" t="s">
        <v>830</v>
      </c>
      <c r="E109" s="96" t="s">
        <v>1651</v>
      </c>
      <c r="F109" s="96" t="s">
        <v>1652</v>
      </c>
      <c r="G109" s="96" t="s">
        <v>79</v>
      </c>
      <c r="H109" s="631" t="s">
        <v>1643</v>
      </c>
      <c r="I109" s="2142" t="s">
        <v>173</v>
      </c>
      <c r="J109" s="1650"/>
      <c r="K109" s="1651"/>
      <c r="L109" s="1652">
        <v>643</v>
      </c>
      <c r="M109" s="1659">
        <v>23402072</v>
      </c>
      <c r="N109" s="1583">
        <v>787</v>
      </c>
      <c r="O109" s="1604">
        <v>23402072</v>
      </c>
      <c r="P109" s="1690" t="s">
        <v>947</v>
      </c>
      <c r="Q109" s="1851"/>
      <c r="R109" s="1852"/>
      <c r="S109" s="1852"/>
      <c r="T109" s="1852"/>
      <c r="U109" s="1852"/>
      <c r="V109" s="1852"/>
      <c r="W109" s="1852"/>
      <c r="X109" s="1852"/>
      <c r="Y109" s="1852">
        <v>23402072</v>
      </c>
      <c r="Z109" s="1852"/>
      <c r="AA109" s="1852"/>
      <c r="AB109" s="1949"/>
      <c r="AC109" s="1824">
        <f t="shared" si="38"/>
        <v>23402072</v>
      </c>
      <c r="AD109" s="1825">
        <f t="shared" si="39"/>
        <v>0</v>
      </c>
      <c r="AF109" s="848" t="s">
        <v>325</v>
      </c>
      <c r="AG109" s="1291" t="s">
        <v>1181</v>
      </c>
      <c r="AH109" s="1059" t="s">
        <v>1018</v>
      </c>
      <c r="AI109" s="1048" t="str">
        <f t="shared" si="40"/>
        <v>474/2018</v>
      </c>
      <c r="AJ109" s="849">
        <f>30000000-6597928</f>
        <v>23402072</v>
      </c>
      <c r="AK109" s="851">
        <f t="shared" si="41"/>
        <v>0</v>
      </c>
      <c r="AL109" s="845"/>
      <c r="AM109" s="1518">
        <f t="shared" si="42"/>
        <v>0</v>
      </c>
    </row>
    <row r="110" spans="1:39" s="654" customFormat="1" ht="15">
      <c r="A110" s="772" t="s">
        <v>1340</v>
      </c>
      <c r="B110" s="1965">
        <f t="shared" si="37"/>
        <v>985458</v>
      </c>
      <c r="C110" s="95" t="s">
        <v>36</v>
      </c>
      <c r="D110" s="96" t="s">
        <v>830</v>
      </c>
      <c r="E110" s="96" t="s">
        <v>1651</v>
      </c>
      <c r="F110" s="96" t="s">
        <v>1652</v>
      </c>
      <c r="G110" s="96" t="s">
        <v>79</v>
      </c>
      <c r="H110" s="631" t="s">
        <v>1643</v>
      </c>
      <c r="I110" s="2142" t="s">
        <v>148</v>
      </c>
      <c r="J110" s="1650">
        <v>0</v>
      </c>
      <c r="K110" s="1651"/>
      <c r="L110" s="1652">
        <v>309</v>
      </c>
      <c r="M110" s="1462">
        <v>985458</v>
      </c>
      <c r="N110" s="1593">
        <v>296</v>
      </c>
      <c r="O110" s="1604">
        <v>985458</v>
      </c>
      <c r="P110" s="1655" t="s">
        <v>737</v>
      </c>
      <c r="Q110" s="1851" t="s">
        <v>173</v>
      </c>
      <c r="R110" s="1852"/>
      <c r="S110" s="1852">
        <f>VLOOKUP(N110,[9]Hoja2!N$2:T$77,7,0)</f>
        <v>985458</v>
      </c>
      <c r="T110" s="1852"/>
      <c r="U110" s="1852"/>
      <c r="V110" s="1852"/>
      <c r="W110" s="1852"/>
      <c r="X110" s="1852"/>
      <c r="Y110" s="1852"/>
      <c r="Z110" s="1852"/>
      <c r="AA110" s="1852"/>
      <c r="AB110" s="1949"/>
      <c r="AC110" s="1824">
        <f t="shared" si="38"/>
        <v>985458</v>
      </c>
      <c r="AD110" s="1825">
        <f t="shared" si="39"/>
        <v>0</v>
      </c>
      <c r="AF110" s="848" t="s">
        <v>148</v>
      </c>
      <c r="AG110" s="1291" t="s">
        <v>464</v>
      </c>
      <c r="AH110" s="1059" t="s">
        <v>738</v>
      </c>
      <c r="AI110" s="1048" t="str">
        <f t="shared" si="40"/>
        <v>Oficio-16493</v>
      </c>
      <c r="AJ110" s="849">
        <f>3000000-2014542</f>
        <v>985458</v>
      </c>
      <c r="AK110" s="851">
        <f t="shared" si="41"/>
        <v>0</v>
      </c>
      <c r="AL110" s="845"/>
      <c r="AM110" s="1518">
        <f t="shared" si="42"/>
        <v>0</v>
      </c>
    </row>
    <row r="111" spans="1:39" s="654" customFormat="1" ht="14.25" customHeight="1">
      <c r="A111" s="772" t="s">
        <v>1340</v>
      </c>
      <c r="B111" s="1965">
        <f t="shared" si="37"/>
        <v>69159830</v>
      </c>
      <c r="C111" s="95" t="s">
        <v>36</v>
      </c>
      <c r="D111" s="96" t="s">
        <v>830</v>
      </c>
      <c r="E111" s="96" t="s">
        <v>1651</v>
      </c>
      <c r="F111" s="96" t="s">
        <v>1652</v>
      </c>
      <c r="G111" s="96" t="s">
        <v>79</v>
      </c>
      <c r="H111" s="631" t="s">
        <v>1643</v>
      </c>
      <c r="I111" s="2142">
        <v>323</v>
      </c>
      <c r="J111" s="1650">
        <v>0</v>
      </c>
      <c r="K111" s="1651"/>
      <c r="L111" s="1652">
        <v>510</v>
      </c>
      <c r="M111" s="1659">
        <v>69159830</v>
      </c>
      <c r="N111" s="1583">
        <v>548</v>
      </c>
      <c r="O111" s="1604">
        <v>69159830</v>
      </c>
      <c r="P111" s="1689" t="s">
        <v>949</v>
      </c>
      <c r="Q111" s="1851"/>
      <c r="R111" s="1852"/>
      <c r="S111" s="1852"/>
      <c r="T111" s="1852"/>
      <c r="U111" s="1852"/>
      <c r="V111" s="1852"/>
      <c r="W111" s="1852">
        <v>5980270</v>
      </c>
      <c r="X111" s="1852">
        <v>17822002</v>
      </c>
      <c r="Y111" s="1852">
        <v>23934879</v>
      </c>
      <c r="Z111" s="1852"/>
      <c r="AA111" s="1852"/>
      <c r="AB111" s="1949">
        <v>10711339</v>
      </c>
      <c r="AC111" s="1824">
        <f t="shared" si="38"/>
        <v>58448490</v>
      </c>
      <c r="AD111" s="1825">
        <f t="shared" si="39"/>
        <v>10711340</v>
      </c>
      <c r="AF111" s="848">
        <v>323</v>
      </c>
      <c r="AG111" s="1291" t="s">
        <v>948</v>
      </c>
      <c r="AH111" s="1059" t="s">
        <v>1019</v>
      </c>
      <c r="AI111" s="1048" t="str">
        <f t="shared" si="40"/>
        <v>469/2018</v>
      </c>
      <c r="AJ111" s="849">
        <f>66100000+3059830</f>
        <v>69159830</v>
      </c>
      <c r="AK111" s="851">
        <f t="shared" si="41"/>
        <v>0</v>
      </c>
      <c r="AL111" s="845"/>
      <c r="AM111" s="1518">
        <f t="shared" si="42"/>
        <v>0</v>
      </c>
    </row>
    <row r="112" spans="1:39" s="654" customFormat="1" ht="15">
      <c r="A112" s="772" t="s">
        <v>1340</v>
      </c>
      <c r="B112" s="1965">
        <f t="shared" si="37"/>
        <v>0</v>
      </c>
      <c r="C112" s="95" t="s">
        <v>36</v>
      </c>
      <c r="D112" s="96" t="s">
        <v>830</v>
      </c>
      <c r="E112" s="96" t="s">
        <v>1651</v>
      </c>
      <c r="F112" s="96" t="s">
        <v>1652</v>
      </c>
      <c r="G112" s="96" t="s">
        <v>79</v>
      </c>
      <c r="H112" s="631" t="s">
        <v>1643</v>
      </c>
      <c r="I112" s="1656" t="s">
        <v>173</v>
      </c>
      <c r="J112" s="1650">
        <v>0</v>
      </c>
      <c r="K112" s="1651"/>
      <c r="L112" s="1657"/>
      <c r="M112" s="1653"/>
      <c r="N112" s="1583"/>
      <c r="O112" s="1604"/>
      <c r="P112" s="1655"/>
      <c r="Q112" s="1851"/>
      <c r="R112" s="1852"/>
      <c r="S112" s="1852"/>
      <c r="T112" s="1852"/>
      <c r="U112" s="1852"/>
      <c r="V112" s="1852"/>
      <c r="W112" s="1852"/>
      <c r="X112" s="1852"/>
      <c r="Y112" s="1852"/>
      <c r="Z112" s="1852"/>
      <c r="AA112" s="1852"/>
      <c r="AB112" s="1853"/>
      <c r="AC112" s="1824">
        <f t="shared" si="38"/>
        <v>0</v>
      </c>
      <c r="AD112" s="1825">
        <f t="shared" si="39"/>
        <v>0</v>
      </c>
      <c r="AF112" s="848"/>
      <c r="AG112" s="1291" t="s">
        <v>464</v>
      </c>
      <c r="AH112" s="1060" t="s">
        <v>173</v>
      </c>
      <c r="AI112" s="1048">
        <f t="shared" si="40"/>
        <v>0</v>
      </c>
      <c r="AJ112" s="849"/>
      <c r="AK112" s="851">
        <f t="shared" si="41"/>
        <v>0</v>
      </c>
      <c r="AL112" s="845"/>
      <c r="AM112" s="1518">
        <f t="shared" si="42"/>
        <v>0</v>
      </c>
    </row>
    <row r="113" spans="1:39" s="654" customFormat="1" ht="15" customHeight="1">
      <c r="A113" s="772" t="s">
        <v>1340</v>
      </c>
      <c r="B113" s="1965">
        <f t="shared" si="37"/>
        <v>0</v>
      </c>
      <c r="C113" s="95" t="s">
        <v>36</v>
      </c>
      <c r="D113" s="96" t="s">
        <v>830</v>
      </c>
      <c r="E113" s="96" t="s">
        <v>1651</v>
      </c>
      <c r="F113" s="96" t="s">
        <v>1652</v>
      </c>
      <c r="G113" s="96" t="s">
        <v>79</v>
      </c>
      <c r="H113" s="631" t="s">
        <v>1643</v>
      </c>
      <c r="I113" s="1656" t="s">
        <v>173</v>
      </c>
      <c r="J113" s="1650">
        <v>0</v>
      </c>
      <c r="K113" s="1651"/>
      <c r="L113" s="1657"/>
      <c r="M113" s="1653"/>
      <c r="N113" s="1583"/>
      <c r="O113" s="1604"/>
      <c r="P113" s="1690"/>
      <c r="Q113" s="1851"/>
      <c r="R113" s="1852"/>
      <c r="S113" s="1852"/>
      <c r="T113" s="1852"/>
      <c r="U113" s="1852"/>
      <c r="V113" s="1852"/>
      <c r="W113" s="1852"/>
      <c r="X113" s="1852"/>
      <c r="Y113" s="1852"/>
      <c r="Z113" s="1852"/>
      <c r="AA113" s="1852"/>
      <c r="AB113" s="1853"/>
      <c r="AC113" s="1824">
        <f t="shared" si="38"/>
        <v>0</v>
      </c>
      <c r="AD113" s="1825">
        <f t="shared" si="39"/>
        <v>0</v>
      </c>
      <c r="AF113" s="848"/>
      <c r="AG113" s="1291"/>
      <c r="AH113" s="1060"/>
      <c r="AI113" s="1048">
        <f t="shared" si="40"/>
        <v>0</v>
      </c>
      <c r="AJ113" s="849"/>
      <c r="AK113" s="851">
        <f t="shared" si="41"/>
        <v>0</v>
      </c>
      <c r="AL113" s="845"/>
      <c r="AM113" s="1518">
        <f t="shared" si="42"/>
        <v>0</v>
      </c>
    </row>
    <row r="114" spans="1:39" s="633" customFormat="1" ht="15">
      <c r="A114" s="772" t="s">
        <v>1340</v>
      </c>
      <c r="B114" s="1965">
        <f t="shared" si="37"/>
        <v>0</v>
      </c>
      <c r="C114" s="95" t="s">
        <v>36</v>
      </c>
      <c r="D114" s="96" t="s">
        <v>830</v>
      </c>
      <c r="E114" s="96" t="s">
        <v>1651</v>
      </c>
      <c r="F114" s="96" t="s">
        <v>1652</v>
      </c>
      <c r="G114" s="96" t="s">
        <v>79</v>
      </c>
      <c r="H114" s="631" t="s">
        <v>1643</v>
      </c>
      <c r="I114" s="1656" t="s">
        <v>173</v>
      </c>
      <c r="J114" s="1650">
        <v>0</v>
      </c>
      <c r="K114" s="1651"/>
      <c r="L114" s="1658"/>
      <c r="M114" s="1659"/>
      <c r="N114" s="1583"/>
      <c r="O114" s="1604"/>
      <c r="P114" s="1655"/>
      <c r="Q114" s="1851"/>
      <c r="R114" s="1852"/>
      <c r="S114" s="1852"/>
      <c r="T114" s="1852"/>
      <c r="U114" s="1852"/>
      <c r="V114" s="1852"/>
      <c r="W114" s="1852"/>
      <c r="X114" s="1852"/>
      <c r="Y114" s="1852"/>
      <c r="Z114" s="1852"/>
      <c r="AA114" s="1852"/>
      <c r="AB114" s="1853"/>
      <c r="AC114" s="1824">
        <f t="shared" si="38"/>
        <v>0</v>
      </c>
      <c r="AD114" s="1825">
        <f t="shared" si="39"/>
        <v>0</v>
      </c>
      <c r="AF114" s="848"/>
      <c r="AG114" s="1291"/>
      <c r="AH114" s="1060" t="s">
        <v>173</v>
      </c>
      <c r="AI114" s="1048">
        <f t="shared" si="40"/>
        <v>0</v>
      </c>
      <c r="AJ114" s="849"/>
      <c r="AK114" s="851">
        <f t="shared" si="41"/>
        <v>0</v>
      </c>
      <c r="AL114" s="845"/>
      <c r="AM114" s="1518">
        <f t="shared" si="42"/>
        <v>0</v>
      </c>
    </row>
    <row r="115" spans="1:39" s="633" customFormat="1" ht="15">
      <c r="A115" s="655" t="s">
        <v>80</v>
      </c>
      <c r="B115" s="1966">
        <f>B107-SUM(B108:B114)</f>
        <v>0</v>
      </c>
      <c r="C115" s="656"/>
      <c r="D115" s="656"/>
      <c r="E115" s="656"/>
      <c r="F115" s="656"/>
      <c r="G115" s="656"/>
      <c r="H115" s="2146"/>
      <c r="I115" s="1660"/>
      <c r="J115" s="1661"/>
      <c r="K115" s="1662"/>
      <c r="L115" s="1589"/>
      <c r="M115" s="1663">
        <f>SUM(M108:M114)</f>
        <v>423402072</v>
      </c>
      <c r="N115" s="1589"/>
      <c r="O115" s="1663">
        <f>SUM(O108:O114)</f>
        <v>423402072</v>
      </c>
      <c r="P115" s="1664"/>
      <c r="Q115" s="1663">
        <f t="shared" ref="Q115:AD115" si="43">SUM(Q108:Q114)</f>
        <v>0</v>
      </c>
      <c r="R115" s="1663">
        <f t="shared" si="43"/>
        <v>0</v>
      </c>
      <c r="S115" s="1663">
        <f t="shared" si="43"/>
        <v>985458</v>
      </c>
      <c r="T115" s="1663">
        <f t="shared" si="43"/>
        <v>0</v>
      </c>
      <c r="U115" s="1663">
        <f t="shared" si="43"/>
        <v>0</v>
      </c>
      <c r="V115" s="1663">
        <f t="shared" si="43"/>
        <v>0</v>
      </c>
      <c r="W115" s="1663">
        <f t="shared" si="43"/>
        <v>145712511</v>
      </c>
      <c r="X115" s="1663">
        <f t="shared" si="43"/>
        <v>119073073</v>
      </c>
      <c r="Y115" s="1663">
        <f t="shared" si="43"/>
        <v>136208351</v>
      </c>
      <c r="Z115" s="1663">
        <f t="shared" si="43"/>
        <v>0</v>
      </c>
      <c r="AA115" s="1663">
        <f t="shared" si="43"/>
        <v>0</v>
      </c>
      <c r="AB115" s="1826">
        <f t="shared" si="43"/>
        <v>10711339</v>
      </c>
      <c r="AC115" s="1662">
        <f t="shared" si="43"/>
        <v>412690732</v>
      </c>
      <c r="AD115" s="1663">
        <f t="shared" si="43"/>
        <v>10711340</v>
      </c>
      <c r="AF115" s="852"/>
      <c r="AG115" s="14">
        <f>SUM(AG108:AG114)</f>
        <v>0</v>
      </c>
      <c r="AH115" s="14">
        <f>SUM(AH108:AH114)</f>
        <v>0</v>
      </c>
      <c r="AI115" s="1052">
        <f>SUM(AI108:AI114)</f>
        <v>0</v>
      </c>
      <c r="AJ115" s="1663">
        <f>SUM(AJ108:AJ114)</f>
        <v>423402072</v>
      </c>
      <c r="AK115" s="181">
        <f>SUM(AK108:AK114)</f>
        <v>0</v>
      </c>
      <c r="AL115" s="1872">
        <f>B107-AJ115</f>
        <v>0</v>
      </c>
    </row>
    <row r="116" spans="1:39" s="654" customFormat="1" ht="31.5" customHeight="1">
      <c r="A116" s="1279" t="s">
        <v>1341</v>
      </c>
      <c r="B116" s="1964">
        <f>2099383175-14373917-180</f>
        <v>2085009078</v>
      </c>
      <c r="C116" s="1275" t="s">
        <v>36</v>
      </c>
      <c r="D116" s="1276" t="s">
        <v>830</v>
      </c>
      <c r="E116" s="1276" t="s">
        <v>1651</v>
      </c>
      <c r="F116" s="1276" t="s">
        <v>1652</v>
      </c>
      <c r="G116" s="1276" t="s">
        <v>79</v>
      </c>
      <c r="H116" s="2151" t="s">
        <v>1643</v>
      </c>
      <c r="I116" s="1644"/>
      <c r="J116" s="1645">
        <v>0</v>
      </c>
      <c r="K116" s="1646"/>
      <c r="L116" s="1647"/>
      <c r="M116" s="1648"/>
      <c r="N116" s="1647"/>
      <c r="O116" s="1649"/>
      <c r="P116" s="1643"/>
      <c r="Q116" s="1822"/>
      <c r="R116" s="1850"/>
      <c r="S116" s="1850"/>
      <c r="T116" s="1850"/>
      <c r="U116" s="1850"/>
      <c r="V116" s="1850"/>
      <c r="W116" s="1850"/>
      <c r="X116" s="1850"/>
      <c r="Y116" s="1850"/>
      <c r="Z116" s="1850"/>
      <c r="AA116" s="1850"/>
      <c r="AB116" s="1823"/>
      <c r="AC116" s="1822"/>
      <c r="AD116" s="1823"/>
      <c r="AF116" s="1183"/>
      <c r="AG116" s="652"/>
      <c r="AH116" s="652"/>
      <c r="AI116" s="652"/>
      <c r="AJ116" s="1850"/>
      <c r="AK116" s="653"/>
      <c r="AL116" s="845"/>
      <c r="AM116" s="1517"/>
    </row>
    <row r="117" spans="1:39" s="654" customFormat="1" ht="15">
      <c r="A117" s="772" t="s">
        <v>1341</v>
      </c>
      <c r="B117" s="1965">
        <f>M117</f>
        <v>1739048042</v>
      </c>
      <c r="C117" s="95" t="s">
        <v>36</v>
      </c>
      <c r="D117" s="96" t="s">
        <v>830</v>
      </c>
      <c r="E117" s="96" t="s">
        <v>1651</v>
      </c>
      <c r="F117" s="96" t="s">
        <v>1652</v>
      </c>
      <c r="G117" s="96" t="s">
        <v>79</v>
      </c>
      <c r="H117" s="631" t="s">
        <v>1643</v>
      </c>
      <c r="I117" s="2142">
        <v>607</v>
      </c>
      <c r="J117" s="1650">
        <v>0</v>
      </c>
      <c r="K117" s="1651"/>
      <c r="L117" s="1652">
        <v>773</v>
      </c>
      <c r="M117" s="1659">
        <f>1780009078-40961036</f>
        <v>1739048042</v>
      </c>
      <c r="N117" s="1583">
        <v>1189</v>
      </c>
      <c r="O117" s="1604">
        <v>1739048042</v>
      </c>
      <c r="P117" s="1689">
        <v>510</v>
      </c>
      <c r="Q117" s="1851"/>
      <c r="R117" s="1852"/>
      <c r="S117" s="1852"/>
      <c r="T117" s="1852"/>
      <c r="U117" s="1852"/>
      <c r="V117" s="1852"/>
      <c r="W117" s="1852"/>
      <c r="X117" s="1852"/>
      <c r="Y117" s="1852"/>
      <c r="Z117" s="1852"/>
      <c r="AA117" s="1852"/>
      <c r="AB117" s="1853"/>
      <c r="AC117" s="1824">
        <f>SUM(Q117:AB117)</f>
        <v>0</v>
      </c>
      <c r="AD117" s="1825">
        <f>O117-AC117</f>
        <v>1739048042</v>
      </c>
      <c r="AF117" s="848">
        <v>607</v>
      </c>
      <c r="AG117" s="1291" t="s">
        <v>1311</v>
      </c>
      <c r="AH117" s="1059" t="s">
        <v>1619</v>
      </c>
      <c r="AI117" s="1048">
        <f>P117</f>
        <v>510</v>
      </c>
      <c r="AJ117" s="849">
        <v>1780009078</v>
      </c>
      <c r="AK117" s="851">
        <f>AJ117-O117</f>
        <v>40961036</v>
      </c>
      <c r="AL117" s="845"/>
      <c r="AM117" s="1518">
        <f>AJ117-M117</f>
        <v>40961036</v>
      </c>
    </row>
    <row r="118" spans="1:39" s="654" customFormat="1" ht="15">
      <c r="A118" s="772" t="s">
        <v>1341</v>
      </c>
      <c r="B118" s="1965">
        <f>M118</f>
        <v>304991090</v>
      </c>
      <c r="C118" s="95" t="s">
        <v>36</v>
      </c>
      <c r="D118" s="96" t="s">
        <v>830</v>
      </c>
      <c r="E118" s="96" t="s">
        <v>1651</v>
      </c>
      <c r="F118" s="96" t="s">
        <v>1652</v>
      </c>
      <c r="G118" s="96" t="s">
        <v>79</v>
      </c>
      <c r="H118" s="631" t="s">
        <v>1643</v>
      </c>
      <c r="I118" s="2142">
        <v>608</v>
      </c>
      <c r="J118" s="1650"/>
      <c r="K118" s="1651"/>
      <c r="L118" s="1652">
        <v>794</v>
      </c>
      <c r="M118" s="1659">
        <f>302147720-302147720+305000000-8910</f>
        <v>304991090</v>
      </c>
      <c r="N118" s="1583">
        <v>1190</v>
      </c>
      <c r="O118" s="1604">
        <v>304991090</v>
      </c>
      <c r="P118" s="1690" t="s">
        <v>1618</v>
      </c>
      <c r="Q118" s="1851"/>
      <c r="R118" s="1852"/>
      <c r="S118" s="1852"/>
      <c r="T118" s="1852"/>
      <c r="U118" s="1852"/>
      <c r="V118" s="1852"/>
      <c r="W118" s="1852"/>
      <c r="X118" s="1852"/>
      <c r="Y118" s="1852"/>
      <c r="Z118" s="1852"/>
      <c r="AA118" s="1852"/>
      <c r="AB118" s="1853"/>
      <c r="AC118" s="1824">
        <f>SUM(Q118:AB118)</f>
        <v>0</v>
      </c>
      <c r="AD118" s="1825">
        <f>O118-AC118</f>
        <v>304991090</v>
      </c>
      <c r="AF118" s="848">
        <v>608</v>
      </c>
      <c r="AG118" s="1291" t="s">
        <v>1312</v>
      </c>
      <c r="AH118" s="1059" t="s">
        <v>1100</v>
      </c>
      <c r="AI118" s="1048" t="str">
        <f>P118</f>
        <v>513</v>
      </c>
      <c r="AJ118" s="849">
        <v>305000000</v>
      </c>
      <c r="AK118" s="851">
        <f>AJ118-O118</f>
        <v>8910</v>
      </c>
      <c r="AL118" s="845"/>
      <c r="AM118" s="1518">
        <f>AJ118-M118</f>
        <v>8910</v>
      </c>
    </row>
    <row r="119" spans="1:39" s="654" customFormat="1" ht="14.25" customHeight="1">
      <c r="A119" s="772" t="s">
        <v>1341</v>
      </c>
      <c r="B119" s="1965">
        <f>M119</f>
        <v>0</v>
      </c>
      <c r="C119" s="95" t="s">
        <v>36</v>
      </c>
      <c r="D119" s="96" t="s">
        <v>830</v>
      </c>
      <c r="E119" s="96" t="s">
        <v>1651</v>
      </c>
      <c r="F119" s="96" t="s">
        <v>1652</v>
      </c>
      <c r="G119" s="96" t="s">
        <v>79</v>
      </c>
      <c r="H119" s="631" t="s">
        <v>1643</v>
      </c>
      <c r="I119" s="2142" t="s">
        <v>173</v>
      </c>
      <c r="J119" s="1650">
        <v>0</v>
      </c>
      <c r="K119" s="1651"/>
      <c r="L119" s="1652"/>
      <c r="M119" s="1462"/>
      <c r="N119" s="1593"/>
      <c r="O119" s="1604"/>
      <c r="P119" s="1655"/>
      <c r="Q119" s="1851" t="s">
        <v>173</v>
      </c>
      <c r="R119" s="1852"/>
      <c r="S119" s="1852"/>
      <c r="T119" s="1852"/>
      <c r="U119" s="1852"/>
      <c r="V119" s="1852"/>
      <c r="W119" s="1852"/>
      <c r="X119" s="1852"/>
      <c r="Y119" s="1852"/>
      <c r="Z119" s="1852"/>
      <c r="AA119" s="1852"/>
      <c r="AB119" s="1853"/>
      <c r="AC119" s="1824">
        <f>SUM(Q119:AB119)</f>
        <v>0</v>
      </c>
      <c r="AD119" s="1825">
        <f>O119-AC119</f>
        <v>0</v>
      </c>
      <c r="AF119" s="848"/>
      <c r="AG119" s="1291"/>
      <c r="AH119" s="1059"/>
      <c r="AI119" s="1048">
        <f>P119</f>
        <v>0</v>
      </c>
      <c r="AJ119" s="849"/>
      <c r="AK119" s="851">
        <f>AJ119-O119</f>
        <v>0</v>
      </c>
      <c r="AL119" s="845"/>
      <c r="AM119" s="1518">
        <f>AJ119-M119</f>
        <v>0</v>
      </c>
    </row>
    <row r="120" spans="1:39" s="654" customFormat="1" ht="14.25" customHeight="1">
      <c r="A120" s="772" t="s">
        <v>1341</v>
      </c>
      <c r="B120" s="1965">
        <f>M120</f>
        <v>0</v>
      </c>
      <c r="C120" s="95" t="s">
        <v>36</v>
      </c>
      <c r="D120" s="96" t="s">
        <v>830</v>
      </c>
      <c r="E120" s="96" t="s">
        <v>1651</v>
      </c>
      <c r="F120" s="96" t="s">
        <v>1652</v>
      </c>
      <c r="G120" s="96" t="s">
        <v>79</v>
      </c>
      <c r="H120" s="631" t="s">
        <v>1643</v>
      </c>
      <c r="I120" s="2142" t="s">
        <v>173</v>
      </c>
      <c r="J120" s="1650">
        <v>0</v>
      </c>
      <c r="K120" s="1651"/>
      <c r="L120" s="1652"/>
      <c r="M120" s="1659"/>
      <c r="N120" s="1583"/>
      <c r="O120" s="1604"/>
      <c r="P120" s="1689"/>
      <c r="Q120" s="1851"/>
      <c r="R120" s="1852"/>
      <c r="S120" s="1852"/>
      <c r="T120" s="1852"/>
      <c r="U120" s="1852"/>
      <c r="V120" s="1852"/>
      <c r="W120" s="1852"/>
      <c r="X120" s="1852"/>
      <c r="Y120" s="1852"/>
      <c r="Z120" s="1852"/>
      <c r="AA120" s="1852"/>
      <c r="AB120" s="1853"/>
      <c r="AC120" s="1824">
        <f>SUM(Q120:AB120)</f>
        <v>0</v>
      </c>
      <c r="AD120" s="1825">
        <f>O120-AC120</f>
        <v>0</v>
      </c>
      <c r="AF120" s="848"/>
      <c r="AG120" s="1291"/>
      <c r="AH120" s="1059"/>
      <c r="AI120" s="1048">
        <f>P120</f>
        <v>0</v>
      </c>
      <c r="AJ120" s="849"/>
      <c r="AK120" s="851">
        <f>AJ120-O120</f>
        <v>0</v>
      </c>
      <c r="AL120" s="845"/>
      <c r="AM120" s="1518">
        <f>AJ120-M120</f>
        <v>0</v>
      </c>
    </row>
    <row r="121" spans="1:39" s="633" customFormat="1" ht="15">
      <c r="A121" s="772" t="s">
        <v>1341</v>
      </c>
      <c r="B121" s="1965">
        <f>M121</f>
        <v>0</v>
      </c>
      <c r="C121" s="95" t="s">
        <v>36</v>
      </c>
      <c r="D121" s="96" t="s">
        <v>830</v>
      </c>
      <c r="E121" s="96" t="s">
        <v>1651</v>
      </c>
      <c r="F121" s="96" t="s">
        <v>1652</v>
      </c>
      <c r="G121" s="96" t="s">
        <v>79</v>
      </c>
      <c r="H121" s="631" t="s">
        <v>1643</v>
      </c>
      <c r="I121" s="2142" t="s">
        <v>173</v>
      </c>
      <c r="J121" s="1650">
        <v>0</v>
      </c>
      <c r="K121" s="1651"/>
      <c r="L121" s="1658"/>
      <c r="M121" s="1659"/>
      <c r="N121" s="1583"/>
      <c r="O121" s="1604"/>
      <c r="P121" s="1655"/>
      <c r="Q121" s="1851"/>
      <c r="R121" s="1852"/>
      <c r="S121" s="1852"/>
      <c r="T121" s="1852"/>
      <c r="U121" s="1852"/>
      <c r="V121" s="1852"/>
      <c r="W121" s="1852"/>
      <c r="X121" s="1852"/>
      <c r="Y121" s="1852"/>
      <c r="Z121" s="1852"/>
      <c r="AA121" s="1852"/>
      <c r="AB121" s="1853"/>
      <c r="AC121" s="1824">
        <f>SUM(Q121:AB121)</f>
        <v>0</v>
      </c>
      <c r="AD121" s="1825">
        <f>O121-AC121</f>
        <v>0</v>
      </c>
      <c r="AF121" s="848"/>
      <c r="AG121" s="1291"/>
      <c r="AH121" s="1060" t="s">
        <v>173</v>
      </c>
      <c r="AI121" s="1048">
        <f>P121</f>
        <v>0</v>
      </c>
      <c r="AJ121" s="849"/>
      <c r="AK121" s="851">
        <f>AJ121-O121</f>
        <v>0</v>
      </c>
      <c r="AL121" s="845"/>
      <c r="AM121" s="1518">
        <f>AJ121-M121</f>
        <v>0</v>
      </c>
    </row>
    <row r="122" spans="1:39" s="633" customFormat="1" ht="15">
      <c r="A122" s="655" t="s">
        <v>80</v>
      </c>
      <c r="B122" s="1966">
        <f>B116-SUM(B117:B121)</f>
        <v>40969946</v>
      </c>
      <c r="C122" s="656"/>
      <c r="D122" s="656"/>
      <c r="E122" s="656"/>
      <c r="F122" s="656"/>
      <c r="G122" s="656"/>
      <c r="H122" s="2146"/>
      <c r="I122" s="1660"/>
      <c r="J122" s="1661"/>
      <c r="K122" s="1662"/>
      <c r="L122" s="1589"/>
      <c r="M122" s="1663">
        <f>SUM(M117:M121)</f>
        <v>2044039132</v>
      </c>
      <c r="N122" s="1589"/>
      <c r="O122" s="1663">
        <f>SUM(O117:O121)</f>
        <v>2044039132</v>
      </c>
      <c r="P122" s="1664"/>
      <c r="Q122" s="1663">
        <f t="shared" ref="Q122:AD122" si="44">SUM(Q117:Q121)</f>
        <v>0</v>
      </c>
      <c r="R122" s="1663">
        <f t="shared" si="44"/>
        <v>0</v>
      </c>
      <c r="S122" s="1663">
        <f t="shared" si="44"/>
        <v>0</v>
      </c>
      <c r="T122" s="1663">
        <f t="shared" si="44"/>
        <v>0</v>
      </c>
      <c r="U122" s="1663">
        <f t="shared" si="44"/>
        <v>0</v>
      </c>
      <c r="V122" s="1663">
        <f t="shared" si="44"/>
        <v>0</v>
      </c>
      <c r="W122" s="1663">
        <f t="shared" si="44"/>
        <v>0</v>
      </c>
      <c r="X122" s="1663">
        <f t="shared" si="44"/>
        <v>0</v>
      </c>
      <c r="Y122" s="1663">
        <f t="shared" si="44"/>
        <v>0</v>
      </c>
      <c r="Z122" s="1663">
        <f t="shared" si="44"/>
        <v>0</v>
      </c>
      <c r="AA122" s="1663">
        <f t="shared" si="44"/>
        <v>0</v>
      </c>
      <c r="AB122" s="1826">
        <f t="shared" si="44"/>
        <v>0</v>
      </c>
      <c r="AC122" s="1662">
        <f t="shared" si="44"/>
        <v>0</v>
      </c>
      <c r="AD122" s="1663">
        <f t="shared" si="44"/>
        <v>2044039132</v>
      </c>
      <c r="AF122" s="852"/>
      <c r="AG122" s="14">
        <f>SUM(AG117:AG121)</f>
        <v>0</v>
      </c>
      <c r="AH122" s="14">
        <f>SUM(AH117:AH121)</f>
        <v>0</v>
      </c>
      <c r="AI122" s="1052">
        <f>SUM(AI117:AI121)</f>
        <v>510</v>
      </c>
      <c r="AJ122" s="1663">
        <f>SUM(AJ117:AJ121)</f>
        <v>2085009078</v>
      </c>
      <c r="AK122" s="181">
        <f>SUM(AK117:AK121)</f>
        <v>40969946</v>
      </c>
      <c r="AL122" s="845">
        <f>B116-AJ122</f>
        <v>0</v>
      </c>
    </row>
    <row r="123" spans="1:39" s="654" customFormat="1" ht="26.25" customHeight="1">
      <c r="A123" s="1279" t="s">
        <v>868</v>
      </c>
      <c r="B123" s="1964">
        <f>350000000-24750000-79592836-88721000-156936164</f>
        <v>0</v>
      </c>
      <c r="C123" s="1275" t="s">
        <v>36</v>
      </c>
      <c r="D123" s="1276" t="s">
        <v>830</v>
      </c>
      <c r="E123" s="1276" t="s">
        <v>1651</v>
      </c>
      <c r="F123" s="1276" t="s">
        <v>1652</v>
      </c>
      <c r="G123" s="1276" t="s">
        <v>79</v>
      </c>
      <c r="H123" s="2151" t="s">
        <v>1643</v>
      </c>
      <c r="I123" s="1644"/>
      <c r="J123" s="1645">
        <v>0</v>
      </c>
      <c r="K123" s="1646"/>
      <c r="L123" s="1647"/>
      <c r="M123" s="1648"/>
      <c r="N123" s="1647"/>
      <c r="O123" s="1649"/>
      <c r="P123" s="1643"/>
      <c r="Q123" s="1822"/>
      <c r="R123" s="1850"/>
      <c r="S123" s="1850"/>
      <c r="T123" s="1850"/>
      <c r="U123" s="1850"/>
      <c r="V123" s="1850"/>
      <c r="W123" s="1850"/>
      <c r="X123" s="1850"/>
      <c r="Y123" s="1850"/>
      <c r="Z123" s="1850"/>
      <c r="AA123" s="1850"/>
      <c r="AB123" s="1823"/>
      <c r="AC123" s="1822"/>
      <c r="AD123" s="1823"/>
      <c r="AF123" s="1183"/>
      <c r="AG123" s="652"/>
      <c r="AH123" s="652"/>
      <c r="AI123" s="652"/>
      <c r="AJ123" s="1850"/>
      <c r="AK123" s="653"/>
      <c r="AL123" s="845"/>
      <c r="AM123" s="1517"/>
    </row>
    <row r="124" spans="1:39" s="633" customFormat="1" ht="15">
      <c r="A124" s="772" t="s">
        <v>868</v>
      </c>
      <c r="B124" s="1965">
        <f>M124</f>
        <v>0</v>
      </c>
      <c r="C124" s="95" t="s">
        <v>36</v>
      </c>
      <c r="D124" s="96" t="s">
        <v>830</v>
      </c>
      <c r="E124" s="96" t="s">
        <v>1651</v>
      </c>
      <c r="F124" s="96" t="s">
        <v>1652</v>
      </c>
      <c r="G124" s="96" t="s">
        <v>79</v>
      </c>
      <c r="H124" s="631" t="s">
        <v>1643</v>
      </c>
      <c r="I124" s="2142">
        <v>325</v>
      </c>
      <c r="J124" s="1650">
        <v>0</v>
      </c>
      <c r="K124" s="1651"/>
      <c r="L124" s="1658"/>
      <c r="M124" s="1659"/>
      <c r="N124" s="1586"/>
      <c r="O124" s="1604"/>
      <c r="P124" s="1655"/>
      <c r="Q124" s="1851"/>
      <c r="R124" s="1852"/>
      <c r="S124" s="1852"/>
      <c r="T124" s="1852"/>
      <c r="U124" s="1852"/>
      <c r="V124" s="1852"/>
      <c r="W124" s="1852"/>
      <c r="X124" s="1852"/>
      <c r="Y124" s="1852"/>
      <c r="Z124" s="1852"/>
      <c r="AA124" s="1852"/>
      <c r="AB124" s="1853"/>
      <c r="AC124" s="1824">
        <f>SUM(Q124:AB124)</f>
        <v>0</v>
      </c>
      <c r="AD124" s="1825">
        <f>O124-AC124</f>
        <v>0</v>
      </c>
      <c r="AF124" s="848">
        <v>325</v>
      </c>
      <c r="AG124" s="1291" t="s">
        <v>458</v>
      </c>
      <c r="AH124" s="1059" t="s">
        <v>173</v>
      </c>
      <c r="AI124" s="1048">
        <f>P124</f>
        <v>0</v>
      </c>
      <c r="AJ124" s="849">
        <f>350000000-24750000-79592836-25000000-63721000-156936164</f>
        <v>0</v>
      </c>
      <c r="AK124" s="851">
        <f>AJ124-O124</f>
        <v>0</v>
      </c>
      <c r="AL124" s="845"/>
      <c r="AM124" s="1518">
        <f>AJ124-M124</f>
        <v>0</v>
      </c>
    </row>
    <row r="125" spans="1:39" s="633" customFormat="1" ht="15">
      <c r="A125" s="772" t="s">
        <v>868</v>
      </c>
      <c r="B125" s="1965">
        <f>M125</f>
        <v>0</v>
      </c>
      <c r="C125" s="95" t="s">
        <v>36</v>
      </c>
      <c r="D125" s="96" t="s">
        <v>830</v>
      </c>
      <c r="E125" s="96" t="s">
        <v>1651</v>
      </c>
      <c r="F125" s="96" t="s">
        <v>1652</v>
      </c>
      <c r="G125" s="96" t="s">
        <v>79</v>
      </c>
      <c r="H125" s="631" t="s">
        <v>1643</v>
      </c>
      <c r="I125" s="1373" t="s">
        <v>173</v>
      </c>
      <c r="J125" s="1650"/>
      <c r="K125" s="1651"/>
      <c r="L125" s="1658"/>
      <c r="M125" s="1659"/>
      <c r="N125" s="1586"/>
      <c r="O125" s="1604"/>
      <c r="P125" s="1655"/>
      <c r="Q125" s="1851"/>
      <c r="R125" s="1852"/>
      <c r="S125" s="1852"/>
      <c r="T125" s="1852"/>
      <c r="U125" s="1852"/>
      <c r="V125" s="1852"/>
      <c r="W125" s="1852"/>
      <c r="X125" s="1852"/>
      <c r="Y125" s="1852"/>
      <c r="Z125" s="1852"/>
      <c r="AA125" s="1852"/>
      <c r="AB125" s="1853"/>
      <c r="AC125" s="1824">
        <f>SUM(Q125:AB125)</f>
        <v>0</v>
      </c>
      <c r="AD125" s="1825">
        <f>O125-AC125</f>
        <v>0</v>
      </c>
      <c r="AF125" s="848"/>
      <c r="AG125" s="1291"/>
      <c r="AH125" s="1059"/>
      <c r="AI125" s="1048">
        <f>P125</f>
        <v>0</v>
      </c>
      <c r="AJ125" s="849"/>
      <c r="AK125" s="851">
        <f>AJ125-O125</f>
        <v>0</v>
      </c>
      <c r="AL125" s="845"/>
      <c r="AM125" s="1518">
        <f>AJ125-M125</f>
        <v>0</v>
      </c>
    </row>
    <row r="126" spans="1:39" s="633" customFormat="1" ht="15">
      <c r="A126" s="772" t="s">
        <v>868</v>
      </c>
      <c r="B126" s="1965">
        <f>M126</f>
        <v>0</v>
      </c>
      <c r="C126" s="95" t="s">
        <v>36</v>
      </c>
      <c r="D126" s="96" t="s">
        <v>830</v>
      </c>
      <c r="E126" s="96" t="s">
        <v>1651</v>
      </c>
      <c r="F126" s="96" t="s">
        <v>1652</v>
      </c>
      <c r="G126" s="96" t="s">
        <v>79</v>
      </c>
      <c r="H126" s="631" t="s">
        <v>1643</v>
      </c>
      <c r="I126" s="1373" t="s">
        <v>173</v>
      </c>
      <c r="J126" s="1650"/>
      <c r="K126" s="1651"/>
      <c r="L126" s="1658"/>
      <c r="M126" s="1659"/>
      <c r="N126" s="1586"/>
      <c r="O126" s="1604"/>
      <c r="P126" s="1655"/>
      <c r="Q126" s="1851"/>
      <c r="R126" s="1852"/>
      <c r="S126" s="1852"/>
      <c r="T126" s="1852"/>
      <c r="U126" s="1852"/>
      <c r="V126" s="1852"/>
      <c r="W126" s="1852"/>
      <c r="X126" s="1852"/>
      <c r="Y126" s="1852"/>
      <c r="Z126" s="1852"/>
      <c r="AA126" s="1852"/>
      <c r="AB126" s="1853"/>
      <c r="AC126" s="1824">
        <f>SUM(Q126:AB126)</f>
        <v>0</v>
      </c>
      <c r="AD126" s="1825">
        <f>O126-AC126</f>
        <v>0</v>
      </c>
      <c r="AF126" s="848"/>
      <c r="AG126" s="1291"/>
      <c r="AH126" s="1059"/>
      <c r="AI126" s="1048">
        <f>P126</f>
        <v>0</v>
      </c>
      <c r="AJ126" s="849"/>
      <c r="AK126" s="851">
        <f>AJ126-O126</f>
        <v>0</v>
      </c>
      <c r="AL126" s="845"/>
      <c r="AM126" s="1518">
        <f>AJ126-M126</f>
        <v>0</v>
      </c>
    </row>
    <row r="127" spans="1:39" s="633" customFormat="1" ht="15">
      <c r="A127" s="655" t="s">
        <v>80</v>
      </c>
      <c r="B127" s="1966">
        <f>B123-SUM(B124:B126)</f>
        <v>0</v>
      </c>
      <c r="C127" s="656"/>
      <c r="D127" s="656"/>
      <c r="E127" s="656"/>
      <c r="F127" s="656"/>
      <c r="G127" s="656"/>
      <c r="H127" s="2146"/>
      <c r="I127" s="1660"/>
      <c r="J127" s="1661"/>
      <c r="K127" s="1662"/>
      <c r="L127" s="1589"/>
      <c r="M127" s="1663">
        <f>SUM(M124:M126)</f>
        <v>0</v>
      </c>
      <c r="N127" s="1589"/>
      <c r="O127" s="1663">
        <f>SUM(O124:O126)</f>
        <v>0</v>
      </c>
      <c r="P127" s="1664"/>
      <c r="Q127" s="1663">
        <f t="shared" ref="Q127:AD127" si="45">SUM(Q124:Q126)</f>
        <v>0</v>
      </c>
      <c r="R127" s="1663">
        <f t="shared" si="45"/>
        <v>0</v>
      </c>
      <c r="S127" s="1663">
        <f t="shared" si="45"/>
        <v>0</v>
      </c>
      <c r="T127" s="1663">
        <f t="shared" si="45"/>
        <v>0</v>
      </c>
      <c r="U127" s="1663">
        <f t="shared" si="45"/>
        <v>0</v>
      </c>
      <c r="V127" s="1663">
        <f t="shared" si="45"/>
        <v>0</v>
      </c>
      <c r="W127" s="1663">
        <f t="shared" si="45"/>
        <v>0</v>
      </c>
      <c r="X127" s="1663">
        <f t="shared" si="45"/>
        <v>0</v>
      </c>
      <c r="Y127" s="1663">
        <f t="shared" si="45"/>
        <v>0</v>
      </c>
      <c r="Z127" s="1663">
        <f t="shared" si="45"/>
        <v>0</v>
      </c>
      <c r="AA127" s="1663">
        <f t="shared" si="45"/>
        <v>0</v>
      </c>
      <c r="AB127" s="1826">
        <f t="shared" si="45"/>
        <v>0</v>
      </c>
      <c r="AC127" s="1662">
        <f t="shared" si="45"/>
        <v>0</v>
      </c>
      <c r="AD127" s="1663">
        <f t="shared" si="45"/>
        <v>0</v>
      </c>
      <c r="AF127" s="852"/>
      <c r="AG127" s="14">
        <f>SUM(AG124:AG124)</f>
        <v>0</v>
      </c>
      <c r="AH127" s="14">
        <f>SUM(AH124:AH124)</f>
        <v>0</v>
      </c>
      <c r="AI127" s="1052">
        <f>SUM(AI124:AI124)</f>
        <v>0</v>
      </c>
      <c r="AJ127" s="1663">
        <f>SUM(AJ124:AJ126)</f>
        <v>0</v>
      </c>
      <c r="AK127" s="14">
        <f>SUM(AK124:AK126)</f>
        <v>0</v>
      </c>
      <c r="AL127" s="845">
        <f>B123-AJ127</f>
        <v>0</v>
      </c>
    </row>
    <row r="128" spans="1:39" s="633" customFormat="1" ht="36.75" customHeight="1">
      <c r="A128" s="1279" t="s">
        <v>1127</v>
      </c>
      <c r="B128" s="1964">
        <v>79592836</v>
      </c>
      <c r="C128" s="1275" t="s">
        <v>36</v>
      </c>
      <c r="D128" s="1276" t="s">
        <v>830</v>
      </c>
      <c r="E128" s="1276" t="s">
        <v>1651</v>
      </c>
      <c r="F128" s="1276" t="s">
        <v>1652</v>
      </c>
      <c r="G128" s="1276" t="s">
        <v>79</v>
      </c>
      <c r="H128" s="2151" t="s">
        <v>1643</v>
      </c>
      <c r="I128" s="1644"/>
      <c r="J128" s="1645"/>
      <c r="K128" s="1646"/>
      <c r="L128" s="1647"/>
      <c r="M128" s="1648"/>
      <c r="N128" s="1647"/>
      <c r="O128" s="1649"/>
      <c r="P128" s="1643"/>
      <c r="Q128" s="1822"/>
      <c r="R128" s="1850"/>
      <c r="S128" s="1850"/>
      <c r="T128" s="1850"/>
      <c r="U128" s="1850"/>
      <c r="V128" s="1850"/>
      <c r="W128" s="1850"/>
      <c r="X128" s="1850"/>
      <c r="Y128" s="1850"/>
      <c r="Z128" s="1850"/>
      <c r="AA128" s="1850"/>
      <c r="AB128" s="1823"/>
      <c r="AC128" s="1822"/>
      <c r="AD128" s="1823"/>
      <c r="AF128" s="1183"/>
      <c r="AG128" s="652"/>
      <c r="AH128" s="652"/>
      <c r="AI128" s="652"/>
      <c r="AJ128" s="1850"/>
      <c r="AK128" s="653"/>
      <c r="AL128" s="845"/>
    </row>
    <row r="129" spans="1:39" s="633" customFormat="1" ht="15">
      <c r="A129" s="1312" t="s">
        <v>1127</v>
      </c>
      <c r="B129" s="1610">
        <f>M129</f>
        <v>68029011</v>
      </c>
      <c r="C129" s="95" t="s">
        <v>36</v>
      </c>
      <c r="D129" s="96" t="s">
        <v>830</v>
      </c>
      <c r="E129" s="96" t="s">
        <v>1651</v>
      </c>
      <c r="F129" s="96" t="s">
        <v>1652</v>
      </c>
      <c r="G129" s="96" t="s">
        <v>79</v>
      </c>
      <c r="H129" s="631" t="s">
        <v>1643</v>
      </c>
      <c r="I129" s="1666" t="s">
        <v>173</v>
      </c>
      <c r="J129" s="1667"/>
      <c r="K129" s="1686"/>
      <c r="L129" s="1583">
        <v>618</v>
      </c>
      <c r="M129" s="1462">
        <v>68029011</v>
      </c>
      <c r="N129" s="1583">
        <v>721</v>
      </c>
      <c r="O129" s="1462">
        <v>68029011</v>
      </c>
      <c r="P129" s="1668" t="s">
        <v>1130</v>
      </c>
      <c r="Q129" s="1686"/>
      <c r="R129" s="1687"/>
      <c r="S129" s="1687"/>
      <c r="T129" s="1687"/>
      <c r="U129" s="1687"/>
      <c r="V129" s="1687"/>
      <c r="W129" s="1687"/>
      <c r="X129" s="1852"/>
      <c r="Y129" s="1852">
        <v>68029011</v>
      </c>
      <c r="Z129" s="1852"/>
      <c r="AA129" s="1852"/>
      <c r="AB129" s="1949"/>
      <c r="AC129" s="1824">
        <f>SUM(Q129:AB129)</f>
        <v>68029011</v>
      </c>
      <c r="AD129" s="1825">
        <f>O129-AC129</f>
        <v>0</v>
      </c>
      <c r="AF129" s="1461" t="s">
        <v>325</v>
      </c>
      <c r="AG129" s="1415" t="s">
        <v>1128</v>
      </c>
      <c r="AH129" s="7"/>
      <c r="AI129" s="1048" t="str">
        <f>P129</f>
        <v>361-2018</v>
      </c>
      <c r="AJ129" s="1462">
        <v>68029011</v>
      </c>
      <c r="AK129" s="851">
        <f>AJ129-O129</f>
        <v>0</v>
      </c>
      <c r="AL129" s="845"/>
      <c r="AM129" s="1518">
        <f>AJ129-M129</f>
        <v>0</v>
      </c>
    </row>
    <row r="130" spans="1:39" s="633" customFormat="1" ht="15" customHeight="1">
      <c r="A130" s="1312" t="s">
        <v>1127</v>
      </c>
      <c r="B130" s="1610">
        <f>M130</f>
        <v>11563825</v>
      </c>
      <c r="C130" s="95" t="s">
        <v>36</v>
      </c>
      <c r="D130" s="96" t="s">
        <v>830</v>
      </c>
      <c r="E130" s="96" t="s">
        <v>1651</v>
      </c>
      <c r="F130" s="96" t="s">
        <v>1652</v>
      </c>
      <c r="G130" s="96" t="s">
        <v>79</v>
      </c>
      <c r="H130" s="631" t="s">
        <v>1643</v>
      </c>
      <c r="I130" s="1666" t="s">
        <v>173</v>
      </c>
      <c r="J130" s="1667"/>
      <c r="K130" s="1686"/>
      <c r="L130" s="1583">
        <v>619</v>
      </c>
      <c r="M130" s="1462">
        <v>11563825</v>
      </c>
      <c r="N130" s="1583">
        <v>722</v>
      </c>
      <c r="O130" s="1462">
        <v>11563825</v>
      </c>
      <c r="P130" s="1668" t="s">
        <v>1131</v>
      </c>
      <c r="Q130" s="1686"/>
      <c r="R130" s="1687"/>
      <c r="S130" s="1687"/>
      <c r="T130" s="1687"/>
      <c r="U130" s="1687"/>
      <c r="V130" s="1687"/>
      <c r="W130" s="1687"/>
      <c r="X130" s="1852"/>
      <c r="Y130" s="1852"/>
      <c r="Z130" s="1852"/>
      <c r="AA130" s="1852">
        <v>735569</v>
      </c>
      <c r="AB130" s="1949"/>
      <c r="AC130" s="1824">
        <f>SUM(Q130:AB130)</f>
        <v>735569</v>
      </c>
      <c r="AD130" s="1825">
        <f>O130-AC130</f>
        <v>10828256</v>
      </c>
      <c r="AF130" s="1461" t="s">
        <v>325</v>
      </c>
      <c r="AG130" s="1415" t="s">
        <v>1129</v>
      </c>
      <c r="AH130" s="7"/>
      <c r="AI130" s="1048" t="str">
        <f>P130</f>
        <v>433-2018</v>
      </c>
      <c r="AJ130" s="1462">
        <v>11563825</v>
      </c>
      <c r="AK130" s="851">
        <f>AJ130-O130</f>
        <v>0</v>
      </c>
      <c r="AL130" s="845"/>
      <c r="AM130" s="1518">
        <f>AJ130-M130</f>
        <v>0</v>
      </c>
    </row>
    <row r="131" spans="1:39" s="633" customFormat="1" ht="15">
      <c r="A131" s="1312" t="s">
        <v>1127</v>
      </c>
      <c r="B131" s="1610">
        <f>M131</f>
        <v>0</v>
      </c>
      <c r="C131" s="95" t="s">
        <v>36</v>
      </c>
      <c r="D131" s="96" t="s">
        <v>830</v>
      </c>
      <c r="E131" s="96" t="s">
        <v>1651</v>
      </c>
      <c r="F131" s="96" t="s">
        <v>1652</v>
      </c>
      <c r="G131" s="96" t="s">
        <v>79</v>
      </c>
      <c r="H131" s="631" t="s">
        <v>1643</v>
      </c>
      <c r="I131" s="1666" t="s">
        <v>173</v>
      </c>
      <c r="J131" s="1667"/>
      <c r="K131" s="1686"/>
      <c r="L131" s="1583"/>
      <c r="M131" s="1687"/>
      <c r="N131" s="1583"/>
      <c r="O131" s="1462"/>
      <c r="P131" s="1668"/>
      <c r="Q131" s="1686"/>
      <c r="R131" s="1687"/>
      <c r="S131" s="1687"/>
      <c r="T131" s="1687"/>
      <c r="U131" s="1687"/>
      <c r="V131" s="1687"/>
      <c r="W131" s="1687"/>
      <c r="X131" s="1687"/>
      <c r="Y131" s="1687"/>
      <c r="Z131" s="1687"/>
      <c r="AA131" s="1687"/>
      <c r="AB131" s="1854"/>
      <c r="AC131" s="1824">
        <f>SUM(Q131:AB131)</f>
        <v>0</v>
      </c>
      <c r="AD131" s="1825">
        <f>O131-AC131</f>
        <v>0</v>
      </c>
      <c r="AF131" s="890"/>
      <c r="AG131" s="7"/>
      <c r="AH131" s="7"/>
      <c r="AI131" s="1048">
        <f>P131</f>
        <v>0</v>
      </c>
      <c r="AJ131" s="1687"/>
      <c r="AK131" s="851">
        <f>AJ131-O131</f>
        <v>0</v>
      </c>
      <c r="AL131" s="845"/>
      <c r="AM131" s="1518">
        <f>AJ131-M131</f>
        <v>0</v>
      </c>
    </row>
    <row r="132" spans="1:39" s="633" customFormat="1" ht="15">
      <c r="A132" s="655" t="s">
        <v>80</v>
      </c>
      <c r="B132" s="1966">
        <f>B128-SUM(B129:B131)</f>
        <v>0</v>
      </c>
      <c r="C132" s="656"/>
      <c r="D132" s="657"/>
      <c r="E132" s="657"/>
      <c r="F132" s="657"/>
      <c r="G132" s="657"/>
      <c r="H132" s="2150"/>
      <c r="I132" s="1669"/>
      <c r="J132" s="1661"/>
      <c r="K132" s="1662"/>
      <c r="L132" s="1589"/>
      <c r="M132" s="1663">
        <f>SUM(M129:M131)</f>
        <v>79592836</v>
      </c>
      <c r="N132" s="1589"/>
      <c r="O132" s="1663">
        <f>SUM(O129:O131)</f>
        <v>79592836</v>
      </c>
      <c r="P132" s="1664"/>
      <c r="Q132" s="1663">
        <f t="shared" ref="Q132:AD132" si="46">SUM(Q129:Q131)</f>
        <v>0</v>
      </c>
      <c r="R132" s="1663">
        <f t="shared" si="46"/>
        <v>0</v>
      </c>
      <c r="S132" s="1663">
        <f t="shared" si="46"/>
        <v>0</v>
      </c>
      <c r="T132" s="1663">
        <f t="shared" si="46"/>
        <v>0</v>
      </c>
      <c r="U132" s="1663">
        <f t="shared" si="46"/>
        <v>0</v>
      </c>
      <c r="V132" s="1663">
        <f t="shared" si="46"/>
        <v>0</v>
      </c>
      <c r="W132" s="1663">
        <f t="shared" si="46"/>
        <v>0</v>
      </c>
      <c r="X132" s="1663">
        <f t="shared" si="46"/>
        <v>0</v>
      </c>
      <c r="Y132" s="1663">
        <f t="shared" si="46"/>
        <v>68029011</v>
      </c>
      <c r="Z132" s="1663">
        <f t="shared" si="46"/>
        <v>0</v>
      </c>
      <c r="AA132" s="1663">
        <f t="shared" si="46"/>
        <v>735569</v>
      </c>
      <c r="AB132" s="1826">
        <f t="shared" si="46"/>
        <v>0</v>
      </c>
      <c r="AC132" s="1662">
        <f t="shared" si="46"/>
        <v>68764580</v>
      </c>
      <c r="AD132" s="1663">
        <f t="shared" si="46"/>
        <v>10828256</v>
      </c>
      <c r="AF132" s="852"/>
      <c r="AG132" s="14"/>
      <c r="AH132" s="14"/>
      <c r="AI132" s="1052"/>
      <c r="AJ132" s="1663">
        <f>SUM(AJ129:AJ131)</f>
        <v>79592836</v>
      </c>
      <c r="AK132" s="14">
        <f>SUM(AK129:AK131)</f>
        <v>0</v>
      </c>
      <c r="AL132" s="845">
        <f>B128-AJ132</f>
        <v>0</v>
      </c>
    </row>
    <row r="133" spans="1:39" s="654" customFormat="1" ht="23.25" customHeight="1">
      <c r="A133" s="1279" t="s">
        <v>1584</v>
      </c>
      <c r="B133" s="1964">
        <f>4810000+1686000+690900+947500+3400+964300</f>
        <v>9102100</v>
      </c>
      <c r="C133" s="1275" t="s">
        <v>36</v>
      </c>
      <c r="D133" s="1276" t="s">
        <v>830</v>
      </c>
      <c r="E133" s="1276" t="s">
        <v>1651</v>
      </c>
      <c r="F133" s="1276" t="s">
        <v>1652</v>
      </c>
      <c r="G133" s="1276" t="s">
        <v>79</v>
      </c>
      <c r="H133" s="2151" t="s">
        <v>1643</v>
      </c>
      <c r="I133" s="1644"/>
      <c r="J133" s="1691">
        <v>0</v>
      </c>
      <c r="K133" s="1692"/>
      <c r="L133" s="1647"/>
      <c r="M133" s="1648"/>
      <c r="N133" s="1647"/>
      <c r="O133" s="1649"/>
      <c r="P133" s="1643"/>
      <c r="Q133" s="1822"/>
      <c r="R133" s="1850"/>
      <c r="S133" s="1850"/>
      <c r="T133" s="1850"/>
      <c r="U133" s="1850"/>
      <c r="V133" s="1850"/>
      <c r="W133" s="1850"/>
      <c r="X133" s="1850"/>
      <c r="Y133" s="1850"/>
      <c r="Z133" s="1850"/>
      <c r="AA133" s="1850"/>
      <c r="AB133" s="1823"/>
      <c r="AC133" s="1822"/>
      <c r="AD133" s="1823"/>
      <c r="AF133" s="1183"/>
      <c r="AG133" s="652"/>
      <c r="AH133" s="652"/>
      <c r="AI133" s="652"/>
      <c r="AJ133" s="1850"/>
      <c r="AK133" s="653"/>
      <c r="AL133" s="845"/>
      <c r="AM133" s="1517"/>
    </row>
    <row r="134" spans="1:39" s="633" customFormat="1" ht="15">
      <c r="A134" s="772" t="s">
        <v>834</v>
      </c>
      <c r="B134" s="1965">
        <f>M134</f>
        <v>9093200</v>
      </c>
      <c r="C134" s="95" t="s">
        <v>36</v>
      </c>
      <c r="D134" s="96" t="s">
        <v>830</v>
      </c>
      <c r="E134" s="96" t="s">
        <v>1651</v>
      </c>
      <c r="F134" s="96" t="s">
        <v>1652</v>
      </c>
      <c r="G134" s="96" t="s">
        <v>79</v>
      </c>
      <c r="H134" s="631" t="s">
        <v>1643</v>
      </c>
      <c r="I134" s="2142" t="s">
        <v>739</v>
      </c>
      <c r="J134" s="1314" t="s">
        <v>1588</v>
      </c>
      <c r="K134" s="1610">
        <f>166100+476200+665600+673700+535200+559800+980300+1093600+1068900+957500+960900+955400</f>
        <v>9093200</v>
      </c>
      <c r="L134" s="1658" t="s">
        <v>1570</v>
      </c>
      <c r="M134" s="1610">
        <f>166100+476200+665600+673700+535200+559800+980300+1093600+1068900+957500+960900+955400</f>
        <v>9093200</v>
      </c>
      <c r="N134" s="1671" t="s">
        <v>1602</v>
      </c>
      <c r="O134" s="1610">
        <f>166100+476200+665600+673700+535200+559800+980300+1093600+1068900+957500+960900+955400</f>
        <v>9093200</v>
      </c>
      <c r="P134" s="1655" t="s">
        <v>739</v>
      </c>
      <c r="Q134" s="1851"/>
      <c r="R134" s="1659">
        <v>166100</v>
      </c>
      <c r="S134" s="1852">
        <v>476200</v>
      </c>
      <c r="T134" s="1852">
        <v>665600</v>
      </c>
      <c r="U134" s="1852">
        <v>673700</v>
      </c>
      <c r="V134" s="1852">
        <v>535200</v>
      </c>
      <c r="W134" s="1852">
        <v>559800</v>
      </c>
      <c r="X134" s="1852">
        <v>980300</v>
      </c>
      <c r="Y134" s="1852">
        <v>1093600</v>
      </c>
      <c r="Z134" s="1852">
        <v>1068900</v>
      </c>
      <c r="AA134" s="1852">
        <v>957500</v>
      </c>
      <c r="AB134" s="1853">
        <f>960900+955400</f>
        <v>1916300</v>
      </c>
      <c r="AC134" s="1824">
        <f>SUM(Q134:AB134)</f>
        <v>9093200</v>
      </c>
      <c r="AD134" s="1825">
        <f>O134-AC134</f>
        <v>0</v>
      </c>
      <c r="AF134" s="848" t="s">
        <v>325</v>
      </c>
      <c r="AG134" s="1291" t="s">
        <v>180</v>
      </c>
      <c r="AH134" s="1059" t="s">
        <v>173</v>
      </c>
      <c r="AI134" s="1048" t="str">
        <f>P134</f>
        <v>ARL</v>
      </c>
      <c r="AJ134" s="849">
        <f>4810000+1686000+690900+947500+3400+964300</f>
        <v>9102100</v>
      </c>
      <c r="AK134" s="851">
        <f>AJ134-O134</f>
        <v>8900</v>
      </c>
      <c r="AL134" s="845"/>
      <c r="AM134" s="1518">
        <f>AJ134-M134</f>
        <v>8900</v>
      </c>
    </row>
    <row r="135" spans="1:39" s="633" customFormat="1" ht="15" customHeight="1">
      <c r="A135" s="655" t="s">
        <v>80</v>
      </c>
      <c r="B135" s="1966">
        <f>B133-SUM(B134:B134)</f>
        <v>8900</v>
      </c>
      <c r="C135" s="656"/>
      <c r="D135" s="656"/>
      <c r="E135" s="656"/>
      <c r="F135" s="656"/>
      <c r="G135" s="656"/>
      <c r="H135" s="2153"/>
      <c r="I135" s="1693"/>
      <c r="J135" s="1694"/>
      <c r="K135" s="1695"/>
      <c r="L135" s="1589"/>
      <c r="M135" s="1663">
        <f>SUM(M134:M134)</f>
        <v>9093200</v>
      </c>
      <c r="N135" s="1589"/>
      <c r="O135" s="1663">
        <f>SUM(O134:O134)</f>
        <v>9093200</v>
      </c>
      <c r="P135" s="1664"/>
      <c r="Q135" s="1662">
        <f t="shared" ref="Q135:AD135" si="47">SUM(Q134:Q134)</f>
        <v>0</v>
      </c>
      <c r="R135" s="1663">
        <f t="shared" si="47"/>
        <v>166100</v>
      </c>
      <c r="S135" s="1663">
        <f t="shared" si="47"/>
        <v>476200</v>
      </c>
      <c r="T135" s="1663">
        <f t="shared" si="47"/>
        <v>665600</v>
      </c>
      <c r="U135" s="1663">
        <f t="shared" si="47"/>
        <v>673700</v>
      </c>
      <c r="V135" s="1663">
        <f t="shared" si="47"/>
        <v>535200</v>
      </c>
      <c r="W135" s="1663">
        <f t="shared" si="47"/>
        <v>559800</v>
      </c>
      <c r="X135" s="1663">
        <f t="shared" si="47"/>
        <v>980300</v>
      </c>
      <c r="Y135" s="1663">
        <f t="shared" si="47"/>
        <v>1093600</v>
      </c>
      <c r="Z135" s="1663">
        <f t="shared" si="47"/>
        <v>1068900</v>
      </c>
      <c r="AA135" s="1663">
        <f t="shared" si="47"/>
        <v>957500</v>
      </c>
      <c r="AB135" s="1826">
        <f t="shared" si="47"/>
        <v>1916300</v>
      </c>
      <c r="AC135" s="1662">
        <f t="shared" si="47"/>
        <v>9093200</v>
      </c>
      <c r="AD135" s="1826">
        <f t="shared" si="47"/>
        <v>0</v>
      </c>
      <c r="AF135" s="852"/>
      <c r="AG135" s="14">
        <f>SUM(AG134:AG134)</f>
        <v>0</v>
      </c>
      <c r="AH135" s="14">
        <f>SUM(AH134:AH134)</f>
        <v>0</v>
      </c>
      <c r="AI135" s="1052">
        <f>SUM(AI134:AI134)</f>
        <v>0</v>
      </c>
      <c r="AJ135" s="1663">
        <f>SUM(AJ134:AJ134)</f>
        <v>9102100</v>
      </c>
      <c r="AK135" s="181">
        <f>SUM(AK134:AK134)</f>
        <v>8900</v>
      </c>
      <c r="AL135" s="1872">
        <f>B133-AJ135</f>
        <v>0</v>
      </c>
    </row>
    <row r="136" spans="1:39" s="633" customFormat="1" ht="24.75" customHeight="1">
      <c r="A136" s="1279" t="s">
        <v>833</v>
      </c>
      <c r="B136" s="1963">
        <f>3211907757+634599111</f>
        <v>3846506868</v>
      </c>
      <c r="C136" s="1275" t="s">
        <v>39</v>
      </c>
      <c r="D136" s="1278" t="s">
        <v>830</v>
      </c>
      <c r="E136" s="1276" t="s">
        <v>1651</v>
      </c>
      <c r="F136" s="1276" t="s">
        <v>1652</v>
      </c>
      <c r="G136" s="1276" t="s">
        <v>79</v>
      </c>
      <c r="H136" s="2151" t="s">
        <v>1643</v>
      </c>
      <c r="I136" s="1696" t="s">
        <v>173</v>
      </c>
      <c r="J136" s="1697"/>
      <c r="K136" s="1698"/>
      <c r="L136" s="1699"/>
      <c r="M136" s="1700"/>
      <c r="N136" s="1699"/>
      <c r="O136" s="1700"/>
      <c r="P136" s="1701"/>
      <c r="Q136" s="1698"/>
      <c r="R136" s="1700"/>
      <c r="S136" s="1700"/>
      <c r="T136" s="1700"/>
      <c r="U136" s="1700"/>
      <c r="V136" s="1700"/>
      <c r="W136" s="1700"/>
      <c r="X136" s="1700"/>
      <c r="Y136" s="1700"/>
      <c r="Z136" s="1700"/>
      <c r="AA136" s="1700"/>
      <c r="AB136" s="1829"/>
      <c r="AC136" s="1698"/>
      <c r="AD136" s="1829"/>
      <c r="AF136" s="1243"/>
      <c r="AG136" s="1241"/>
      <c r="AH136" s="1241"/>
      <c r="AI136" s="1244"/>
      <c r="AJ136" s="1700"/>
      <c r="AK136" s="1242"/>
      <c r="AL136" s="845"/>
    </row>
    <row r="137" spans="1:39" s="633" customFormat="1" ht="15">
      <c r="A137" s="772" t="s">
        <v>833</v>
      </c>
      <c r="B137" s="1610">
        <f>M137</f>
        <v>2792400276</v>
      </c>
      <c r="C137" s="95" t="s">
        <v>39</v>
      </c>
      <c r="D137" s="96" t="s">
        <v>830</v>
      </c>
      <c r="E137" s="96" t="s">
        <v>1651</v>
      </c>
      <c r="F137" s="96" t="s">
        <v>1652</v>
      </c>
      <c r="G137" s="96" t="s">
        <v>79</v>
      </c>
      <c r="H137" s="631" t="s">
        <v>1643</v>
      </c>
      <c r="I137" s="1525">
        <v>461</v>
      </c>
      <c r="J137" s="1667"/>
      <c r="K137" s="1686"/>
      <c r="L137" s="1583">
        <v>423</v>
      </c>
      <c r="M137" s="1462">
        <f>2846221827-53821551</f>
        <v>2792400276</v>
      </c>
      <c r="N137" s="1583">
        <v>736</v>
      </c>
      <c r="O137" s="1462">
        <v>2792400276</v>
      </c>
      <c r="P137" s="1702">
        <v>426</v>
      </c>
      <c r="Q137" s="1686"/>
      <c r="R137" s="1687"/>
      <c r="S137" s="1687"/>
      <c r="T137" s="1687"/>
      <c r="U137" s="1687"/>
      <c r="V137" s="1687"/>
      <c r="W137" s="1687"/>
      <c r="X137" s="1852">
        <v>1396200138</v>
      </c>
      <c r="Y137" s="1852">
        <v>195468019</v>
      </c>
      <c r="Z137" s="1852">
        <v>198900000</v>
      </c>
      <c r="AA137" s="1852">
        <v>368700000</v>
      </c>
      <c r="AB137" s="1949">
        <f>327802503+223806948</f>
        <v>551609451</v>
      </c>
      <c r="AC137" s="1824">
        <f>SUM(Q137:AB137)</f>
        <v>2710877608</v>
      </c>
      <c r="AD137" s="1825">
        <f>O137-AC137</f>
        <v>81522668</v>
      </c>
      <c r="AF137" s="891">
        <v>461</v>
      </c>
      <c r="AG137" s="1286" t="s">
        <v>859</v>
      </c>
      <c r="AH137" s="1286" t="s">
        <v>1201</v>
      </c>
      <c r="AI137" s="1048">
        <f>P137</f>
        <v>426</v>
      </c>
      <c r="AJ137" s="1462">
        <f>2846221827-53821551</f>
        <v>2792400276</v>
      </c>
      <c r="AK137" s="851">
        <f>AJ137-O137</f>
        <v>0</v>
      </c>
      <c r="AL137" s="845"/>
      <c r="AM137" s="1518">
        <f>AJ137-M137</f>
        <v>0</v>
      </c>
    </row>
    <row r="138" spans="1:39" s="633" customFormat="1" ht="15">
      <c r="A138" s="772" t="s">
        <v>833</v>
      </c>
      <c r="B138" s="1610">
        <f>M138</f>
        <v>631376172</v>
      </c>
      <c r="C138" s="95" t="s">
        <v>1545</v>
      </c>
      <c r="D138" s="96" t="s">
        <v>830</v>
      </c>
      <c r="E138" s="96" t="s">
        <v>1651</v>
      </c>
      <c r="F138" s="96" t="s">
        <v>1652</v>
      </c>
      <c r="G138" s="96" t="s">
        <v>79</v>
      </c>
      <c r="H138" s="631" t="s">
        <v>1643</v>
      </c>
      <c r="I138" s="1525" t="s">
        <v>325</v>
      </c>
      <c r="J138" s="1685">
        <v>828</v>
      </c>
      <c r="K138" s="1562">
        <v>631376172</v>
      </c>
      <c r="L138" s="1583">
        <v>966</v>
      </c>
      <c r="M138" s="1462">
        <v>631376172</v>
      </c>
      <c r="N138" s="1583">
        <v>1113</v>
      </c>
      <c r="O138" s="1462">
        <v>631376172</v>
      </c>
      <c r="P138" s="1702">
        <v>426</v>
      </c>
      <c r="Q138" s="1686"/>
      <c r="R138" s="1687"/>
      <c r="S138" s="1687"/>
      <c r="T138" s="1687"/>
      <c r="U138" s="1687"/>
      <c r="V138" s="1687"/>
      <c r="W138" s="1687"/>
      <c r="X138" s="1852"/>
      <c r="Y138" s="1852"/>
      <c r="Z138" s="1852"/>
      <c r="AA138" s="1852"/>
      <c r="AB138" s="1949"/>
      <c r="AC138" s="1824">
        <f t="shared" ref="AC138:AC140" si="48">SUM(Q138:AB138)</f>
        <v>0</v>
      </c>
      <c r="AD138" s="1825">
        <f t="shared" ref="AD138:AD140" si="49">O138-AC138</f>
        <v>631376172</v>
      </c>
      <c r="AF138" s="891" t="s">
        <v>325</v>
      </c>
      <c r="AG138" s="1286" t="s">
        <v>1543</v>
      </c>
      <c r="AH138" s="1286" t="s">
        <v>1201</v>
      </c>
      <c r="AI138" s="1048">
        <f>P138</f>
        <v>426</v>
      </c>
      <c r="AJ138" s="1462">
        <v>631376172</v>
      </c>
      <c r="AK138" s="851">
        <f>AJ138-O138</f>
        <v>0</v>
      </c>
      <c r="AL138" s="845"/>
      <c r="AM138" s="1518">
        <f>AJ138-M138</f>
        <v>0</v>
      </c>
    </row>
    <row r="139" spans="1:39" s="633" customFormat="1" ht="15">
      <c r="A139" s="772" t="s">
        <v>833</v>
      </c>
      <c r="B139" s="1610">
        <f>M139</f>
        <v>365672187</v>
      </c>
      <c r="C139" s="95" t="s">
        <v>39</v>
      </c>
      <c r="D139" s="96" t="s">
        <v>830</v>
      </c>
      <c r="E139" s="96" t="s">
        <v>1651</v>
      </c>
      <c r="F139" s="96" t="s">
        <v>1652</v>
      </c>
      <c r="G139" s="96" t="s">
        <v>79</v>
      </c>
      <c r="H139" s="631" t="s">
        <v>1643</v>
      </c>
      <c r="I139" s="1525">
        <v>462</v>
      </c>
      <c r="J139" s="1667"/>
      <c r="K139" s="1686"/>
      <c r="L139" s="1583">
        <v>518</v>
      </c>
      <c r="M139" s="1462">
        <f>365685930-13743</f>
        <v>365672187</v>
      </c>
      <c r="N139" s="1583">
        <v>737</v>
      </c>
      <c r="O139" s="1462">
        <v>365672187</v>
      </c>
      <c r="P139" s="1702">
        <v>430</v>
      </c>
      <c r="Q139" s="1686"/>
      <c r="R139" s="1687"/>
      <c r="S139" s="1687"/>
      <c r="T139" s="1687"/>
      <c r="U139" s="1687"/>
      <c r="V139" s="1687"/>
      <c r="W139" s="1687"/>
      <c r="X139" s="1852"/>
      <c r="Y139" s="1852">
        <v>54119483</v>
      </c>
      <c r="Z139" s="1852">
        <v>51091937</v>
      </c>
      <c r="AA139" s="1852">
        <v>82222049</v>
      </c>
      <c r="AB139" s="1949">
        <f>74724160+48091706</f>
        <v>122815866</v>
      </c>
      <c r="AC139" s="1824">
        <f t="shared" si="48"/>
        <v>310249335</v>
      </c>
      <c r="AD139" s="1825">
        <f t="shared" si="49"/>
        <v>55422852</v>
      </c>
      <c r="AF139" s="891">
        <v>462</v>
      </c>
      <c r="AG139" s="1286" t="s">
        <v>924</v>
      </c>
      <c r="AH139" s="1286" t="s">
        <v>1202</v>
      </c>
      <c r="AI139" s="1048">
        <f>P139</f>
        <v>430</v>
      </c>
      <c r="AJ139" s="1462">
        <f>365685930-13743</f>
        <v>365672187</v>
      </c>
      <c r="AK139" s="851">
        <f>AJ139-O139</f>
        <v>0</v>
      </c>
      <c r="AL139" s="845"/>
      <c r="AM139" s="1518">
        <f>AJ139-M139</f>
        <v>0</v>
      </c>
    </row>
    <row r="140" spans="1:39" s="633" customFormat="1" ht="15">
      <c r="A140" s="772" t="s">
        <v>833</v>
      </c>
      <c r="B140" s="1610">
        <f>M140</f>
        <v>54612880</v>
      </c>
      <c r="C140" s="95" t="s">
        <v>39</v>
      </c>
      <c r="D140" s="96" t="s">
        <v>830</v>
      </c>
      <c r="E140" s="96" t="s">
        <v>1651</v>
      </c>
      <c r="F140" s="96" t="s">
        <v>1652</v>
      </c>
      <c r="G140" s="96" t="s">
        <v>79</v>
      </c>
      <c r="H140" s="631" t="s">
        <v>1643</v>
      </c>
      <c r="I140" s="1525" t="s">
        <v>173</v>
      </c>
      <c r="J140" s="1685">
        <v>829</v>
      </c>
      <c r="K140" s="1562">
        <v>57058233</v>
      </c>
      <c r="L140" s="1583">
        <v>967</v>
      </c>
      <c r="M140" s="1462">
        <f>57058233-2445353</f>
        <v>54612880</v>
      </c>
      <c r="N140" s="1583">
        <v>1114</v>
      </c>
      <c r="O140" s="1462">
        <v>54612880</v>
      </c>
      <c r="P140" s="1702">
        <v>430</v>
      </c>
      <c r="Q140" s="1686"/>
      <c r="R140" s="1687"/>
      <c r="S140" s="1687"/>
      <c r="T140" s="1687"/>
      <c r="U140" s="1687"/>
      <c r="V140" s="1687"/>
      <c r="W140" s="1687"/>
      <c r="X140" s="1687"/>
      <c r="Y140" s="1687"/>
      <c r="Z140" s="1687"/>
      <c r="AA140" s="1687"/>
      <c r="AB140" s="1949"/>
      <c r="AC140" s="1824">
        <f t="shared" si="48"/>
        <v>0</v>
      </c>
      <c r="AD140" s="1825">
        <f t="shared" si="49"/>
        <v>54612880</v>
      </c>
      <c r="AF140" s="891" t="s">
        <v>325</v>
      </c>
      <c r="AG140" s="1286" t="s">
        <v>1544</v>
      </c>
      <c r="AH140" s="1286" t="s">
        <v>1202</v>
      </c>
      <c r="AI140" s="1048">
        <f>P140</f>
        <v>430</v>
      </c>
      <c r="AJ140" s="1462">
        <v>57058233</v>
      </c>
      <c r="AK140" s="851">
        <f>AJ140-O140</f>
        <v>2445353</v>
      </c>
      <c r="AL140" s="845"/>
    </row>
    <row r="141" spans="1:39" s="633" customFormat="1" ht="15" customHeight="1">
      <c r="A141" s="655" t="s">
        <v>80</v>
      </c>
      <c r="B141" s="1966">
        <f>B136-SUM(B137:B140)</f>
        <v>2445353</v>
      </c>
      <c r="C141" s="656"/>
      <c r="D141" s="656"/>
      <c r="E141" s="656"/>
      <c r="F141" s="656"/>
      <c r="G141" s="656"/>
      <c r="H141" s="2150"/>
      <c r="I141" s="1669" t="s">
        <v>173</v>
      </c>
      <c r="J141" s="1661"/>
      <c r="K141" s="1662"/>
      <c r="L141" s="1589"/>
      <c r="M141" s="1663">
        <f>SUM(M137:M140)</f>
        <v>3844061515</v>
      </c>
      <c r="N141" s="1589"/>
      <c r="O141" s="1663">
        <f>SUM(O137:O140)</f>
        <v>3844061515</v>
      </c>
      <c r="P141" s="1664"/>
      <c r="Q141" s="1663">
        <f t="shared" ref="Q141:AD141" si="50">SUM(Q137:Q140)</f>
        <v>0</v>
      </c>
      <c r="R141" s="1663">
        <f t="shared" si="50"/>
        <v>0</v>
      </c>
      <c r="S141" s="1663">
        <f t="shared" si="50"/>
        <v>0</v>
      </c>
      <c r="T141" s="1663">
        <f t="shared" si="50"/>
        <v>0</v>
      </c>
      <c r="U141" s="1663">
        <f t="shared" si="50"/>
        <v>0</v>
      </c>
      <c r="V141" s="1663">
        <f t="shared" si="50"/>
        <v>0</v>
      </c>
      <c r="W141" s="1663">
        <f t="shared" si="50"/>
        <v>0</v>
      </c>
      <c r="X141" s="1663">
        <f t="shared" si="50"/>
        <v>1396200138</v>
      </c>
      <c r="Y141" s="1663">
        <f t="shared" si="50"/>
        <v>249587502</v>
      </c>
      <c r="Z141" s="1663">
        <f t="shared" si="50"/>
        <v>249991937</v>
      </c>
      <c r="AA141" s="1663">
        <f t="shared" si="50"/>
        <v>450922049</v>
      </c>
      <c r="AB141" s="1826">
        <f t="shared" si="50"/>
        <v>674425317</v>
      </c>
      <c r="AC141" s="1663">
        <f t="shared" si="50"/>
        <v>3021126943</v>
      </c>
      <c r="AD141" s="1826">
        <f t="shared" si="50"/>
        <v>822934572</v>
      </c>
      <c r="AF141" s="852"/>
      <c r="AG141" s="14"/>
      <c r="AH141" s="14"/>
      <c r="AI141" s="1052"/>
      <c r="AJ141" s="1663">
        <f>SUM(AJ137:AJ140)</f>
        <v>3846506868</v>
      </c>
      <c r="AK141" s="14">
        <f>SUM(AK137:AK140)</f>
        <v>2445353</v>
      </c>
      <c r="AL141" s="845">
        <f>B136-AJ141</f>
        <v>0</v>
      </c>
    </row>
    <row r="142" spans="1:39" s="633" customFormat="1" ht="23.25" customHeight="1">
      <c r="A142" s="1279" t="s">
        <v>836</v>
      </c>
      <c r="B142" s="1963">
        <v>60366878</v>
      </c>
      <c r="C142" s="1275" t="s">
        <v>835</v>
      </c>
      <c r="D142" s="1278" t="s">
        <v>830</v>
      </c>
      <c r="E142" s="1276" t="s">
        <v>1651</v>
      </c>
      <c r="F142" s="1276" t="s">
        <v>1652</v>
      </c>
      <c r="G142" s="1276" t="s">
        <v>79</v>
      </c>
      <c r="H142" s="2151" t="s">
        <v>1643</v>
      </c>
      <c r="I142" s="1696" t="s">
        <v>173</v>
      </c>
      <c r="J142" s="1697"/>
      <c r="K142" s="1698"/>
      <c r="L142" s="1699"/>
      <c r="M142" s="1700"/>
      <c r="N142" s="1699"/>
      <c r="O142" s="1700"/>
      <c r="P142" s="1701"/>
      <c r="Q142" s="1698"/>
      <c r="R142" s="1700"/>
      <c r="S142" s="1700"/>
      <c r="T142" s="1700"/>
      <c r="U142" s="1700"/>
      <c r="V142" s="1700"/>
      <c r="W142" s="1700"/>
      <c r="X142" s="1700"/>
      <c r="Y142" s="1700"/>
      <c r="Z142" s="1700"/>
      <c r="AA142" s="1700"/>
      <c r="AB142" s="1829"/>
      <c r="AC142" s="1698"/>
      <c r="AD142" s="1829"/>
      <c r="AF142" s="1243"/>
      <c r="AG142" s="1241"/>
      <c r="AH142" s="1241"/>
      <c r="AI142" s="1244"/>
      <c r="AJ142" s="1700"/>
      <c r="AK142" s="1246"/>
      <c r="AL142" s="845"/>
    </row>
    <row r="143" spans="1:39" s="633" customFormat="1" ht="15">
      <c r="A143" s="95" t="s">
        <v>836</v>
      </c>
      <c r="B143" s="1610">
        <f>M143</f>
        <v>43032122</v>
      </c>
      <c r="C143" s="95" t="s">
        <v>835</v>
      </c>
      <c r="D143" s="96" t="s">
        <v>830</v>
      </c>
      <c r="E143" s="96" t="s">
        <v>1651</v>
      </c>
      <c r="F143" s="96" t="s">
        <v>1652</v>
      </c>
      <c r="G143" s="96" t="s">
        <v>79</v>
      </c>
      <c r="H143" s="631" t="s">
        <v>1643</v>
      </c>
      <c r="I143" s="1666" t="s">
        <v>173</v>
      </c>
      <c r="J143" s="1667"/>
      <c r="K143" s="1686"/>
      <c r="L143" s="1583">
        <v>572</v>
      </c>
      <c r="M143" s="1462">
        <v>43032122</v>
      </c>
      <c r="N143" s="1583">
        <v>640</v>
      </c>
      <c r="O143" s="1462">
        <v>43032122</v>
      </c>
      <c r="P143" s="1668" t="s">
        <v>1089</v>
      </c>
      <c r="Q143" s="1686"/>
      <c r="R143" s="1687"/>
      <c r="S143" s="1687"/>
      <c r="T143" s="1687"/>
      <c r="U143" s="1687"/>
      <c r="V143" s="1687"/>
      <c r="W143" s="1852"/>
      <c r="X143" s="1852">
        <v>43032122</v>
      </c>
      <c r="Y143" s="1852"/>
      <c r="Z143" s="1852"/>
      <c r="AA143" s="1852"/>
      <c r="AB143" s="1949"/>
      <c r="AC143" s="1824">
        <f>SUM(Q143:AB143)</f>
        <v>43032122</v>
      </c>
      <c r="AD143" s="1825">
        <f>O143-AC143</f>
        <v>0</v>
      </c>
      <c r="AF143" s="891" t="s">
        <v>325</v>
      </c>
      <c r="AG143" s="1286" t="s">
        <v>860</v>
      </c>
      <c r="AH143" s="1286" t="s">
        <v>1099</v>
      </c>
      <c r="AI143" s="1048" t="str">
        <f>P143</f>
        <v>411/2017</v>
      </c>
      <c r="AJ143" s="1462">
        <v>43032122</v>
      </c>
      <c r="AK143" s="851">
        <f>AJ143-O143</f>
        <v>0</v>
      </c>
      <c r="AL143" s="845"/>
      <c r="AM143" s="1518">
        <f>AJ143-M143</f>
        <v>0</v>
      </c>
    </row>
    <row r="144" spans="1:39" s="633" customFormat="1" ht="15">
      <c r="A144" s="95" t="s">
        <v>836</v>
      </c>
      <c r="B144" s="1610">
        <f>M144</f>
        <v>17334756</v>
      </c>
      <c r="C144" s="95" t="s">
        <v>835</v>
      </c>
      <c r="D144" s="96" t="s">
        <v>830</v>
      </c>
      <c r="E144" s="96" t="s">
        <v>1651</v>
      </c>
      <c r="F144" s="96" t="s">
        <v>1652</v>
      </c>
      <c r="G144" s="96" t="s">
        <v>79</v>
      </c>
      <c r="H144" s="631" t="s">
        <v>1643</v>
      </c>
      <c r="I144" s="1666" t="s">
        <v>173</v>
      </c>
      <c r="J144" s="1667"/>
      <c r="K144" s="1686"/>
      <c r="L144" s="1583">
        <v>573</v>
      </c>
      <c r="M144" s="1462">
        <v>17334756</v>
      </c>
      <c r="N144" s="1583">
        <v>641</v>
      </c>
      <c r="O144" s="1462">
        <v>17334756</v>
      </c>
      <c r="P144" s="1668" t="s">
        <v>1090</v>
      </c>
      <c r="Q144" s="1686"/>
      <c r="R144" s="1687"/>
      <c r="S144" s="1687"/>
      <c r="T144" s="1687"/>
      <c r="U144" s="1687"/>
      <c r="V144" s="1687"/>
      <c r="W144" s="1852"/>
      <c r="X144" s="1852"/>
      <c r="Y144" s="1852"/>
      <c r="Z144" s="1852"/>
      <c r="AA144" s="1852"/>
      <c r="AB144" s="1949"/>
      <c r="AC144" s="1824">
        <f>SUM(Q144:AB144)</f>
        <v>0</v>
      </c>
      <c r="AD144" s="1825">
        <f>O144-AC144</f>
        <v>17334756</v>
      </c>
      <c r="AF144" s="891" t="s">
        <v>325</v>
      </c>
      <c r="AG144" s="1286" t="s">
        <v>861</v>
      </c>
      <c r="AH144" s="1286" t="s">
        <v>1100</v>
      </c>
      <c r="AI144" s="1048" t="str">
        <f>P144</f>
        <v>416/2017</v>
      </c>
      <c r="AJ144" s="1462">
        <v>17334756.017857146</v>
      </c>
      <c r="AK144" s="851">
        <f>AJ144-O144</f>
        <v>1.7857145518064499E-2</v>
      </c>
      <c r="AL144" s="845"/>
      <c r="AM144" s="1518">
        <f>AJ144-M144</f>
        <v>1.7857145518064499E-2</v>
      </c>
    </row>
    <row r="145" spans="1:39" s="633" customFormat="1" ht="15">
      <c r="A145" s="95" t="s">
        <v>836</v>
      </c>
      <c r="B145" s="1610">
        <f>M145</f>
        <v>0</v>
      </c>
      <c r="C145" s="95" t="s">
        <v>835</v>
      </c>
      <c r="D145" s="96" t="s">
        <v>830</v>
      </c>
      <c r="E145" s="96" t="s">
        <v>1651</v>
      </c>
      <c r="F145" s="96" t="s">
        <v>1652</v>
      </c>
      <c r="G145" s="96" t="s">
        <v>79</v>
      </c>
      <c r="H145" s="631" t="s">
        <v>1643</v>
      </c>
      <c r="I145" s="1666" t="s">
        <v>173</v>
      </c>
      <c r="J145" s="1667"/>
      <c r="K145" s="1686"/>
      <c r="L145" s="1607"/>
      <c r="M145" s="1687"/>
      <c r="N145" s="1583"/>
      <c r="O145" s="1462"/>
      <c r="P145" s="1668"/>
      <c r="Q145" s="1686"/>
      <c r="R145" s="1687"/>
      <c r="S145" s="1687"/>
      <c r="T145" s="1687"/>
      <c r="U145" s="1687"/>
      <c r="V145" s="1687"/>
      <c r="W145" s="1687"/>
      <c r="X145" s="1687"/>
      <c r="Y145" s="1687"/>
      <c r="Z145" s="1687"/>
      <c r="AA145" s="1687"/>
      <c r="AB145" s="1854"/>
      <c r="AC145" s="1824">
        <f>SUM(Q145:AB145)</f>
        <v>0</v>
      </c>
      <c r="AD145" s="1825">
        <f>O145-AC145</f>
        <v>0</v>
      </c>
      <c r="AF145" s="890"/>
      <c r="AG145" s="7"/>
      <c r="AH145" s="1370" t="s">
        <v>173</v>
      </c>
      <c r="AI145" s="1048">
        <f>P145</f>
        <v>0</v>
      </c>
      <c r="AJ145" s="1687"/>
      <c r="AK145" s="851">
        <f>AJ145-O145</f>
        <v>0</v>
      </c>
      <c r="AL145" s="845"/>
    </row>
    <row r="146" spans="1:39" s="633" customFormat="1" ht="15">
      <c r="A146" s="655" t="s">
        <v>80</v>
      </c>
      <c r="B146" s="1966">
        <f>B142-SUM(B143:B145)</f>
        <v>0</v>
      </c>
      <c r="C146" s="656"/>
      <c r="D146" s="657"/>
      <c r="E146" s="657"/>
      <c r="F146" s="657"/>
      <c r="G146" s="657"/>
      <c r="H146" s="2150"/>
      <c r="I146" s="1669"/>
      <c r="J146" s="1661"/>
      <c r="K146" s="1662"/>
      <c r="L146" s="1589"/>
      <c r="M146" s="1663">
        <f>SUM(M143:M145)</f>
        <v>60366878</v>
      </c>
      <c r="N146" s="1589"/>
      <c r="O146" s="1663">
        <f>SUM(O143:O145)</f>
        <v>60366878</v>
      </c>
      <c r="P146" s="1664"/>
      <c r="Q146" s="1663">
        <f t="shared" ref="Q146:AD146" si="51">SUM(Q143:Q145)</f>
        <v>0</v>
      </c>
      <c r="R146" s="1663">
        <f t="shared" si="51"/>
        <v>0</v>
      </c>
      <c r="S146" s="1663">
        <f t="shared" si="51"/>
        <v>0</v>
      </c>
      <c r="T146" s="1663">
        <f t="shared" si="51"/>
        <v>0</v>
      </c>
      <c r="U146" s="1663">
        <f t="shared" si="51"/>
        <v>0</v>
      </c>
      <c r="V146" s="1663">
        <f t="shared" si="51"/>
        <v>0</v>
      </c>
      <c r="W146" s="1663">
        <f t="shared" si="51"/>
        <v>0</v>
      </c>
      <c r="X146" s="1663">
        <f t="shared" si="51"/>
        <v>43032122</v>
      </c>
      <c r="Y146" s="1663">
        <f t="shared" si="51"/>
        <v>0</v>
      </c>
      <c r="Z146" s="1663">
        <f t="shared" si="51"/>
        <v>0</v>
      </c>
      <c r="AA146" s="1663">
        <f t="shared" si="51"/>
        <v>0</v>
      </c>
      <c r="AB146" s="1826">
        <f t="shared" si="51"/>
        <v>0</v>
      </c>
      <c r="AC146" s="1663">
        <f t="shared" si="51"/>
        <v>43032122</v>
      </c>
      <c r="AD146" s="1826">
        <f t="shared" si="51"/>
        <v>17334756</v>
      </c>
      <c r="AF146" s="852"/>
      <c r="AG146" s="14"/>
      <c r="AH146" s="14"/>
      <c r="AI146" s="1052"/>
      <c r="AJ146" s="1663">
        <f>SUM(AJ143:AJ145)</f>
        <v>60366878.017857149</v>
      </c>
      <c r="AK146" s="14">
        <f>SUM(AK143:AK145)</f>
        <v>1.7857145518064499E-2</v>
      </c>
      <c r="AL146" s="845">
        <f>B142-AJ146</f>
        <v>-1.7857149243354797E-2</v>
      </c>
    </row>
    <row r="147" spans="1:39" s="633" customFormat="1" ht="21.75" customHeight="1">
      <c r="A147" s="1279" t="s">
        <v>853</v>
      </c>
      <c r="B147" s="1963">
        <f>189021929</f>
        <v>189021929</v>
      </c>
      <c r="C147" s="269" t="s">
        <v>835</v>
      </c>
      <c r="D147" s="96" t="s">
        <v>830</v>
      </c>
      <c r="E147" s="96" t="s">
        <v>1651</v>
      </c>
      <c r="F147" s="96" t="s">
        <v>1652</v>
      </c>
      <c r="G147" s="96" t="s">
        <v>79</v>
      </c>
      <c r="H147" s="2151" t="s">
        <v>1643</v>
      </c>
      <c r="I147" s="1696" t="s">
        <v>173</v>
      </c>
      <c r="J147" s="1697"/>
      <c r="K147" s="1698"/>
      <c r="L147" s="1699"/>
      <c r="M147" s="1700"/>
      <c r="N147" s="1699"/>
      <c r="O147" s="1700"/>
      <c r="P147" s="1701"/>
      <c r="Q147" s="1698"/>
      <c r="R147" s="1700"/>
      <c r="S147" s="1700"/>
      <c r="T147" s="1700"/>
      <c r="U147" s="1700"/>
      <c r="V147" s="1700"/>
      <c r="W147" s="1700"/>
      <c r="X147" s="1700"/>
      <c r="Y147" s="1700"/>
      <c r="Z147" s="1700"/>
      <c r="AA147" s="1700"/>
      <c r="AB147" s="1829"/>
      <c r="AC147" s="1698"/>
      <c r="AD147" s="1829"/>
      <c r="AF147" s="1243"/>
      <c r="AG147" s="1241"/>
      <c r="AH147" s="1241"/>
      <c r="AI147" s="1244"/>
      <c r="AJ147" s="1700"/>
      <c r="AK147" s="1246"/>
      <c r="AL147" s="845"/>
    </row>
    <row r="148" spans="1:39" s="633" customFormat="1" ht="15">
      <c r="A148" s="772" t="s">
        <v>853</v>
      </c>
      <c r="B148" s="1610">
        <f>M148</f>
        <v>123814500</v>
      </c>
      <c r="C148" s="95" t="s">
        <v>835</v>
      </c>
      <c r="D148" s="96" t="s">
        <v>830</v>
      </c>
      <c r="E148" s="96" t="s">
        <v>1651</v>
      </c>
      <c r="F148" s="96" t="s">
        <v>1652</v>
      </c>
      <c r="G148" s="96" t="s">
        <v>79</v>
      </c>
      <c r="H148" s="631" t="s">
        <v>1643</v>
      </c>
      <c r="I148" s="1525">
        <v>458</v>
      </c>
      <c r="J148" s="1667"/>
      <c r="K148" s="1686"/>
      <c r="L148" s="1583">
        <v>441</v>
      </c>
      <c r="M148" s="1462">
        <f>132421929-8607429</f>
        <v>123814500</v>
      </c>
      <c r="N148" s="1583">
        <v>943</v>
      </c>
      <c r="O148" s="1462">
        <v>123814500</v>
      </c>
      <c r="P148" s="1702">
        <v>378</v>
      </c>
      <c r="Q148" s="1686"/>
      <c r="R148" s="1687"/>
      <c r="S148" s="1687"/>
      <c r="T148" s="1687"/>
      <c r="U148" s="1852"/>
      <c r="V148" s="1687"/>
      <c r="W148" s="1687"/>
      <c r="X148" s="1687"/>
      <c r="Y148" s="1687"/>
      <c r="Z148" s="1687"/>
      <c r="AA148" s="1687"/>
      <c r="AB148" s="1949">
        <f>62176108+29201472</f>
        <v>91377580</v>
      </c>
      <c r="AC148" s="1824">
        <f>SUM(Q148:AB148)</f>
        <v>91377580</v>
      </c>
      <c r="AD148" s="1825">
        <f>O148-AC148</f>
        <v>32436920</v>
      </c>
      <c r="AF148" s="891">
        <v>458</v>
      </c>
      <c r="AG148" s="1286" t="s">
        <v>856</v>
      </c>
      <c r="AH148" s="1286" t="s">
        <v>1417</v>
      </c>
      <c r="AI148" s="1048">
        <f>P148</f>
        <v>378</v>
      </c>
      <c r="AJ148" s="1462">
        <f>132421929-8607429+8607429</f>
        <v>132421929</v>
      </c>
      <c r="AK148" s="851">
        <f>AJ148-O148</f>
        <v>8607429</v>
      </c>
      <c r="AL148" s="845"/>
      <c r="AM148" s="1518">
        <f>AJ148-M148</f>
        <v>8607429</v>
      </c>
    </row>
    <row r="149" spans="1:39" s="633" customFormat="1" ht="15">
      <c r="A149" s="772" t="s">
        <v>853</v>
      </c>
      <c r="B149" s="1610">
        <f>M149</f>
        <v>33997586</v>
      </c>
      <c r="C149" s="95" t="s">
        <v>835</v>
      </c>
      <c r="D149" s="96" t="s">
        <v>830</v>
      </c>
      <c r="E149" s="96" t="s">
        <v>1651</v>
      </c>
      <c r="F149" s="96" t="s">
        <v>1652</v>
      </c>
      <c r="G149" s="96" t="s">
        <v>79</v>
      </c>
      <c r="H149" s="631" t="s">
        <v>1643</v>
      </c>
      <c r="I149" s="1525">
        <v>459</v>
      </c>
      <c r="J149" s="1667"/>
      <c r="K149" s="1686"/>
      <c r="L149" s="1583">
        <v>463</v>
      </c>
      <c r="M149" s="1462">
        <f>34100000-102414</f>
        <v>33997586</v>
      </c>
      <c r="N149" s="1583">
        <v>937</v>
      </c>
      <c r="O149" s="1462">
        <v>33997586</v>
      </c>
      <c r="P149" s="1702">
        <v>488</v>
      </c>
      <c r="Q149" s="1686"/>
      <c r="R149" s="1687"/>
      <c r="S149" s="1687"/>
      <c r="T149" s="1687"/>
      <c r="U149" s="1852"/>
      <c r="V149" s="1687"/>
      <c r="W149" s="1687"/>
      <c r="X149" s="1687"/>
      <c r="Y149" s="1687"/>
      <c r="Z149" s="1687"/>
      <c r="AA149" s="1687"/>
      <c r="AB149" s="1949">
        <f>14671318+8331448</f>
        <v>23002766</v>
      </c>
      <c r="AC149" s="1824">
        <f>SUM(Q149:AB149)</f>
        <v>23002766</v>
      </c>
      <c r="AD149" s="1825">
        <f>O149-AC149</f>
        <v>10994820</v>
      </c>
      <c r="AF149" s="891">
        <v>459</v>
      </c>
      <c r="AG149" s="1286" t="s">
        <v>857</v>
      </c>
      <c r="AH149" s="1286" t="s">
        <v>1416</v>
      </c>
      <c r="AI149" s="1048">
        <f>P149</f>
        <v>488</v>
      </c>
      <c r="AJ149" s="1462">
        <f>34100000-100000+100000</f>
        <v>34100000</v>
      </c>
      <c r="AK149" s="851">
        <f>AJ149-O149</f>
        <v>102414</v>
      </c>
      <c r="AL149" s="845"/>
      <c r="AM149" s="1518">
        <f>AJ149-M149</f>
        <v>102414</v>
      </c>
    </row>
    <row r="150" spans="1:39" s="633" customFormat="1" ht="15">
      <c r="A150" s="772" t="s">
        <v>853</v>
      </c>
      <c r="B150" s="1610">
        <f>M150</f>
        <v>15333333</v>
      </c>
      <c r="C150" s="95" t="s">
        <v>835</v>
      </c>
      <c r="D150" s="96" t="s">
        <v>830</v>
      </c>
      <c r="E150" s="96" t="s">
        <v>1651</v>
      </c>
      <c r="F150" s="96" t="s">
        <v>1652</v>
      </c>
      <c r="G150" s="96" t="s">
        <v>79</v>
      </c>
      <c r="H150" s="631" t="s">
        <v>1643</v>
      </c>
      <c r="I150" s="1525">
        <v>460</v>
      </c>
      <c r="J150" s="1685">
        <v>568</v>
      </c>
      <c r="K150" s="1562">
        <v>15333333</v>
      </c>
      <c r="L150" s="1583">
        <v>653</v>
      </c>
      <c r="M150" s="1562">
        <v>15333333</v>
      </c>
      <c r="N150" s="1583">
        <v>794</v>
      </c>
      <c r="O150" s="1562">
        <v>15333333</v>
      </c>
      <c r="P150" s="1702">
        <v>453</v>
      </c>
      <c r="Q150" s="1686"/>
      <c r="R150" s="1687"/>
      <c r="S150" s="1687"/>
      <c r="T150" s="1687"/>
      <c r="U150" s="1687"/>
      <c r="V150" s="1687"/>
      <c r="W150" s="1687"/>
      <c r="X150" s="1687"/>
      <c r="Y150" s="1852"/>
      <c r="Z150" s="1852">
        <v>4133333</v>
      </c>
      <c r="AA150" s="1852">
        <v>4000000</v>
      </c>
      <c r="AB150" s="1949">
        <f>4000000+3200000</f>
        <v>7200000</v>
      </c>
      <c r="AC150" s="1824">
        <f>SUM(Q150:AB150)</f>
        <v>15333333</v>
      </c>
      <c r="AD150" s="1825">
        <f>O150-AC150</f>
        <v>0</v>
      </c>
      <c r="AF150" s="891">
        <v>460</v>
      </c>
      <c r="AG150" s="1286" t="s">
        <v>858</v>
      </c>
      <c r="AH150" s="1286" t="s">
        <v>1227</v>
      </c>
      <c r="AI150" s="1048">
        <f>P150</f>
        <v>453</v>
      </c>
      <c r="AJ150" s="1462">
        <f>22500000-7166667</f>
        <v>15333333</v>
      </c>
      <c r="AK150" s="851">
        <f>AJ150-O150</f>
        <v>0</v>
      </c>
      <c r="AL150" s="845"/>
      <c r="AM150" s="1518">
        <f>AJ150-M150</f>
        <v>0</v>
      </c>
    </row>
    <row r="151" spans="1:39" s="633" customFormat="1" ht="15">
      <c r="A151" s="772" t="s">
        <v>853</v>
      </c>
      <c r="B151" s="1610">
        <f>M151</f>
        <v>0</v>
      </c>
      <c r="C151" s="95" t="s">
        <v>155</v>
      </c>
      <c r="D151" s="96" t="s">
        <v>830</v>
      </c>
      <c r="E151" s="96" t="s">
        <v>1651</v>
      </c>
      <c r="F151" s="96" t="s">
        <v>1652</v>
      </c>
      <c r="G151" s="96" t="s">
        <v>79</v>
      </c>
      <c r="H151" s="631" t="s">
        <v>1643</v>
      </c>
      <c r="I151" s="1525" t="s">
        <v>173</v>
      </c>
      <c r="J151" s="1685"/>
      <c r="K151" s="1562"/>
      <c r="L151" s="1583"/>
      <c r="M151" s="1462"/>
      <c r="N151" s="1583"/>
      <c r="O151" s="1462"/>
      <c r="P151" s="1688"/>
      <c r="Q151" s="1686"/>
      <c r="R151" s="1687"/>
      <c r="S151" s="1687"/>
      <c r="T151" s="1687"/>
      <c r="U151" s="1687"/>
      <c r="V151" s="1687"/>
      <c r="W151" s="1687"/>
      <c r="X151" s="1687"/>
      <c r="Y151" s="1687"/>
      <c r="Z151" s="1687"/>
      <c r="AA151" s="1687"/>
      <c r="AB151" s="1854"/>
      <c r="AC151" s="1824">
        <f>SUM(Q151:AB151)</f>
        <v>0</v>
      </c>
      <c r="AD151" s="1825">
        <f>O151-AC151</f>
        <v>0</v>
      </c>
      <c r="AF151" s="891" t="s">
        <v>325</v>
      </c>
      <c r="AG151" s="1286" t="s">
        <v>1086</v>
      </c>
      <c r="AH151" s="1370" t="s">
        <v>173</v>
      </c>
      <c r="AI151" s="1048">
        <f>P151</f>
        <v>0</v>
      </c>
      <c r="AJ151" s="1462">
        <v>1500000</v>
      </c>
      <c r="AK151" s="851">
        <f>AJ151-O151</f>
        <v>1500000</v>
      </c>
      <c r="AL151" s="845"/>
      <c r="AM151" s="1518">
        <f>AJ151-M151</f>
        <v>1500000</v>
      </c>
    </row>
    <row r="152" spans="1:39" s="633" customFormat="1" ht="15">
      <c r="A152" s="772" t="s">
        <v>853</v>
      </c>
      <c r="B152" s="1610">
        <f>M152</f>
        <v>0</v>
      </c>
      <c r="C152" s="95" t="s">
        <v>155</v>
      </c>
      <c r="D152" s="96" t="s">
        <v>830</v>
      </c>
      <c r="E152" s="96" t="s">
        <v>1651</v>
      </c>
      <c r="F152" s="96" t="s">
        <v>1652</v>
      </c>
      <c r="G152" s="96" t="s">
        <v>79</v>
      </c>
      <c r="H152" s="631" t="s">
        <v>1643</v>
      </c>
      <c r="I152" s="1525" t="s">
        <v>173</v>
      </c>
      <c r="J152" s="1685"/>
      <c r="K152" s="1562"/>
      <c r="L152" s="1583"/>
      <c r="M152" s="1462"/>
      <c r="N152" s="1583"/>
      <c r="O152" s="1462"/>
      <c r="P152" s="1688"/>
      <c r="Q152" s="1686"/>
      <c r="R152" s="1687"/>
      <c r="S152" s="1687"/>
      <c r="T152" s="1687"/>
      <c r="U152" s="1687"/>
      <c r="V152" s="1687"/>
      <c r="W152" s="1687"/>
      <c r="X152" s="1687"/>
      <c r="Y152" s="1687"/>
      <c r="Z152" s="1687"/>
      <c r="AA152" s="1687"/>
      <c r="AB152" s="1854"/>
      <c r="AC152" s="1824">
        <f>SUM(Q152:AB152)</f>
        <v>0</v>
      </c>
      <c r="AD152" s="1825">
        <f>O152-AC152</f>
        <v>0</v>
      </c>
      <c r="AF152" s="891" t="s">
        <v>325</v>
      </c>
      <c r="AG152" s="1286" t="s">
        <v>493</v>
      </c>
      <c r="AH152" s="1370" t="s">
        <v>173</v>
      </c>
      <c r="AI152" s="1048">
        <f>P152</f>
        <v>0</v>
      </c>
      <c r="AJ152" s="1462">
        <f>14374096-8707429</f>
        <v>5666667</v>
      </c>
      <c r="AK152" s="851">
        <f>AJ152-O152</f>
        <v>5666667</v>
      </c>
      <c r="AL152" s="845"/>
      <c r="AM152" s="1518">
        <f>AJ152-M152</f>
        <v>5666667</v>
      </c>
    </row>
    <row r="153" spans="1:39" s="633" customFormat="1" ht="15">
      <c r="A153" s="655"/>
      <c r="B153" s="1966">
        <f>B147-SUM(B148:B152)</f>
        <v>15876510</v>
      </c>
      <c r="C153" s="656"/>
      <c r="D153" s="657"/>
      <c r="E153" s="657"/>
      <c r="F153" s="657"/>
      <c r="G153" s="657"/>
      <c r="H153" s="2150"/>
      <c r="I153" s="1669"/>
      <c r="J153" s="1661"/>
      <c r="K153" s="1662"/>
      <c r="L153" s="1589"/>
      <c r="M153" s="1663">
        <f>SUM(M148:M152)</f>
        <v>173145419</v>
      </c>
      <c r="N153" s="1589"/>
      <c r="O153" s="1663">
        <f>SUM(O148:O152)</f>
        <v>173145419</v>
      </c>
      <c r="P153" s="1664"/>
      <c r="Q153" s="1663">
        <f t="shared" ref="Q153:AD153" si="52">SUM(Q148:Q152)</f>
        <v>0</v>
      </c>
      <c r="R153" s="1663">
        <f t="shared" si="52"/>
        <v>0</v>
      </c>
      <c r="S153" s="1663">
        <f t="shared" si="52"/>
        <v>0</v>
      </c>
      <c r="T153" s="1663">
        <f t="shared" si="52"/>
        <v>0</v>
      </c>
      <c r="U153" s="1663">
        <f t="shared" si="52"/>
        <v>0</v>
      </c>
      <c r="V153" s="1663">
        <f t="shared" si="52"/>
        <v>0</v>
      </c>
      <c r="W153" s="1663">
        <f t="shared" si="52"/>
        <v>0</v>
      </c>
      <c r="X153" s="1663">
        <f t="shared" si="52"/>
        <v>0</v>
      </c>
      <c r="Y153" s="1663">
        <f t="shared" si="52"/>
        <v>0</v>
      </c>
      <c r="Z153" s="1663">
        <f t="shared" si="52"/>
        <v>4133333</v>
      </c>
      <c r="AA153" s="1663">
        <f t="shared" si="52"/>
        <v>4000000</v>
      </c>
      <c r="AB153" s="1826">
        <f t="shared" si="52"/>
        <v>121580346</v>
      </c>
      <c r="AC153" s="1662">
        <f t="shared" si="52"/>
        <v>129713679</v>
      </c>
      <c r="AD153" s="1663">
        <f t="shared" si="52"/>
        <v>43431740</v>
      </c>
      <c r="AF153" s="852"/>
      <c r="AG153" s="14"/>
      <c r="AH153" s="14"/>
      <c r="AI153" s="1052"/>
      <c r="AJ153" s="1663">
        <f>SUM(AJ148:AJ152)</f>
        <v>189021929</v>
      </c>
      <c r="AK153" s="14">
        <f>SUM(AK148:AK152)</f>
        <v>15876510</v>
      </c>
      <c r="AL153" s="845">
        <f>B147-AJ153</f>
        <v>0</v>
      </c>
    </row>
    <row r="154" spans="1:39" s="766" customFormat="1" ht="26.25" customHeight="1">
      <c r="A154" s="651" t="s">
        <v>119</v>
      </c>
      <c r="B154" s="1963">
        <f>1445190000+24750000-100134334+11696667+64393335+7266667</f>
        <v>1453162335</v>
      </c>
      <c r="C154" s="1275" t="s">
        <v>36</v>
      </c>
      <c r="D154" s="1276" t="s">
        <v>830</v>
      </c>
      <c r="E154" s="1276" t="s">
        <v>1651</v>
      </c>
      <c r="F154" s="1276" t="s">
        <v>1652</v>
      </c>
      <c r="G154" s="1276" t="s">
        <v>79</v>
      </c>
      <c r="H154" s="2151" t="s">
        <v>1643</v>
      </c>
      <c r="I154" s="1644"/>
      <c r="J154" s="1645">
        <v>0</v>
      </c>
      <c r="K154" s="1646"/>
      <c r="L154" s="1647"/>
      <c r="M154" s="1648"/>
      <c r="N154" s="1647"/>
      <c r="O154" s="1649"/>
      <c r="P154" s="1643"/>
      <c r="Q154" s="1822"/>
      <c r="R154" s="1850"/>
      <c r="S154" s="1850"/>
      <c r="T154" s="1850"/>
      <c r="U154" s="1850"/>
      <c r="V154" s="1850"/>
      <c r="W154" s="1850"/>
      <c r="X154" s="1850"/>
      <c r="Y154" s="1850"/>
      <c r="Z154" s="1850"/>
      <c r="AA154" s="1850"/>
      <c r="AB154" s="1823"/>
      <c r="AC154" s="1822"/>
      <c r="AD154" s="1823"/>
      <c r="AF154" s="1183"/>
      <c r="AG154" s="652"/>
      <c r="AH154" s="652"/>
      <c r="AI154" s="652"/>
      <c r="AJ154" s="1850"/>
      <c r="AK154" s="653"/>
      <c r="AL154" s="820"/>
      <c r="AM154" s="118"/>
    </row>
    <row r="155" spans="1:39" s="766" customFormat="1">
      <c r="A155" s="1463" t="s">
        <v>119</v>
      </c>
      <c r="B155" s="1969">
        <f>M155</f>
        <v>38280000</v>
      </c>
      <c r="C155" s="95" t="s">
        <v>36</v>
      </c>
      <c r="D155" s="96" t="s">
        <v>830</v>
      </c>
      <c r="E155" s="96" t="s">
        <v>1651</v>
      </c>
      <c r="F155" s="96" t="s">
        <v>1652</v>
      </c>
      <c r="G155" s="96" t="s">
        <v>79</v>
      </c>
      <c r="H155" s="631" t="s">
        <v>1643</v>
      </c>
      <c r="I155" s="2142">
        <v>368</v>
      </c>
      <c r="J155" s="1650">
        <v>0</v>
      </c>
      <c r="K155" s="1651"/>
      <c r="L155" s="1652">
        <v>35</v>
      </c>
      <c r="M155" s="1659">
        <v>38280000</v>
      </c>
      <c r="N155" s="1593">
        <v>27</v>
      </c>
      <c r="O155" s="1604">
        <v>38280000</v>
      </c>
      <c r="P155" s="1655">
        <v>19</v>
      </c>
      <c r="Q155" s="1851"/>
      <c r="R155" s="1852">
        <v>1624000</v>
      </c>
      <c r="S155" s="1852">
        <f>VLOOKUP(N155,[9]Hoja2!N$2:T$77,7,0)</f>
        <v>3480000</v>
      </c>
      <c r="T155" s="1852">
        <v>3480000</v>
      </c>
      <c r="U155" s="1852">
        <v>3480000</v>
      </c>
      <c r="V155" s="1852">
        <v>3480000</v>
      </c>
      <c r="W155" s="1852">
        <v>3480000</v>
      </c>
      <c r="X155" s="1852">
        <v>3480000</v>
      </c>
      <c r="Y155" s="1852">
        <v>3480000</v>
      </c>
      <c r="Z155" s="1852">
        <v>3480000</v>
      </c>
      <c r="AA155" s="1852">
        <v>3480000</v>
      </c>
      <c r="AB155" s="1949">
        <f>3480000+1856000</f>
        <v>5336000</v>
      </c>
      <c r="AC155" s="1824">
        <f t="shared" ref="AC155" si="53">SUM(Q155:AB155)</f>
        <v>38280000</v>
      </c>
      <c r="AD155" s="1825">
        <f t="shared" ref="AD155" si="54">O155-AC155</f>
        <v>0</v>
      </c>
      <c r="AF155" s="848">
        <v>368</v>
      </c>
      <c r="AG155" s="1291" t="s">
        <v>199</v>
      </c>
      <c r="AH155" s="1059" t="s">
        <v>554</v>
      </c>
      <c r="AI155" s="1048">
        <f t="shared" ref="AI155:AI186" si="55">P155</f>
        <v>19</v>
      </c>
      <c r="AJ155" s="849">
        <v>38280000</v>
      </c>
      <c r="AK155" s="851">
        <f t="shared" ref="AK155:AK211" si="56">AJ155-O155</f>
        <v>0</v>
      </c>
      <c r="AL155" s="820"/>
      <c r="AM155" s="1518">
        <f t="shared" ref="AM155:AM186" si="57">AJ155-M155</f>
        <v>0</v>
      </c>
    </row>
    <row r="156" spans="1:39" s="766" customFormat="1">
      <c r="A156" s="1463" t="s">
        <v>119</v>
      </c>
      <c r="B156" s="1969">
        <f t="shared" ref="B156:B211" si="58">M156</f>
        <v>5104000</v>
      </c>
      <c r="C156" s="95" t="s">
        <v>36</v>
      </c>
      <c r="D156" s="96" t="s">
        <v>830</v>
      </c>
      <c r="E156" s="96" t="s">
        <v>1651</v>
      </c>
      <c r="F156" s="96" t="s">
        <v>1652</v>
      </c>
      <c r="G156" s="96" t="s">
        <v>79</v>
      </c>
      <c r="H156" s="631" t="s">
        <v>1643</v>
      </c>
      <c r="I156" s="2142" t="s">
        <v>325</v>
      </c>
      <c r="J156" s="1650">
        <v>787</v>
      </c>
      <c r="K156" s="1651">
        <v>5104000</v>
      </c>
      <c r="L156" s="1652">
        <v>887</v>
      </c>
      <c r="M156" s="1659">
        <v>5104000</v>
      </c>
      <c r="N156" s="1652">
        <v>1068</v>
      </c>
      <c r="O156" s="1604">
        <v>5104000</v>
      </c>
      <c r="P156" s="1655">
        <v>19</v>
      </c>
      <c r="Q156" s="1851"/>
      <c r="R156" s="1852"/>
      <c r="S156" s="1852"/>
      <c r="T156" s="1852"/>
      <c r="U156" s="1852"/>
      <c r="V156" s="1852"/>
      <c r="W156" s="1852"/>
      <c r="X156" s="1852"/>
      <c r="Y156" s="1852"/>
      <c r="Z156" s="1852"/>
      <c r="AA156" s="1852"/>
      <c r="AB156" s="1949">
        <v>1624000</v>
      </c>
      <c r="AC156" s="1824">
        <f t="shared" ref="AC156:AC211" si="59">SUM(Q156:AB156)</f>
        <v>1624000</v>
      </c>
      <c r="AD156" s="1825">
        <f t="shared" ref="AD156:AD211" si="60">O156-AC156</f>
        <v>3480000</v>
      </c>
      <c r="AF156" s="848" t="s">
        <v>325</v>
      </c>
      <c r="AG156" s="1291" t="s">
        <v>1490</v>
      </c>
      <c r="AH156" s="1059" t="s">
        <v>554</v>
      </c>
      <c r="AI156" s="1048">
        <f t="shared" si="55"/>
        <v>19</v>
      </c>
      <c r="AJ156" s="849">
        <v>5104000</v>
      </c>
      <c r="AK156" s="851">
        <f t="shared" si="56"/>
        <v>0</v>
      </c>
      <c r="AL156" s="820"/>
      <c r="AM156" s="1518">
        <f t="shared" si="57"/>
        <v>0</v>
      </c>
    </row>
    <row r="157" spans="1:39" s="766" customFormat="1">
      <c r="A157" s="1463" t="s">
        <v>119</v>
      </c>
      <c r="B157" s="1969">
        <f t="shared" si="58"/>
        <v>35150000</v>
      </c>
      <c r="C157" s="95" t="s">
        <v>36</v>
      </c>
      <c r="D157" s="96" t="s">
        <v>830</v>
      </c>
      <c r="E157" s="96" t="s">
        <v>1651</v>
      </c>
      <c r="F157" s="96" t="s">
        <v>1652</v>
      </c>
      <c r="G157" s="96" t="s">
        <v>79</v>
      </c>
      <c r="H157" s="631" t="s">
        <v>1643</v>
      </c>
      <c r="I157" s="2142">
        <v>369</v>
      </c>
      <c r="J157" s="1650">
        <v>0</v>
      </c>
      <c r="K157" s="1651"/>
      <c r="L157" s="1652">
        <v>356</v>
      </c>
      <c r="M157" s="1659">
        <v>35150000</v>
      </c>
      <c r="N157" s="1703">
        <v>362</v>
      </c>
      <c r="O157" s="1604">
        <v>35150000</v>
      </c>
      <c r="P157" s="1704">
        <v>287</v>
      </c>
      <c r="Q157" s="1851"/>
      <c r="R157" s="1852"/>
      <c r="S157" s="1852"/>
      <c r="T157" s="1852">
        <v>2096667</v>
      </c>
      <c r="U157" s="1852">
        <v>3700000</v>
      </c>
      <c r="V157" s="1852">
        <v>3700000</v>
      </c>
      <c r="W157" s="1852">
        <v>3700000</v>
      </c>
      <c r="X157" s="1852">
        <v>3700000</v>
      </c>
      <c r="Y157" s="1852">
        <v>3700000</v>
      </c>
      <c r="Z157" s="1852">
        <v>3700000</v>
      </c>
      <c r="AA157" s="1852">
        <v>3700000</v>
      </c>
      <c r="AB157" s="1949">
        <f>3700000+3453333</f>
        <v>7153333</v>
      </c>
      <c r="AC157" s="1824">
        <f t="shared" si="59"/>
        <v>35150000</v>
      </c>
      <c r="AD157" s="1825">
        <f t="shared" si="60"/>
        <v>0</v>
      </c>
      <c r="AF157" s="848">
        <v>369</v>
      </c>
      <c r="AG157" s="1291" t="s">
        <v>757</v>
      </c>
      <c r="AH157" s="1059" t="s">
        <v>805</v>
      </c>
      <c r="AI157" s="1048">
        <f t="shared" si="55"/>
        <v>287</v>
      </c>
      <c r="AJ157" s="849">
        <f>53300000+1660000-19810000</f>
        <v>35150000</v>
      </c>
      <c r="AK157" s="851">
        <f t="shared" si="56"/>
        <v>0</v>
      </c>
      <c r="AL157" s="820"/>
      <c r="AM157" s="1518">
        <f t="shared" si="57"/>
        <v>0</v>
      </c>
    </row>
    <row r="158" spans="1:39" s="766" customFormat="1">
      <c r="A158" s="1463" t="s">
        <v>119</v>
      </c>
      <c r="B158" s="1969">
        <f t="shared" si="58"/>
        <v>38280000</v>
      </c>
      <c r="C158" s="95" t="s">
        <v>36</v>
      </c>
      <c r="D158" s="96" t="s">
        <v>830</v>
      </c>
      <c r="E158" s="96" t="s">
        <v>1651</v>
      </c>
      <c r="F158" s="96" t="s">
        <v>1652</v>
      </c>
      <c r="G158" s="96" t="s">
        <v>79</v>
      </c>
      <c r="H158" s="631" t="s">
        <v>1643</v>
      </c>
      <c r="I158" s="2142">
        <v>370</v>
      </c>
      <c r="J158" s="1650">
        <v>0</v>
      </c>
      <c r="K158" s="1651"/>
      <c r="L158" s="1652">
        <v>137</v>
      </c>
      <c r="M158" s="1659">
        <v>38280000</v>
      </c>
      <c r="N158" s="1593">
        <v>117</v>
      </c>
      <c r="O158" s="1604">
        <v>38280000</v>
      </c>
      <c r="P158" s="1655">
        <v>116</v>
      </c>
      <c r="Q158" s="1851"/>
      <c r="R158" s="1852">
        <v>928000</v>
      </c>
      <c r="S158" s="1852">
        <f>VLOOKUP(N158,[9]Hoja2!N$2:T$77,7,0)</f>
        <v>3480000</v>
      </c>
      <c r="T158" s="1852">
        <v>3480000</v>
      </c>
      <c r="U158" s="1852">
        <v>3480000</v>
      </c>
      <c r="V158" s="1852">
        <v>3480000</v>
      </c>
      <c r="W158" s="1852">
        <v>3480000</v>
      </c>
      <c r="X158" s="1852">
        <v>3480000</v>
      </c>
      <c r="Y158" s="1852">
        <v>3480000</v>
      </c>
      <c r="Z158" s="1852">
        <v>3480000</v>
      </c>
      <c r="AA158" s="1852">
        <v>3480000</v>
      </c>
      <c r="AB158" s="1949"/>
      <c r="AC158" s="1824">
        <f t="shared" si="59"/>
        <v>32248000</v>
      </c>
      <c r="AD158" s="1825">
        <f t="shared" si="60"/>
        <v>6032000</v>
      </c>
      <c r="AF158" s="848">
        <v>370</v>
      </c>
      <c r="AG158" s="1291" t="s">
        <v>200</v>
      </c>
      <c r="AH158" s="1059" t="s">
        <v>555</v>
      </c>
      <c r="AI158" s="1048">
        <f t="shared" si="55"/>
        <v>116</v>
      </c>
      <c r="AJ158" s="849">
        <v>38280000</v>
      </c>
      <c r="AK158" s="851">
        <f t="shared" si="56"/>
        <v>0</v>
      </c>
      <c r="AL158" s="820"/>
      <c r="AM158" s="1518">
        <f t="shared" si="57"/>
        <v>0</v>
      </c>
    </row>
    <row r="159" spans="1:39" s="766" customFormat="1">
      <c r="A159" s="1463" t="s">
        <v>119</v>
      </c>
      <c r="B159" s="1969">
        <f t="shared" si="58"/>
        <v>34100000</v>
      </c>
      <c r="C159" s="95" t="s">
        <v>36</v>
      </c>
      <c r="D159" s="96" t="s">
        <v>830</v>
      </c>
      <c r="E159" s="96" t="s">
        <v>1651</v>
      </c>
      <c r="F159" s="96" t="s">
        <v>1652</v>
      </c>
      <c r="G159" s="96" t="s">
        <v>79</v>
      </c>
      <c r="H159" s="631" t="s">
        <v>1643</v>
      </c>
      <c r="I159" s="2142">
        <v>371</v>
      </c>
      <c r="J159" s="1650">
        <v>0</v>
      </c>
      <c r="K159" s="1651"/>
      <c r="L159" s="1652">
        <v>121</v>
      </c>
      <c r="M159" s="1659">
        <v>34100000</v>
      </c>
      <c r="N159" s="1593">
        <v>113</v>
      </c>
      <c r="O159" s="1604">
        <v>34100000</v>
      </c>
      <c r="P159" s="1655">
        <v>96</v>
      </c>
      <c r="Q159" s="1851"/>
      <c r="R159" s="1852">
        <v>930000</v>
      </c>
      <c r="S159" s="1852">
        <f>VLOOKUP(N159,[9]Hoja2!N$2:T$77,7,0)</f>
        <v>3100000</v>
      </c>
      <c r="T159" s="1852">
        <v>3100000</v>
      </c>
      <c r="U159" s="1852">
        <v>3100000</v>
      </c>
      <c r="V159" s="1852">
        <v>3100000</v>
      </c>
      <c r="W159" s="1852">
        <v>3100000</v>
      </c>
      <c r="X159" s="1852">
        <v>3100000</v>
      </c>
      <c r="Y159" s="1852">
        <v>3100000</v>
      </c>
      <c r="Z159" s="1852">
        <v>3100000</v>
      </c>
      <c r="AA159" s="1852">
        <v>3100000</v>
      </c>
      <c r="AB159" s="1949">
        <f>3100000+2170000</f>
        <v>5270000</v>
      </c>
      <c r="AC159" s="1824">
        <f t="shared" si="59"/>
        <v>34100000</v>
      </c>
      <c r="AD159" s="1825">
        <f t="shared" si="60"/>
        <v>0</v>
      </c>
      <c r="AF159" s="848">
        <v>371</v>
      </c>
      <c r="AG159" s="1291" t="s">
        <v>201</v>
      </c>
      <c r="AH159" s="1059" t="s">
        <v>556</v>
      </c>
      <c r="AI159" s="1048">
        <f t="shared" si="55"/>
        <v>96</v>
      </c>
      <c r="AJ159" s="849">
        <v>34100000</v>
      </c>
      <c r="AK159" s="851">
        <f t="shared" si="56"/>
        <v>0</v>
      </c>
      <c r="AL159" s="820"/>
      <c r="AM159" s="1518">
        <f t="shared" si="57"/>
        <v>0</v>
      </c>
    </row>
    <row r="160" spans="1:39" s="766" customFormat="1">
      <c r="A160" s="1463" t="s">
        <v>119</v>
      </c>
      <c r="B160" s="1969">
        <f t="shared" si="58"/>
        <v>4030000</v>
      </c>
      <c r="C160" s="95" t="s">
        <v>36</v>
      </c>
      <c r="D160" s="96" t="s">
        <v>830</v>
      </c>
      <c r="E160" s="96" t="s">
        <v>1651</v>
      </c>
      <c r="F160" s="96" t="s">
        <v>1652</v>
      </c>
      <c r="G160" s="96" t="s">
        <v>79</v>
      </c>
      <c r="H160" s="631" t="s">
        <v>1643</v>
      </c>
      <c r="I160" s="2142" t="s">
        <v>325</v>
      </c>
      <c r="J160" s="1650">
        <v>785</v>
      </c>
      <c r="K160" s="1651">
        <v>4030000</v>
      </c>
      <c r="L160" s="1652">
        <v>883</v>
      </c>
      <c r="M160" s="1659">
        <v>4030000</v>
      </c>
      <c r="N160" s="1652">
        <v>1141</v>
      </c>
      <c r="O160" s="1604">
        <v>4030000</v>
      </c>
      <c r="P160" s="1655">
        <v>96</v>
      </c>
      <c r="Q160" s="1851"/>
      <c r="R160" s="1852"/>
      <c r="S160" s="1852"/>
      <c r="T160" s="1852"/>
      <c r="U160" s="1852"/>
      <c r="V160" s="1852"/>
      <c r="W160" s="1852"/>
      <c r="X160" s="1852"/>
      <c r="Y160" s="1852"/>
      <c r="Z160" s="1852"/>
      <c r="AA160" s="1852"/>
      <c r="AB160" s="1949">
        <v>930000</v>
      </c>
      <c r="AC160" s="1824">
        <f t="shared" si="59"/>
        <v>930000</v>
      </c>
      <c r="AD160" s="1825">
        <f t="shared" si="60"/>
        <v>3100000</v>
      </c>
      <c r="AF160" s="848" t="s">
        <v>325</v>
      </c>
      <c r="AG160" s="1291" t="s">
        <v>1486</v>
      </c>
      <c r="AH160" s="1059" t="s">
        <v>556</v>
      </c>
      <c r="AI160" s="1048">
        <f t="shared" si="55"/>
        <v>96</v>
      </c>
      <c r="AJ160" s="849">
        <v>4030000</v>
      </c>
      <c r="AK160" s="851">
        <f t="shared" si="56"/>
        <v>0</v>
      </c>
      <c r="AL160" s="820"/>
      <c r="AM160" s="1518">
        <f t="shared" si="57"/>
        <v>0</v>
      </c>
    </row>
    <row r="161" spans="1:39" s="766" customFormat="1" ht="14.25" customHeight="1">
      <c r="A161" s="1463" t="s">
        <v>119</v>
      </c>
      <c r="B161" s="1969">
        <f t="shared" si="58"/>
        <v>22800000</v>
      </c>
      <c r="C161" s="95" t="s">
        <v>36</v>
      </c>
      <c r="D161" s="96" t="s">
        <v>830</v>
      </c>
      <c r="E161" s="96" t="s">
        <v>1651</v>
      </c>
      <c r="F161" s="96" t="s">
        <v>1652</v>
      </c>
      <c r="G161" s="96" t="s">
        <v>79</v>
      </c>
      <c r="H161" s="631" t="s">
        <v>1643</v>
      </c>
      <c r="I161" s="2142">
        <v>372</v>
      </c>
      <c r="J161" s="1650">
        <v>0</v>
      </c>
      <c r="K161" s="1651"/>
      <c r="L161" s="1652">
        <v>319</v>
      </c>
      <c r="M161" s="1659">
        <v>22800000</v>
      </c>
      <c r="N161" s="1703">
        <v>338</v>
      </c>
      <c r="O161" s="1604">
        <v>22800000</v>
      </c>
      <c r="P161" s="1655">
        <v>276</v>
      </c>
      <c r="Q161" s="1851"/>
      <c r="R161" s="1852"/>
      <c r="S161" s="1852"/>
      <c r="T161" s="1852">
        <v>2470000</v>
      </c>
      <c r="U161" s="1852">
        <v>2850000</v>
      </c>
      <c r="V161" s="1852">
        <v>2850000</v>
      </c>
      <c r="W161" s="1852">
        <v>2850000</v>
      </c>
      <c r="X161" s="1852">
        <v>2850000</v>
      </c>
      <c r="Y161" s="1852">
        <v>2850000</v>
      </c>
      <c r="Z161" s="1852">
        <v>2850000</v>
      </c>
      <c r="AA161" s="1852">
        <v>2850000</v>
      </c>
      <c r="AB161" s="1949">
        <v>380000</v>
      </c>
      <c r="AC161" s="1824">
        <f t="shared" si="59"/>
        <v>22800000</v>
      </c>
      <c r="AD161" s="1825">
        <f t="shared" si="60"/>
        <v>0</v>
      </c>
      <c r="AF161" s="848">
        <v>372</v>
      </c>
      <c r="AG161" s="1291" t="s">
        <v>202</v>
      </c>
      <c r="AH161" s="1059" t="s">
        <v>794</v>
      </c>
      <c r="AI161" s="1048">
        <f t="shared" si="55"/>
        <v>276</v>
      </c>
      <c r="AJ161" s="849">
        <v>22800000</v>
      </c>
      <c r="AK161" s="851">
        <f t="shared" si="56"/>
        <v>0</v>
      </c>
      <c r="AL161" s="820"/>
      <c r="AM161" s="1518">
        <f t="shared" si="57"/>
        <v>0</v>
      </c>
    </row>
    <row r="162" spans="1:39" s="766" customFormat="1">
      <c r="A162" s="1463" t="s">
        <v>119</v>
      </c>
      <c r="B162" s="1969">
        <f t="shared" si="58"/>
        <v>5320000</v>
      </c>
      <c r="C162" s="95" t="s">
        <v>36</v>
      </c>
      <c r="D162" s="96" t="s">
        <v>830</v>
      </c>
      <c r="E162" s="96" t="s">
        <v>1651</v>
      </c>
      <c r="F162" s="96" t="s">
        <v>1652</v>
      </c>
      <c r="G162" s="96" t="s">
        <v>79</v>
      </c>
      <c r="H162" s="631" t="s">
        <v>1643</v>
      </c>
      <c r="I162" s="2142" t="s">
        <v>325</v>
      </c>
      <c r="J162" s="1650">
        <v>664</v>
      </c>
      <c r="K162" s="1651">
        <v>5320000</v>
      </c>
      <c r="L162" s="1652">
        <v>769</v>
      </c>
      <c r="M162" s="1659">
        <v>5320000</v>
      </c>
      <c r="N162" s="1703">
        <v>936</v>
      </c>
      <c r="O162" s="1604">
        <v>5320000</v>
      </c>
      <c r="P162" s="1655">
        <v>276</v>
      </c>
      <c r="Q162" s="1851"/>
      <c r="R162" s="1852"/>
      <c r="S162" s="1852"/>
      <c r="T162" s="1852"/>
      <c r="U162" s="1852"/>
      <c r="V162" s="1852"/>
      <c r="W162" s="1852"/>
      <c r="X162" s="1852"/>
      <c r="Y162" s="1852"/>
      <c r="Z162" s="1852"/>
      <c r="AA162" s="1852"/>
      <c r="AB162" s="1949">
        <f>2470000+2850000</f>
        <v>5320000</v>
      </c>
      <c r="AC162" s="1824">
        <f t="shared" si="59"/>
        <v>5320000</v>
      </c>
      <c r="AD162" s="1825">
        <f t="shared" si="60"/>
        <v>0</v>
      </c>
      <c r="AF162" s="848" t="s">
        <v>325</v>
      </c>
      <c r="AG162" s="1291" t="s">
        <v>1321</v>
      </c>
      <c r="AH162" s="1059" t="s">
        <v>794</v>
      </c>
      <c r="AI162" s="1048">
        <f t="shared" si="55"/>
        <v>276</v>
      </c>
      <c r="AJ162" s="849">
        <v>5320000</v>
      </c>
      <c r="AK162" s="851">
        <f t="shared" si="56"/>
        <v>0</v>
      </c>
      <c r="AL162" s="820"/>
      <c r="AM162" s="1518">
        <f t="shared" si="57"/>
        <v>0</v>
      </c>
    </row>
    <row r="163" spans="1:39" s="766" customFormat="1">
      <c r="A163" s="1463" t="s">
        <v>119</v>
      </c>
      <c r="B163" s="1969">
        <f t="shared" si="58"/>
        <v>36000000</v>
      </c>
      <c r="C163" s="95" t="s">
        <v>36</v>
      </c>
      <c r="D163" s="96" t="s">
        <v>830</v>
      </c>
      <c r="E163" s="96" t="s">
        <v>1651</v>
      </c>
      <c r="F163" s="96" t="s">
        <v>1652</v>
      </c>
      <c r="G163" s="96" t="s">
        <v>79</v>
      </c>
      <c r="H163" s="631" t="s">
        <v>1643</v>
      </c>
      <c r="I163" s="2142">
        <v>373</v>
      </c>
      <c r="J163" s="1650">
        <v>0</v>
      </c>
      <c r="K163" s="1651"/>
      <c r="L163" s="1652">
        <v>37</v>
      </c>
      <c r="M163" s="1659">
        <v>36000000</v>
      </c>
      <c r="N163" s="1593">
        <v>28</v>
      </c>
      <c r="O163" s="1604">
        <v>36000000</v>
      </c>
      <c r="P163" s="1655">
        <v>17</v>
      </c>
      <c r="Q163" s="1851"/>
      <c r="R163" s="1852">
        <v>1680000</v>
      </c>
      <c r="S163" s="1852">
        <f>VLOOKUP(N163,[9]Hoja2!N$2:T$77,7,0)</f>
        <v>3600000</v>
      </c>
      <c r="T163" s="1852">
        <v>3600000</v>
      </c>
      <c r="U163" s="1852">
        <v>3600000</v>
      </c>
      <c r="V163" s="1852">
        <v>3600000</v>
      </c>
      <c r="W163" s="1852">
        <v>3600000</v>
      </c>
      <c r="X163" s="1852">
        <v>3600000</v>
      </c>
      <c r="Y163" s="1852">
        <v>3600000</v>
      </c>
      <c r="Z163" s="1852">
        <v>3600000</v>
      </c>
      <c r="AA163" s="1852">
        <v>3600000</v>
      </c>
      <c r="AB163" s="1949">
        <v>1920000</v>
      </c>
      <c r="AC163" s="1824">
        <f t="shared" si="59"/>
        <v>36000000</v>
      </c>
      <c r="AD163" s="1825">
        <f t="shared" si="60"/>
        <v>0</v>
      </c>
      <c r="AF163" s="848">
        <v>373</v>
      </c>
      <c r="AG163" s="1291" t="s">
        <v>203</v>
      </c>
      <c r="AH163" s="1059" t="s">
        <v>557</v>
      </c>
      <c r="AI163" s="1048">
        <f t="shared" si="55"/>
        <v>17</v>
      </c>
      <c r="AJ163" s="849">
        <f>38170000-2170000</f>
        <v>36000000</v>
      </c>
      <c r="AK163" s="851">
        <f t="shared" si="56"/>
        <v>0</v>
      </c>
      <c r="AL163" s="820"/>
      <c r="AM163" s="1518">
        <f t="shared" si="57"/>
        <v>0</v>
      </c>
    </row>
    <row r="164" spans="1:39" s="766" customFormat="1">
      <c r="A164" s="1463" t="s">
        <v>119</v>
      </c>
      <c r="B164" s="1969">
        <f t="shared" si="58"/>
        <v>5280000</v>
      </c>
      <c r="C164" s="95" t="s">
        <v>36</v>
      </c>
      <c r="D164" s="96" t="s">
        <v>830</v>
      </c>
      <c r="E164" s="96" t="s">
        <v>1651</v>
      </c>
      <c r="F164" s="96" t="s">
        <v>1652</v>
      </c>
      <c r="G164" s="96" t="s">
        <v>79</v>
      </c>
      <c r="H164" s="631" t="s">
        <v>1643</v>
      </c>
      <c r="I164" s="2142" t="s">
        <v>325</v>
      </c>
      <c r="J164" s="1650">
        <v>696</v>
      </c>
      <c r="K164" s="1651">
        <v>5280000</v>
      </c>
      <c r="L164" s="1652">
        <v>800</v>
      </c>
      <c r="M164" s="1659">
        <v>5280000</v>
      </c>
      <c r="N164" s="1652">
        <v>963</v>
      </c>
      <c r="O164" s="1604">
        <v>5280000</v>
      </c>
      <c r="P164" s="1655">
        <v>17</v>
      </c>
      <c r="Q164" s="1851"/>
      <c r="R164" s="1852"/>
      <c r="S164" s="1852"/>
      <c r="T164" s="1852"/>
      <c r="U164" s="1852"/>
      <c r="V164" s="1852"/>
      <c r="W164" s="1852"/>
      <c r="X164" s="1852"/>
      <c r="Y164" s="1852"/>
      <c r="Z164" s="1852"/>
      <c r="AA164" s="1852"/>
      <c r="AB164" s="1949">
        <f>1680000+3600000</f>
        <v>5280000</v>
      </c>
      <c r="AC164" s="1824">
        <f t="shared" si="59"/>
        <v>5280000</v>
      </c>
      <c r="AD164" s="1825">
        <f t="shared" si="60"/>
        <v>0</v>
      </c>
      <c r="AF164" s="848" t="s">
        <v>325</v>
      </c>
      <c r="AG164" s="1291" t="s">
        <v>1407</v>
      </c>
      <c r="AH164" s="1059" t="s">
        <v>557</v>
      </c>
      <c r="AI164" s="1048">
        <f t="shared" si="55"/>
        <v>17</v>
      </c>
      <c r="AJ164" s="849">
        <v>5280000</v>
      </c>
      <c r="AK164" s="851">
        <f t="shared" si="56"/>
        <v>0</v>
      </c>
      <c r="AL164" s="820"/>
      <c r="AM164" s="1518">
        <f t="shared" si="57"/>
        <v>0</v>
      </c>
    </row>
    <row r="165" spans="1:39" s="766" customFormat="1">
      <c r="A165" s="1463" t="s">
        <v>119</v>
      </c>
      <c r="B165" s="1969">
        <f t="shared" si="58"/>
        <v>72000000</v>
      </c>
      <c r="C165" s="95" t="s">
        <v>36</v>
      </c>
      <c r="D165" s="96" t="s">
        <v>830</v>
      </c>
      <c r="E165" s="96" t="s">
        <v>1651</v>
      </c>
      <c r="F165" s="96" t="s">
        <v>1652</v>
      </c>
      <c r="G165" s="96" t="s">
        <v>79</v>
      </c>
      <c r="H165" s="631" t="s">
        <v>1643</v>
      </c>
      <c r="I165" s="2142">
        <v>374</v>
      </c>
      <c r="J165" s="1650">
        <v>0</v>
      </c>
      <c r="K165" s="1651"/>
      <c r="L165" s="1652">
        <v>376</v>
      </c>
      <c r="M165" s="1659">
        <f>75200000-3200000</f>
        <v>72000000</v>
      </c>
      <c r="N165" s="1703">
        <v>384</v>
      </c>
      <c r="O165" s="1604">
        <v>72000000</v>
      </c>
      <c r="P165" s="1704">
        <v>300</v>
      </c>
      <c r="Q165" s="1851"/>
      <c r="R165" s="1852"/>
      <c r="S165" s="1852"/>
      <c r="T165" s="1852">
        <v>2666667</v>
      </c>
      <c r="U165" s="1852">
        <v>8000000</v>
      </c>
      <c r="V165" s="1852">
        <v>8000000</v>
      </c>
      <c r="W165" s="1852">
        <v>8000000</v>
      </c>
      <c r="X165" s="1852">
        <v>8000000</v>
      </c>
      <c r="Y165" s="1852">
        <v>8000000</v>
      </c>
      <c r="Z165" s="1852">
        <v>8000000</v>
      </c>
      <c r="AA165" s="1852">
        <v>8000000</v>
      </c>
      <c r="AB165" s="1949">
        <v>8000000</v>
      </c>
      <c r="AC165" s="1824">
        <f t="shared" si="59"/>
        <v>66666667</v>
      </c>
      <c r="AD165" s="1825">
        <f t="shared" si="60"/>
        <v>5333333</v>
      </c>
      <c r="AF165" s="848">
        <v>374</v>
      </c>
      <c r="AG165" s="1291" t="s">
        <v>204</v>
      </c>
      <c r="AH165" s="1059" t="s">
        <v>815</v>
      </c>
      <c r="AI165" s="1048">
        <f t="shared" si="55"/>
        <v>300</v>
      </c>
      <c r="AJ165" s="849">
        <f>61160000+18840000-8000000</f>
        <v>72000000</v>
      </c>
      <c r="AK165" s="851">
        <f t="shared" si="56"/>
        <v>0</v>
      </c>
      <c r="AL165" s="820"/>
      <c r="AM165" s="1518">
        <f t="shared" si="57"/>
        <v>0</v>
      </c>
    </row>
    <row r="166" spans="1:39" s="766" customFormat="1">
      <c r="A166" s="1463" t="s">
        <v>119</v>
      </c>
      <c r="B166" s="1969">
        <f t="shared" si="58"/>
        <v>59580000</v>
      </c>
      <c r="C166" s="95" t="s">
        <v>36</v>
      </c>
      <c r="D166" s="96" t="s">
        <v>830</v>
      </c>
      <c r="E166" s="96" t="s">
        <v>1651</v>
      </c>
      <c r="F166" s="96" t="s">
        <v>1652</v>
      </c>
      <c r="G166" s="96" t="s">
        <v>79</v>
      </c>
      <c r="H166" s="631" t="s">
        <v>1643</v>
      </c>
      <c r="I166" s="2142">
        <v>375</v>
      </c>
      <c r="J166" s="1650">
        <v>0</v>
      </c>
      <c r="K166" s="1651"/>
      <c r="L166" s="1652">
        <v>211</v>
      </c>
      <c r="M166" s="1659">
        <v>59580000</v>
      </c>
      <c r="N166" s="1593">
        <v>248</v>
      </c>
      <c r="O166" s="1604">
        <v>59580000</v>
      </c>
      <c r="P166" s="1655">
        <v>219</v>
      </c>
      <c r="Q166" s="1851"/>
      <c r="R166" s="1852"/>
      <c r="S166" s="1852">
        <f>VLOOKUP(N166,[9]Hoja2!N$2:T$77,7,0)</f>
        <v>5075333</v>
      </c>
      <c r="T166" s="1852">
        <v>6620000</v>
      </c>
      <c r="U166" s="1852">
        <v>6620000</v>
      </c>
      <c r="V166" s="1852">
        <v>6620000</v>
      </c>
      <c r="W166" s="1852">
        <v>6620000</v>
      </c>
      <c r="X166" s="1852">
        <v>6620000</v>
      </c>
      <c r="Y166" s="1852">
        <v>6620000</v>
      </c>
      <c r="Z166" s="1852">
        <v>6620000</v>
      </c>
      <c r="AA166" s="1852">
        <v>6620000</v>
      </c>
      <c r="AB166" s="1949">
        <v>1544667</v>
      </c>
      <c r="AC166" s="1824">
        <f t="shared" si="59"/>
        <v>59580000</v>
      </c>
      <c r="AD166" s="1825">
        <f t="shared" si="60"/>
        <v>0</v>
      </c>
      <c r="AF166" s="848">
        <v>375</v>
      </c>
      <c r="AG166" s="1291" t="s">
        <v>205</v>
      </c>
      <c r="AH166" s="1059" t="s">
        <v>732</v>
      </c>
      <c r="AI166" s="1048">
        <f t="shared" si="55"/>
        <v>219</v>
      </c>
      <c r="AJ166" s="849">
        <v>59580000</v>
      </c>
      <c r="AK166" s="851">
        <f t="shared" si="56"/>
        <v>0</v>
      </c>
      <c r="AL166" s="820"/>
      <c r="AM166" s="1518">
        <f t="shared" si="57"/>
        <v>0</v>
      </c>
    </row>
    <row r="167" spans="1:39" s="766" customFormat="1">
      <c r="A167" s="1463" t="s">
        <v>119</v>
      </c>
      <c r="B167" s="1969">
        <f t="shared" si="58"/>
        <v>11474667</v>
      </c>
      <c r="C167" s="95" t="s">
        <v>36</v>
      </c>
      <c r="D167" s="96" t="s">
        <v>830</v>
      </c>
      <c r="E167" s="96" t="s">
        <v>1651</v>
      </c>
      <c r="F167" s="96" t="s">
        <v>1652</v>
      </c>
      <c r="G167" s="96" t="s">
        <v>79</v>
      </c>
      <c r="H167" s="631" t="s">
        <v>1643</v>
      </c>
      <c r="I167" s="2142" t="s">
        <v>325</v>
      </c>
      <c r="J167" s="1650">
        <v>670</v>
      </c>
      <c r="K167" s="1651">
        <v>11474667</v>
      </c>
      <c r="L167" s="1652">
        <v>767</v>
      </c>
      <c r="M167" s="1659">
        <v>11474667</v>
      </c>
      <c r="N167" s="1593">
        <v>952</v>
      </c>
      <c r="O167" s="1659">
        <v>11474667</v>
      </c>
      <c r="P167" s="1655">
        <v>219</v>
      </c>
      <c r="Q167" s="1851"/>
      <c r="R167" s="1852"/>
      <c r="S167" s="1852"/>
      <c r="T167" s="1852"/>
      <c r="U167" s="1852"/>
      <c r="V167" s="1852"/>
      <c r="W167" s="1852"/>
      <c r="X167" s="1852"/>
      <c r="Y167" s="1852"/>
      <c r="Z167" s="1852"/>
      <c r="AA167" s="1852"/>
      <c r="AB167" s="1949">
        <f>5075333+6399334</f>
        <v>11474667</v>
      </c>
      <c r="AC167" s="1824">
        <f t="shared" si="59"/>
        <v>11474667</v>
      </c>
      <c r="AD167" s="1825">
        <f t="shared" si="60"/>
        <v>0</v>
      </c>
      <c r="AF167" s="848" t="s">
        <v>325</v>
      </c>
      <c r="AG167" s="1291" t="s">
        <v>1319</v>
      </c>
      <c r="AH167" s="1059" t="s">
        <v>732</v>
      </c>
      <c r="AI167" s="1048">
        <f t="shared" si="55"/>
        <v>219</v>
      </c>
      <c r="AJ167" s="849">
        <v>11474667</v>
      </c>
      <c r="AK167" s="851">
        <f t="shared" si="56"/>
        <v>0</v>
      </c>
      <c r="AL167" s="820"/>
      <c r="AM167" s="1518">
        <f t="shared" si="57"/>
        <v>0</v>
      </c>
    </row>
    <row r="168" spans="1:39" s="766" customFormat="1">
      <c r="A168" s="1463" t="s">
        <v>119</v>
      </c>
      <c r="B168" s="1969">
        <f t="shared" si="58"/>
        <v>53010000</v>
      </c>
      <c r="C168" s="95" t="s">
        <v>36</v>
      </c>
      <c r="D168" s="96" t="s">
        <v>830</v>
      </c>
      <c r="E168" s="96" t="s">
        <v>1651</v>
      </c>
      <c r="F168" s="96" t="s">
        <v>1652</v>
      </c>
      <c r="G168" s="96" t="s">
        <v>79</v>
      </c>
      <c r="H168" s="631" t="s">
        <v>1643</v>
      </c>
      <c r="I168" s="2142">
        <v>376</v>
      </c>
      <c r="J168" s="1650">
        <v>0</v>
      </c>
      <c r="K168" s="1651"/>
      <c r="L168" s="1652">
        <v>212</v>
      </c>
      <c r="M168" s="1659">
        <v>53010000</v>
      </c>
      <c r="N168" s="1593">
        <v>250</v>
      </c>
      <c r="O168" s="1604">
        <v>53010000</v>
      </c>
      <c r="P168" s="1655">
        <v>223</v>
      </c>
      <c r="Q168" s="1851"/>
      <c r="R168" s="1852"/>
      <c r="S168" s="1852">
        <f>VLOOKUP(N168,[9]Hoja2!N$2:T$77,7,0)</f>
        <v>4515667</v>
      </c>
      <c r="T168" s="1852">
        <v>5890000</v>
      </c>
      <c r="U168" s="1852">
        <v>5890000</v>
      </c>
      <c r="V168" s="1852">
        <v>5890000</v>
      </c>
      <c r="W168" s="1852">
        <v>5890000</v>
      </c>
      <c r="X168" s="1852">
        <v>5890000</v>
      </c>
      <c r="Y168" s="1852">
        <v>5890000</v>
      </c>
      <c r="Z168" s="1852">
        <f>1767000+4123000</f>
        <v>5890000</v>
      </c>
      <c r="AA168" s="1852">
        <v>5890000</v>
      </c>
      <c r="AB168" s="1949">
        <v>1374333</v>
      </c>
      <c r="AC168" s="1824">
        <f t="shared" si="59"/>
        <v>53010000</v>
      </c>
      <c r="AD168" s="1825">
        <f t="shared" si="60"/>
        <v>0</v>
      </c>
      <c r="AF168" s="848">
        <v>376</v>
      </c>
      <c r="AG168" s="1291" t="s">
        <v>205</v>
      </c>
      <c r="AH168" s="1059" t="s">
        <v>733</v>
      </c>
      <c r="AI168" s="1048">
        <f t="shared" si="55"/>
        <v>223</v>
      </c>
      <c r="AJ168" s="849">
        <v>53010000</v>
      </c>
      <c r="AK168" s="851">
        <f t="shared" si="56"/>
        <v>0</v>
      </c>
      <c r="AL168" s="820"/>
      <c r="AM168" s="1518">
        <f t="shared" si="57"/>
        <v>0</v>
      </c>
    </row>
    <row r="169" spans="1:39" s="766" customFormat="1">
      <c r="A169" s="1463" t="s">
        <v>119</v>
      </c>
      <c r="B169" s="1969">
        <f t="shared" si="58"/>
        <v>10405667</v>
      </c>
      <c r="C169" s="95" t="s">
        <v>36</v>
      </c>
      <c r="D169" s="96" t="s">
        <v>830</v>
      </c>
      <c r="E169" s="96" t="s">
        <v>1651</v>
      </c>
      <c r="F169" s="96" t="s">
        <v>1652</v>
      </c>
      <c r="G169" s="96" t="s">
        <v>79</v>
      </c>
      <c r="H169" s="631" t="s">
        <v>1643</v>
      </c>
      <c r="I169" s="2142" t="s">
        <v>325</v>
      </c>
      <c r="J169" s="1650">
        <v>671</v>
      </c>
      <c r="K169" s="1651">
        <v>10405667</v>
      </c>
      <c r="L169" s="1652">
        <v>768</v>
      </c>
      <c r="M169" s="1659">
        <v>10405667</v>
      </c>
      <c r="N169" s="1652">
        <v>951</v>
      </c>
      <c r="O169" s="1659">
        <v>10405667</v>
      </c>
      <c r="P169" s="1655">
        <v>223</v>
      </c>
      <c r="Q169" s="1851"/>
      <c r="R169" s="1852"/>
      <c r="S169" s="1852"/>
      <c r="T169" s="1852"/>
      <c r="U169" s="1852"/>
      <c r="V169" s="1852"/>
      <c r="W169" s="1852"/>
      <c r="X169" s="1852"/>
      <c r="Y169" s="1852"/>
      <c r="Z169" s="1852"/>
      <c r="AA169" s="1852"/>
      <c r="AB169" s="1949">
        <f>4515667+5890000</f>
        <v>10405667</v>
      </c>
      <c r="AC169" s="1824">
        <f t="shared" si="59"/>
        <v>10405667</v>
      </c>
      <c r="AD169" s="1825">
        <f t="shared" si="60"/>
        <v>0</v>
      </c>
      <c r="AF169" s="848" t="s">
        <v>325</v>
      </c>
      <c r="AG169" s="1291" t="s">
        <v>1320</v>
      </c>
      <c r="AH169" s="1059" t="s">
        <v>1418</v>
      </c>
      <c r="AI169" s="1048">
        <f t="shared" si="55"/>
        <v>223</v>
      </c>
      <c r="AJ169" s="849">
        <v>10405667</v>
      </c>
      <c r="AK169" s="851">
        <f t="shared" si="56"/>
        <v>0</v>
      </c>
      <c r="AL169" s="820"/>
      <c r="AM169" s="1518">
        <f t="shared" si="57"/>
        <v>0</v>
      </c>
    </row>
    <row r="170" spans="1:39" s="766" customFormat="1">
      <c r="A170" s="1463" t="s">
        <v>119</v>
      </c>
      <c r="B170" s="1969">
        <f t="shared" si="58"/>
        <v>49500000</v>
      </c>
      <c r="C170" s="95" t="s">
        <v>36</v>
      </c>
      <c r="D170" s="96" t="s">
        <v>830</v>
      </c>
      <c r="E170" s="96" t="s">
        <v>1651</v>
      </c>
      <c r="F170" s="96" t="s">
        <v>1652</v>
      </c>
      <c r="G170" s="96" t="s">
        <v>79</v>
      </c>
      <c r="H170" s="631" t="s">
        <v>1643</v>
      </c>
      <c r="I170" s="2142">
        <v>377</v>
      </c>
      <c r="J170" s="1650">
        <v>0</v>
      </c>
      <c r="K170" s="1651"/>
      <c r="L170" s="1652">
        <v>290</v>
      </c>
      <c r="M170" s="1659">
        <v>49500000</v>
      </c>
      <c r="N170" s="1652">
        <v>321</v>
      </c>
      <c r="O170" s="1659">
        <v>49500000</v>
      </c>
      <c r="P170" s="1655">
        <v>255</v>
      </c>
      <c r="Q170" s="1851"/>
      <c r="R170" s="1852"/>
      <c r="S170" s="1852"/>
      <c r="T170" s="1852">
        <v>6416667</v>
      </c>
      <c r="U170" s="1852">
        <v>5500000</v>
      </c>
      <c r="V170" s="1852">
        <v>5500000</v>
      </c>
      <c r="W170" s="1852">
        <v>5500000</v>
      </c>
      <c r="X170" s="1852">
        <v>5500000</v>
      </c>
      <c r="Y170" s="1852">
        <v>5500000</v>
      </c>
      <c r="Z170" s="1852">
        <v>5500000</v>
      </c>
      <c r="AA170" s="1852">
        <v>5500000</v>
      </c>
      <c r="AB170" s="1949">
        <v>4583333</v>
      </c>
      <c r="AC170" s="1824">
        <f t="shared" si="59"/>
        <v>49500000</v>
      </c>
      <c r="AD170" s="1825">
        <f t="shared" si="60"/>
        <v>0</v>
      </c>
      <c r="AF170" s="848">
        <v>377</v>
      </c>
      <c r="AG170" s="1291" t="s">
        <v>205</v>
      </c>
      <c r="AH170" s="1059" t="s">
        <v>775</v>
      </c>
      <c r="AI170" s="1048">
        <f t="shared" si="55"/>
        <v>255</v>
      </c>
      <c r="AJ170" s="849">
        <f>53010000-3510000</f>
        <v>49500000</v>
      </c>
      <c r="AK170" s="851">
        <f t="shared" si="56"/>
        <v>0</v>
      </c>
      <c r="AL170" s="820"/>
      <c r="AM170" s="1518">
        <f t="shared" si="57"/>
        <v>0</v>
      </c>
    </row>
    <row r="171" spans="1:39" s="766" customFormat="1">
      <c r="A171" s="1463" t="s">
        <v>119</v>
      </c>
      <c r="B171" s="1969">
        <f t="shared" si="58"/>
        <v>6416667</v>
      </c>
      <c r="C171" s="95" t="s">
        <v>36</v>
      </c>
      <c r="D171" s="96" t="s">
        <v>830</v>
      </c>
      <c r="E171" s="96" t="s">
        <v>1651</v>
      </c>
      <c r="F171" s="96" t="s">
        <v>1652</v>
      </c>
      <c r="G171" s="96" t="s">
        <v>79</v>
      </c>
      <c r="H171" s="631" t="s">
        <v>1643</v>
      </c>
      <c r="I171" s="2142" t="s">
        <v>325</v>
      </c>
      <c r="J171" s="1650">
        <v>704</v>
      </c>
      <c r="K171" s="1651">
        <v>6416667</v>
      </c>
      <c r="L171" s="1652">
        <v>817</v>
      </c>
      <c r="M171" s="1651">
        <v>6416667</v>
      </c>
      <c r="N171" s="1652">
        <v>989</v>
      </c>
      <c r="O171" s="1659">
        <v>6416667</v>
      </c>
      <c r="P171" s="1655">
        <v>255</v>
      </c>
      <c r="Q171" s="1851"/>
      <c r="R171" s="1852"/>
      <c r="S171" s="1852"/>
      <c r="T171" s="1852"/>
      <c r="U171" s="1852"/>
      <c r="V171" s="1852"/>
      <c r="W171" s="1852"/>
      <c r="X171" s="1852"/>
      <c r="Y171" s="1852"/>
      <c r="Z171" s="1852"/>
      <c r="AA171" s="1852"/>
      <c r="AB171" s="1949">
        <f>916667+5500000</f>
        <v>6416667</v>
      </c>
      <c r="AC171" s="1824">
        <f t="shared" si="59"/>
        <v>6416667</v>
      </c>
      <c r="AD171" s="1825">
        <f t="shared" si="60"/>
        <v>0</v>
      </c>
      <c r="AF171" s="848" t="s">
        <v>325</v>
      </c>
      <c r="AG171" s="1291" t="s">
        <v>1408</v>
      </c>
      <c r="AH171" s="1059" t="s">
        <v>775</v>
      </c>
      <c r="AI171" s="1048">
        <f t="shared" si="55"/>
        <v>255</v>
      </c>
      <c r="AJ171" s="849">
        <v>6416667</v>
      </c>
      <c r="AK171" s="851">
        <f t="shared" si="56"/>
        <v>0</v>
      </c>
      <c r="AL171" s="820"/>
      <c r="AM171" s="1518">
        <f t="shared" si="57"/>
        <v>0</v>
      </c>
    </row>
    <row r="172" spans="1:39" s="766" customFormat="1">
      <c r="A172" s="1463" t="s">
        <v>119</v>
      </c>
      <c r="B172" s="1969">
        <f t="shared" si="58"/>
        <v>46000000</v>
      </c>
      <c r="C172" s="95" t="s">
        <v>36</v>
      </c>
      <c r="D172" s="96" t="s">
        <v>830</v>
      </c>
      <c r="E172" s="96" t="s">
        <v>1651</v>
      </c>
      <c r="F172" s="96" t="s">
        <v>1652</v>
      </c>
      <c r="G172" s="96" t="s">
        <v>79</v>
      </c>
      <c r="H172" s="631" t="s">
        <v>1643</v>
      </c>
      <c r="I172" s="2142">
        <v>378</v>
      </c>
      <c r="J172" s="1650">
        <v>0</v>
      </c>
      <c r="K172" s="1651"/>
      <c r="L172" s="1652">
        <v>234</v>
      </c>
      <c r="M172" s="1659">
        <v>46000000</v>
      </c>
      <c r="N172" s="1593">
        <v>216</v>
      </c>
      <c r="O172" s="1604">
        <v>46000000</v>
      </c>
      <c r="P172" s="1655">
        <v>210</v>
      </c>
      <c r="Q172" s="1851"/>
      <c r="R172" s="1852"/>
      <c r="S172" s="1852">
        <f>VLOOKUP(N172,[9]Hoja2!N$2:T$77,7,0)</f>
        <v>4140000</v>
      </c>
      <c r="T172" s="1852">
        <v>4600000</v>
      </c>
      <c r="U172" s="1852">
        <v>4600000</v>
      </c>
      <c r="V172" s="1852">
        <v>4600000</v>
      </c>
      <c r="W172" s="1852">
        <v>5113333</v>
      </c>
      <c r="X172" s="1852">
        <v>6000000</v>
      </c>
      <c r="Y172" s="1852">
        <v>4600000</v>
      </c>
      <c r="Z172" s="1852">
        <v>4600000</v>
      </c>
      <c r="AA172" s="1852">
        <v>4600000</v>
      </c>
      <c r="AB172" s="1949">
        <f>2860606+286061</f>
        <v>3146667</v>
      </c>
      <c r="AC172" s="1824">
        <f t="shared" si="59"/>
        <v>46000000</v>
      </c>
      <c r="AD172" s="1825">
        <f t="shared" si="60"/>
        <v>0</v>
      </c>
      <c r="AF172" s="848">
        <v>378</v>
      </c>
      <c r="AG172" s="1291" t="s">
        <v>206</v>
      </c>
      <c r="AH172" s="1059" t="s">
        <v>736</v>
      </c>
      <c r="AI172" s="1048">
        <f t="shared" si="55"/>
        <v>210</v>
      </c>
      <c r="AJ172" s="849">
        <f>58700000-12700000</f>
        <v>46000000</v>
      </c>
      <c r="AK172" s="851">
        <f t="shared" si="56"/>
        <v>0</v>
      </c>
      <c r="AL172" s="820"/>
      <c r="AM172" s="1518">
        <f t="shared" si="57"/>
        <v>0</v>
      </c>
    </row>
    <row r="173" spans="1:39" s="766" customFormat="1">
      <c r="A173" s="1463" t="s">
        <v>119</v>
      </c>
      <c r="B173" s="1969">
        <f t="shared" si="58"/>
        <v>7793333</v>
      </c>
      <c r="C173" s="95" t="s">
        <v>36</v>
      </c>
      <c r="D173" s="96" t="s">
        <v>830</v>
      </c>
      <c r="E173" s="96" t="s">
        <v>1651</v>
      </c>
      <c r="F173" s="96" t="s">
        <v>1652</v>
      </c>
      <c r="G173" s="96" t="s">
        <v>79</v>
      </c>
      <c r="H173" s="631" t="s">
        <v>1643</v>
      </c>
      <c r="I173" s="2142" t="s">
        <v>173</v>
      </c>
      <c r="J173" s="1650"/>
      <c r="K173" s="1651"/>
      <c r="L173" s="1652">
        <v>525</v>
      </c>
      <c r="M173" s="1659">
        <f>9940000-2146667</f>
        <v>7793333</v>
      </c>
      <c r="N173" s="1593">
        <v>627</v>
      </c>
      <c r="O173" s="1604">
        <v>7793333</v>
      </c>
      <c r="P173" s="1655">
        <v>210</v>
      </c>
      <c r="Q173" s="1851"/>
      <c r="R173" s="1852"/>
      <c r="S173" s="1852"/>
      <c r="T173" s="1852"/>
      <c r="U173" s="1852"/>
      <c r="V173" s="1852"/>
      <c r="W173" s="1852"/>
      <c r="X173" s="1852"/>
      <c r="Y173" s="1852">
        <v>1400000</v>
      </c>
      <c r="Z173" s="1852">
        <v>1400000</v>
      </c>
      <c r="AA173" s="1852">
        <v>1400000</v>
      </c>
      <c r="AB173" s="1949">
        <f>3139394+453939</f>
        <v>3593333</v>
      </c>
      <c r="AC173" s="1824">
        <f t="shared" si="59"/>
        <v>7793333</v>
      </c>
      <c r="AD173" s="1825">
        <f t="shared" si="60"/>
        <v>0</v>
      </c>
      <c r="AF173" s="848" t="s">
        <v>325</v>
      </c>
      <c r="AG173" s="1291" t="s">
        <v>1025</v>
      </c>
      <c r="AH173" s="1059" t="s">
        <v>736</v>
      </c>
      <c r="AI173" s="1048">
        <f t="shared" si="55"/>
        <v>210</v>
      </c>
      <c r="AJ173" s="849">
        <f>9940000-2146667</f>
        <v>7793333</v>
      </c>
      <c r="AK173" s="851">
        <f t="shared" si="56"/>
        <v>0</v>
      </c>
      <c r="AL173" s="820"/>
      <c r="AM173" s="1518">
        <f t="shared" si="57"/>
        <v>0</v>
      </c>
    </row>
    <row r="174" spans="1:39" s="766" customFormat="1">
      <c r="A174" s="1463" t="s">
        <v>119</v>
      </c>
      <c r="B174" s="1969">
        <f t="shared" si="58"/>
        <v>5400000</v>
      </c>
      <c r="C174" s="95" t="s">
        <v>36</v>
      </c>
      <c r="D174" s="96" t="s">
        <v>830</v>
      </c>
      <c r="E174" s="96" t="s">
        <v>1651</v>
      </c>
      <c r="F174" s="96" t="s">
        <v>1652</v>
      </c>
      <c r="G174" s="96" t="s">
        <v>79</v>
      </c>
      <c r="H174" s="631" t="s">
        <v>1643</v>
      </c>
      <c r="I174" s="2142" t="s">
        <v>325</v>
      </c>
      <c r="J174" s="1650">
        <v>737</v>
      </c>
      <c r="K174" s="1651">
        <v>5400000</v>
      </c>
      <c r="L174" s="1652">
        <v>846</v>
      </c>
      <c r="M174" s="1659">
        <v>5400000</v>
      </c>
      <c r="N174" s="1593">
        <v>1018</v>
      </c>
      <c r="O174" s="1604">
        <v>5400000</v>
      </c>
      <c r="P174" s="1655">
        <v>210</v>
      </c>
      <c r="Q174" s="1851"/>
      <c r="R174" s="1852"/>
      <c r="S174" s="1852"/>
      <c r="T174" s="1852"/>
      <c r="U174" s="1852"/>
      <c r="V174" s="1852"/>
      <c r="W174" s="1852"/>
      <c r="X174" s="1852"/>
      <c r="Y174" s="1852"/>
      <c r="Z174" s="1852"/>
      <c r="AA174" s="1852"/>
      <c r="AB174" s="1949">
        <v>5260000</v>
      </c>
      <c r="AC174" s="1824">
        <f t="shared" si="59"/>
        <v>5260000</v>
      </c>
      <c r="AD174" s="1825">
        <f t="shared" si="60"/>
        <v>140000</v>
      </c>
      <c r="AF174" s="848" t="s">
        <v>325</v>
      </c>
      <c r="AG174" s="1291" t="s">
        <v>1495</v>
      </c>
      <c r="AH174" s="1059" t="s">
        <v>736</v>
      </c>
      <c r="AI174" s="1048">
        <f t="shared" si="55"/>
        <v>210</v>
      </c>
      <c r="AJ174" s="849">
        <v>5400000</v>
      </c>
      <c r="AK174" s="851">
        <f t="shared" si="56"/>
        <v>0</v>
      </c>
      <c r="AL174" s="820"/>
      <c r="AM174" s="1518">
        <f t="shared" si="57"/>
        <v>0</v>
      </c>
    </row>
    <row r="175" spans="1:39" s="766" customFormat="1">
      <c r="A175" s="1463" t="s">
        <v>119</v>
      </c>
      <c r="B175" s="1969">
        <f t="shared" si="58"/>
        <v>54010000</v>
      </c>
      <c r="C175" s="95" t="s">
        <v>36</v>
      </c>
      <c r="D175" s="96" t="s">
        <v>830</v>
      </c>
      <c r="E175" s="96" t="s">
        <v>1651</v>
      </c>
      <c r="F175" s="96" t="s">
        <v>1652</v>
      </c>
      <c r="G175" s="96" t="s">
        <v>79</v>
      </c>
      <c r="H175" s="631" t="s">
        <v>1643</v>
      </c>
      <c r="I175" s="2142">
        <v>379</v>
      </c>
      <c r="J175" s="1650">
        <v>0</v>
      </c>
      <c r="K175" s="1651"/>
      <c r="L175" s="1652">
        <v>122</v>
      </c>
      <c r="M175" s="1659">
        <v>54010000</v>
      </c>
      <c r="N175" s="1593">
        <v>87</v>
      </c>
      <c r="O175" s="1604">
        <v>54010000</v>
      </c>
      <c r="P175" s="1655">
        <v>94</v>
      </c>
      <c r="Q175" s="1851"/>
      <c r="R175" s="1852">
        <v>1309333</v>
      </c>
      <c r="S175" s="1852">
        <f>VLOOKUP(N175,[9]Hoja2!N$2:T$77,7,0)</f>
        <v>4910000</v>
      </c>
      <c r="T175" s="1852">
        <v>4910000</v>
      </c>
      <c r="U175" s="1852">
        <v>4910000</v>
      </c>
      <c r="V175" s="1852">
        <v>4910000</v>
      </c>
      <c r="W175" s="1852">
        <v>4910000</v>
      </c>
      <c r="X175" s="1852">
        <v>4910000</v>
      </c>
      <c r="Y175" s="1852">
        <v>4910000</v>
      </c>
      <c r="Z175" s="1852">
        <v>4910000</v>
      </c>
      <c r="AA175" s="1852">
        <v>4910000</v>
      </c>
      <c r="AB175" s="1949">
        <f>4910000+3600667</f>
        <v>8510667</v>
      </c>
      <c r="AC175" s="1824">
        <f t="shared" si="59"/>
        <v>54010000</v>
      </c>
      <c r="AD175" s="1825">
        <f t="shared" si="60"/>
        <v>0</v>
      </c>
      <c r="AF175" s="848">
        <v>379</v>
      </c>
      <c r="AG175" s="1291" t="s">
        <v>207</v>
      </c>
      <c r="AH175" s="1059" t="s">
        <v>558</v>
      </c>
      <c r="AI175" s="1048">
        <f t="shared" si="55"/>
        <v>94</v>
      </c>
      <c r="AJ175" s="849">
        <v>54010000</v>
      </c>
      <c r="AK175" s="851">
        <f t="shared" si="56"/>
        <v>0</v>
      </c>
      <c r="AL175" s="820"/>
      <c r="AM175" s="1518">
        <f t="shared" si="57"/>
        <v>0</v>
      </c>
    </row>
    <row r="176" spans="1:39" s="766" customFormat="1">
      <c r="A176" s="1463" t="s">
        <v>119</v>
      </c>
      <c r="B176" s="1969">
        <f t="shared" si="58"/>
        <v>29600000</v>
      </c>
      <c r="C176" s="95" t="s">
        <v>36</v>
      </c>
      <c r="D176" s="96" t="s">
        <v>830</v>
      </c>
      <c r="E176" s="96" t="s">
        <v>1651</v>
      </c>
      <c r="F176" s="96" t="s">
        <v>1652</v>
      </c>
      <c r="G176" s="96" t="s">
        <v>79</v>
      </c>
      <c r="H176" s="631" t="s">
        <v>1643</v>
      </c>
      <c r="I176" s="2142">
        <v>380</v>
      </c>
      <c r="J176" s="1650">
        <v>0</v>
      </c>
      <c r="K176" s="1651"/>
      <c r="L176" s="1652">
        <v>416</v>
      </c>
      <c r="M176" s="1659">
        <v>29600000</v>
      </c>
      <c r="N176" s="1703">
        <v>437</v>
      </c>
      <c r="O176" s="1604">
        <v>29600000</v>
      </c>
      <c r="P176" s="1655">
        <v>318</v>
      </c>
      <c r="Q176" s="1851"/>
      <c r="R176" s="1852"/>
      <c r="S176" s="1852"/>
      <c r="T176" s="1852"/>
      <c r="U176" s="1852"/>
      <c r="V176" s="1852">
        <v>4810000</v>
      </c>
      <c r="W176" s="1852">
        <v>3700000</v>
      </c>
      <c r="X176" s="1852">
        <v>3700000</v>
      </c>
      <c r="Y176" s="1852">
        <v>3700000</v>
      </c>
      <c r="Z176" s="1852">
        <v>3700000</v>
      </c>
      <c r="AA176" s="1852">
        <v>3700000</v>
      </c>
      <c r="AB176" s="1949">
        <f>3700000+2590000</f>
        <v>6290000</v>
      </c>
      <c r="AC176" s="1824">
        <f t="shared" si="59"/>
        <v>29600000</v>
      </c>
      <c r="AD176" s="1825">
        <f t="shared" si="60"/>
        <v>0</v>
      </c>
      <c r="AF176" s="848">
        <v>380</v>
      </c>
      <c r="AG176" s="1291" t="s">
        <v>208</v>
      </c>
      <c r="AH176" s="1059" t="s">
        <v>907</v>
      </c>
      <c r="AI176" s="1048">
        <f t="shared" si="55"/>
        <v>318</v>
      </c>
      <c r="AJ176" s="849">
        <f>55000000-55000000+55000000-25400000</f>
        <v>29600000</v>
      </c>
      <c r="AK176" s="851">
        <f t="shared" si="56"/>
        <v>0</v>
      </c>
      <c r="AL176" s="820"/>
      <c r="AM176" s="1518">
        <f t="shared" si="57"/>
        <v>0</v>
      </c>
    </row>
    <row r="177" spans="1:39" s="766" customFormat="1">
      <c r="A177" s="1463" t="s">
        <v>119</v>
      </c>
      <c r="B177" s="1969">
        <f t="shared" si="58"/>
        <v>59580000</v>
      </c>
      <c r="C177" s="95" t="s">
        <v>36</v>
      </c>
      <c r="D177" s="96" t="s">
        <v>830</v>
      </c>
      <c r="E177" s="96" t="s">
        <v>1651</v>
      </c>
      <c r="F177" s="96" t="s">
        <v>1652</v>
      </c>
      <c r="G177" s="96" t="s">
        <v>79</v>
      </c>
      <c r="H177" s="631" t="s">
        <v>1643</v>
      </c>
      <c r="I177" s="2142">
        <v>381</v>
      </c>
      <c r="J177" s="1650">
        <v>0</v>
      </c>
      <c r="K177" s="1651"/>
      <c r="L177" s="1652">
        <v>138</v>
      </c>
      <c r="M177" s="1659">
        <v>59580000</v>
      </c>
      <c r="N177" s="1593">
        <v>123</v>
      </c>
      <c r="O177" s="1604">
        <v>59580000</v>
      </c>
      <c r="P177" s="1655">
        <v>127</v>
      </c>
      <c r="Q177" s="1851"/>
      <c r="R177" s="1852">
        <v>1765333</v>
      </c>
      <c r="S177" s="1852">
        <f>VLOOKUP(N177,[9]Hoja2!N$2:T$77,7,0)</f>
        <v>6620000</v>
      </c>
      <c r="T177" s="1852">
        <v>6620000</v>
      </c>
      <c r="U177" s="1852">
        <v>6620000</v>
      </c>
      <c r="V177" s="1852">
        <v>6620000</v>
      </c>
      <c r="W177" s="1852">
        <v>6620000</v>
      </c>
      <c r="X177" s="1852">
        <v>6620000</v>
      </c>
      <c r="Y177" s="1852">
        <v>6620000</v>
      </c>
      <c r="Z177" s="1852">
        <v>6620000</v>
      </c>
      <c r="AA177" s="1852">
        <v>4854667</v>
      </c>
      <c r="AB177" s="1949"/>
      <c r="AC177" s="1824">
        <f t="shared" si="59"/>
        <v>59580000</v>
      </c>
      <c r="AD177" s="1825">
        <f t="shared" si="60"/>
        <v>0</v>
      </c>
      <c r="AF177" s="848">
        <v>381</v>
      </c>
      <c r="AG177" s="1291" t="s">
        <v>209</v>
      </c>
      <c r="AH177" s="1059" t="s">
        <v>559</v>
      </c>
      <c r="AI177" s="1048">
        <f t="shared" si="55"/>
        <v>127</v>
      </c>
      <c r="AJ177" s="849">
        <v>59580000</v>
      </c>
      <c r="AK177" s="851">
        <f t="shared" si="56"/>
        <v>0</v>
      </c>
      <c r="AL177" s="820"/>
      <c r="AM177" s="1518">
        <f t="shared" si="57"/>
        <v>0</v>
      </c>
    </row>
    <row r="178" spans="1:39" s="766" customFormat="1">
      <c r="A178" s="1463" t="s">
        <v>119</v>
      </c>
      <c r="B178" s="1969">
        <f t="shared" si="58"/>
        <v>15005333</v>
      </c>
      <c r="C178" s="95" t="s">
        <v>36</v>
      </c>
      <c r="D178" s="96" t="s">
        <v>830</v>
      </c>
      <c r="E178" s="96" t="s">
        <v>1651</v>
      </c>
      <c r="F178" s="96" t="s">
        <v>1652</v>
      </c>
      <c r="G178" s="96" t="s">
        <v>79</v>
      </c>
      <c r="H178" s="631" t="s">
        <v>1643</v>
      </c>
      <c r="I178" s="2142" t="s">
        <v>325</v>
      </c>
      <c r="J178" s="1650">
        <v>663</v>
      </c>
      <c r="K178" s="1651">
        <v>15005333</v>
      </c>
      <c r="L178" s="1652">
        <v>753</v>
      </c>
      <c r="M178" s="1651">
        <v>15005333</v>
      </c>
      <c r="N178" s="1593">
        <v>914</v>
      </c>
      <c r="O178" s="1604">
        <v>15005333</v>
      </c>
      <c r="P178" s="1655">
        <v>127</v>
      </c>
      <c r="Q178" s="1851"/>
      <c r="R178" s="1852"/>
      <c r="S178" s="1852"/>
      <c r="T178" s="1852"/>
      <c r="U178" s="1852"/>
      <c r="V178" s="1852"/>
      <c r="W178" s="1852"/>
      <c r="X178" s="1852"/>
      <c r="Y178" s="1852"/>
      <c r="Z178" s="1852"/>
      <c r="AA178" s="1852">
        <v>1765333</v>
      </c>
      <c r="AB178" s="1949">
        <f>6620000+6620000</f>
        <v>13240000</v>
      </c>
      <c r="AC178" s="1824">
        <f t="shared" si="59"/>
        <v>15005333</v>
      </c>
      <c r="AD178" s="1825">
        <f t="shared" si="60"/>
        <v>0</v>
      </c>
      <c r="AF178" s="848" t="s">
        <v>325</v>
      </c>
      <c r="AG178" s="1291" t="s">
        <v>1318</v>
      </c>
      <c r="AH178" s="1059" t="s">
        <v>559</v>
      </c>
      <c r="AI178" s="1048">
        <f t="shared" si="55"/>
        <v>127</v>
      </c>
      <c r="AJ178" s="849">
        <v>15005333</v>
      </c>
      <c r="AK178" s="851">
        <f t="shared" si="56"/>
        <v>0</v>
      </c>
      <c r="AL178" s="820"/>
      <c r="AM178" s="1518">
        <f t="shared" si="57"/>
        <v>0</v>
      </c>
    </row>
    <row r="179" spans="1:39" s="766" customFormat="1">
      <c r="A179" s="1463" t="s">
        <v>119</v>
      </c>
      <c r="B179" s="1969">
        <f t="shared" si="58"/>
        <v>14733334</v>
      </c>
      <c r="C179" s="95" t="s">
        <v>36</v>
      </c>
      <c r="D179" s="96" t="s">
        <v>830</v>
      </c>
      <c r="E179" s="96" t="s">
        <v>1651</v>
      </c>
      <c r="F179" s="96" t="s">
        <v>1652</v>
      </c>
      <c r="G179" s="96" t="s">
        <v>79</v>
      </c>
      <c r="H179" s="631" t="s">
        <v>1643</v>
      </c>
      <c r="I179" s="2142">
        <v>382</v>
      </c>
      <c r="J179" s="1650">
        <v>0</v>
      </c>
      <c r="K179" s="1651"/>
      <c r="L179" s="1652">
        <v>34</v>
      </c>
      <c r="M179" s="1659">
        <f>57200000-42466666</f>
        <v>14733334</v>
      </c>
      <c r="N179" s="1593">
        <v>17</v>
      </c>
      <c r="O179" s="1659">
        <f>57200000-42466666</f>
        <v>14733334</v>
      </c>
      <c r="P179" s="1655">
        <v>20</v>
      </c>
      <c r="Q179" s="1851"/>
      <c r="R179" s="1852">
        <v>2426667</v>
      </c>
      <c r="S179" s="1852">
        <f>VLOOKUP(N179,[9]Hoja2!N$2:T$77,7,0)</f>
        <v>5200000</v>
      </c>
      <c r="T179" s="1852">
        <v>5200000</v>
      </c>
      <c r="U179" s="1852"/>
      <c r="V179" s="1852"/>
      <c r="W179" s="1852">
        <v>1906667</v>
      </c>
      <c r="X179" s="1852"/>
      <c r="Y179" s="1852"/>
      <c r="Z179" s="1852"/>
      <c r="AA179" s="1852"/>
      <c r="AB179" s="1949"/>
      <c r="AC179" s="1824">
        <f t="shared" si="59"/>
        <v>14733334</v>
      </c>
      <c r="AD179" s="1825">
        <f t="shared" si="60"/>
        <v>0</v>
      </c>
      <c r="AF179" s="848">
        <v>382</v>
      </c>
      <c r="AG179" s="1291" t="s">
        <v>210</v>
      </c>
      <c r="AH179" s="1059" t="s">
        <v>560</v>
      </c>
      <c r="AI179" s="1048">
        <f t="shared" si="55"/>
        <v>20</v>
      </c>
      <c r="AJ179" s="849">
        <f>57200000-42466666</f>
        <v>14733334</v>
      </c>
      <c r="AK179" s="851">
        <f t="shared" si="56"/>
        <v>0</v>
      </c>
      <c r="AL179" s="820"/>
      <c r="AM179" s="1518">
        <f t="shared" si="57"/>
        <v>0</v>
      </c>
    </row>
    <row r="180" spans="1:39" s="766" customFormat="1">
      <c r="A180" s="1463" t="s">
        <v>119</v>
      </c>
      <c r="B180" s="1969">
        <f t="shared" si="58"/>
        <v>27741333</v>
      </c>
      <c r="C180" s="95" t="s">
        <v>36</v>
      </c>
      <c r="D180" s="96" t="s">
        <v>830</v>
      </c>
      <c r="E180" s="96" t="s">
        <v>1651</v>
      </c>
      <c r="F180" s="96" t="s">
        <v>1652</v>
      </c>
      <c r="G180" s="96" t="s">
        <v>79</v>
      </c>
      <c r="H180" s="631" t="s">
        <v>1643</v>
      </c>
      <c r="I180" s="2142">
        <v>383</v>
      </c>
      <c r="J180" s="1650">
        <v>0</v>
      </c>
      <c r="K180" s="1651"/>
      <c r="L180" s="1652">
        <v>139</v>
      </c>
      <c r="M180" s="1659">
        <f>90640000-62898667</f>
        <v>27741333</v>
      </c>
      <c r="N180" s="1593">
        <v>119</v>
      </c>
      <c r="O180" s="1659">
        <f>90640000-62898667</f>
        <v>27741333</v>
      </c>
      <c r="P180" s="1655">
        <v>119</v>
      </c>
      <c r="Q180" s="1851"/>
      <c r="R180" s="1852">
        <v>2472000</v>
      </c>
      <c r="S180" s="1852">
        <f>VLOOKUP(N180,[9]Hoja2!N$2:T$77,7,0)</f>
        <v>8240000</v>
      </c>
      <c r="T180" s="1852">
        <v>8240000</v>
      </c>
      <c r="U180" s="1852">
        <v>6317333</v>
      </c>
      <c r="V180" s="1852">
        <v>2472000</v>
      </c>
      <c r="W180" s="1852"/>
      <c r="X180" s="1852"/>
      <c r="Y180" s="1852"/>
      <c r="Z180" s="1852"/>
      <c r="AA180" s="1852"/>
      <c r="AB180" s="1949"/>
      <c r="AC180" s="1824">
        <f t="shared" si="59"/>
        <v>27741333</v>
      </c>
      <c r="AD180" s="1825">
        <f t="shared" si="60"/>
        <v>0</v>
      </c>
      <c r="AF180" s="848">
        <v>383</v>
      </c>
      <c r="AG180" s="1291" t="s">
        <v>211</v>
      </c>
      <c r="AH180" s="1059" t="s">
        <v>561</v>
      </c>
      <c r="AI180" s="1048">
        <f t="shared" si="55"/>
        <v>119</v>
      </c>
      <c r="AJ180" s="849">
        <f>90640000-62898667</f>
        <v>27741333</v>
      </c>
      <c r="AK180" s="851">
        <f t="shared" si="56"/>
        <v>0</v>
      </c>
      <c r="AL180" s="820"/>
      <c r="AM180" s="1518">
        <f t="shared" si="57"/>
        <v>0</v>
      </c>
    </row>
    <row r="181" spans="1:39" s="766" customFormat="1" ht="15" customHeight="1">
      <c r="A181" s="1463" t="s">
        <v>119</v>
      </c>
      <c r="B181" s="1969">
        <f t="shared" si="58"/>
        <v>0</v>
      </c>
      <c r="C181" s="95" t="s">
        <v>36</v>
      </c>
      <c r="D181" s="96" t="s">
        <v>830</v>
      </c>
      <c r="E181" s="96" t="s">
        <v>1651</v>
      </c>
      <c r="F181" s="96" t="s">
        <v>1652</v>
      </c>
      <c r="G181" s="96" t="s">
        <v>79</v>
      </c>
      <c r="H181" s="631" t="s">
        <v>1643</v>
      </c>
      <c r="I181" s="2142">
        <v>384</v>
      </c>
      <c r="J181" s="1650">
        <v>0</v>
      </c>
      <c r="K181" s="1651"/>
      <c r="L181" s="1652"/>
      <c r="M181" s="1659"/>
      <c r="N181" s="1657"/>
      <c r="O181" s="1654"/>
      <c r="P181" s="1655"/>
      <c r="Q181" s="1851"/>
      <c r="R181" s="1852"/>
      <c r="S181" s="1852"/>
      <c r="T181" s="1852"/>
      <c r="U181" s="1852"/>
      <c r="V181" s="1852"/>
      <c r="W181" s="1852"/>
      <c r="X181" s="1852"/>
      <c r="Y181" s="1852"/>
      <c r="Z181" s="1852"/>
      <c r="AA181" s="1852"/>
      <c r="AB181" s="1949"/>
      <c r="AC181" s="1824">
        <f t="shared" si="59"/>
        <v>0</v>
      </c>
      <c r="AD181" s="1825">
        <f t="shared" si="60"/>
        <v>0</v>
      </c>
      <c r="AF181" s="848">
        <v>384</v>
      </c>
      <c r="AG181" s="1291" t="s">
        <v>212</v>
      </c>
      <c r="AH181" s="1060" t="s">
        <v>173</v>
      </c>
      <c r="AI181" s="1048">
        <f t="shared" si="55"/>
        <v>0</v>
      </c>
      <c r="AJ181" s="849">
        <f>54900000-54900000</f>
        <v>0</v>
      </c>
      <c r="AK181" s="851">
        <f t="shared" si="56"/>
        <v>0</v>
      </c>
      <c r="AL181" s="820"/>
      <c r="AM181" s="1518">
        <f t="shared" si="57"/>
        <v>0</v>
      </c>
    </row>
    <row r="182" spans="1:39" s="766" customFormat="1">
      <c r="A182" s="1463" t="s">
        <v>119</v>
      </c>
      <c r="B182" s="1969">
        <f t="shared" si="58"/>
        <v>93500000</v>
      </c>
      <c r="C182" s="95" t="s">
        <v>36</v>
      </c>
      <c r="D182" s="96" t="s">
        <v>830</v>
      </c>
      <c r="E182" s="96" t="s">
        <v>1651</v>
      </c>
      <c r="F182" s="96" t="s">
        <v>1652</v>
      </c>
      <c r="G182" s="96" t="s">
        <v>79</v>
      </c>
      <c r="H182" s="631" t="s">
        <v>1643</v>
      </c>
      <c r="I182" s="2142">
        <v>385</v>
      </c>
      <c r="J182" s="1650">
        <v>0</v>
      </c>
      <c r="K182" s="1651"/>
      <c r="L182" s="1652">
        <v>38</v>
      </c>
      <c r="M182" s="1659">
        <v>93500000</v>
      </c>
      <c r="N182" s="1593">
        <v>25</v>
      </c>
      <c r="O182" s="1604">
        <v>93500000</v>
      </c>
      <c r="P182" s="1655">
        <v>18</v>
      </c>
      <c r="Q182" s="1851"/>
      <c r="R182" s="1852">
        <v>3966667</v>
      </c>
      <c r="S182" s="1852">
        <f>VLOOKUP(N182,[9]Hoja2!N$2:T$77,7,0)</f>
        <v>8500000</v>
      </c>
      <c r="T182" s="1852">
        <v>8500000</v>
      </c>
      <c r="U182" s="1852">
        <v>8500000</v>
      </c>
      <c r="V182" s="1852">
        <v>8500000</v>
      </c>
      <c r="W182" s="1852">
        <v>8500000</v>
      </c>
      <c r="X182" s="1852">
        <v>8500000</v>
      </c>
      <c r="Y182" s="1852">
        <v>8500000</v>
      </c>
      <c r="Z182" s="1852">
        <v>8500000</v>
      </c>
      <c r="AA182" s="1852">
        <v>8500000</v>
      </c>
      <c r="AB182" s="1949">
        <f>8500000+4533333</f>
        <v>13033333</v>
      </c>
      <c r="AC182" s="1824">
        <f t="shared" si="59"/>
        <v>93500000</v>
      </c>
      <c r="AD182" s="1825">
        <f t="shared" si="60"/>
        <v>0</v>
      </c>
      <c r="AF182" s="848">
        <v>385</v>
      </c>
      <c r="AG182" s="1291" t="s">
        <v>213</v>
      </c>
      <c r="AH182" s="1059" t="s">
        <v>562</v>
      </c>
      <c r="AI182" s="1048">
        <f t="shared" si="55"/>
        <v>18</v>
      </c>
      <c r="AJ182" s="849">
        <v>93500000</v>
      </c>
      <c r="AK182" s="851">
        <f t="shared" si="56"/>
        <v>0</v>
      </c>
      <c r="AL182" s="820"/>
      <c r="AM182" s="1518">
        <f t="shared" si="57"/>
        <v>0</v>
      </c>
    </row>
    <row r="183" spans="1:39" s="766" customFormat="1">
      <c r="A183" s="1463" t="s">
        <v>119</v>
      </c>
      <c r="B183" s="1969">
        <f t="shared" si="58"/>
        <v>12466667</v>
      </c>
      <c r="C183" s="95" t="s">
        <v>36</v>
      </c>
      <c r="D183" s="96" t="s">
        <v>830</v>
      </c>
      <c r="E183" s="96" t="s">
        <v>1651</v>
      </c>
      <c r="F183" s="96" t="s">
        <v>1652</v>
      </c>
      <c r="G183" s="96" t="s">
        <v>79</v>
      </c>
      <c r="H183" s="631" t="s">
        <v>1643</v>
      </c>
      <c r="I183" s="2142" t="s">
        <v>325</v>
      </c>
      <c r="J183" s="1650">
        <v>788</v>
      </c>
      <c r="K183" s="1651">
        <v>12466667</v>
      </c>
      <c r="L183" s="1652">
        <v>886</v>
      </c>
      <c r="M183" s="1659">
        <v>12466667</v>
      </c>
      <c r="N183" s="1593">
        <v>1069</v>
      </c>
      <c r="O183" s="1604">
        <v>12466667</v>
      </c>
      <c r="P183" s="1655">
        <v>18</v>
      </c>
      <c r="Q183" s="1851"/>
      <c r="R183" s="1852"/>
      <c r="S183" s="1852"/>
      <c r="T183" s="1852"/>
      <c r="U183" s="1852"/>
      <c r="V183" s="1852"/>
      <c r="W183" s="1852"/>
      <c r="X183" s="1852"/>
      <c r="Y183" s="1852"/>
      <c r="Z183" s="1852"/>
      <c r="AA183" s="1852"/>
      <c r="AB183" s="1949">
        <v>3966667</v>
      </c>
      <c r="AC183" s="1824">
        <f t="shared" si="59"/>
        <v>3966667</v>
      </c>
      <c r="AD183" s="1825">
        <f t="shared" si="60"/>
        <v>8500000</v>
      </c>
      <c r="AF183" s="848" t="s">
        <v>325</v>
      </c>
      <c r="AG183" s="1291" t="s">
        <v>1489</v>
      </c>
      <c r="AH183" s="1059" t="s">
        <v>562</v>
      </c>
      <c r="AI183" s="1048">
        <f t="shared" si="55"/>
        <v>18</v>
      </c>
      <c r="AJ183" s="849">
        <v>12466667</v>
      </c>
      <c r="AK183" s="851">
        <f t="shared" si="56"/>
        <v>0</v>
      </c>
      <c r="AL183" s="820"/>
      <c r="AM183" s="1518">
        <f t="shared" si="57"/>
        <v>0</v>
      </c>
    </row>
    <row r="184" spans="1:39" s="766" customFormat="1">
      <c r="A184" s="1463" t="s">
        <v>119</v>
      </c>
      <c r="B184" s="1969">
        <f t="shared" si="58"/>
        <v>31136000</v>
      </c>
      <c r="C184" s="95" t="s">
        <v>36</v>
      </c>
      <c r="D184" s="96" t="s">
        <v>830</v>
      </c>
      <c r="E184" s="96" t="s">
        <v>1651</v>
      </c>
      <c r="F184" s="96" t="s">
        <v>1652</v>
      </c>
      <c r="G184" s="96" t="s">
        <v>79</v>
      </c>
      <c r="H184" s="631" t="s">
        <v>1643</v>
      </c>
      <c r="I184" s="2142">
        <v>386</v>
      </c>
      <c r="J184" s="1650">
        <v>0</v>
      </c>
      <c r="K184" s="1651"/>
      <c r="L184" s="1652">
        <v>74</v>
      </c>
      <c r="M184" s="1659">
        <f>91740000-60604000</f>
        <v>31136000</v>
      </c>
      <c r="N184" s="1593">
        <v>98</v>
      </c>
      <c r="O184" s="1659">
        <f>91740000-60604000</f>
        <v>31136000</v>
      </c>
      <c r="P184" s="1655">
        <v>68</v>
      </c>
      <c r="Q184" s="1851"/>
      <c r="R184" s="1852">
        <v>2502000</v>
      </c>
      <c r="S184" s="1852">
        <f>VLOOKUP(N184,[9]Hoja2!N$2:T$77,7,0)</f>
        <v>8340000</v>
      </c>
      <c r="T184" s="1852">
        <v>8340000</v>
      </c>
      <c r="U184" s="1852">
        <v>8340000</v>
      </c>
      <c r="V184" s="1852">
        <v>3614000</v>
      </c>
      <c r="W184" s="1852"/>
      <c r="X184" s="1852"/>
      <c r="Y184" s="1852"/>
      <c r="Z184" s="1852"/>
      <c r="AA184" s="1852"/>
      <c r="AB184" s="1949"/>
      <c r="AC184" s="1824">
        <f t="shared" si="59"/>
        <v>31136000</v>
      </c>
      <c r="AD184" s="1825">
        <f t="shared" si="60"/>
        <v>0</v>
      </c>
      <c r="AF184" s="848">
        <v>386</v>
      </c>
      <c r="AG184" s="1291" t="s">
        <v>214</v>
      </c>
      <c r="AH184" s="1059" t="s">
        <v>563</v>
      </c>
      <c r="AI184" s="1048">
        <f t="shared" si="55"/>
        <v>68</v>
      </c>
      <c r="AJ184" s="849">
        <f>91740000-60604000</f>
        <v>31136000</v>
      </c>
      <c r="AK184" s="851">
        <f t="shared" si="56"/>
        <v>0</v>
      </c>
      <c r="AL184" s="820"/>
      <c r="AM184" s="1518">
        <f t="shared" si="57"/>
        <v>0</v>
      </c>
    </row>
    <row r="185" spans="1:39" s="766" customFormat="1">
      <c r="A185" s="1463" t="s">
        <v>119</v>
      </c>
      <c r="B185" s="1969">
        <f t="shared" si="58"/>
        <v>32000000</v>
      </c>
      <c r="C185" s="95" t="s">
        <v>36</v>
      </c>
      <c r="D185" s="96" t="s">
        <v>830</v>
      </c>
      <c r="E185" s="96" t="s">
        <v>1651</v>
      </c>
      <c r="F185" s="96" t="s">
        <v>1652</v>
      </c>
      <c r="G185" s="96" t="s">
        <v>79</v>
      </c>
      <c r="H185" s="631" t="s">
        <v>1643</v>
      </c>
      <c r="I185" s="2142">
        <v>387</v>
      </c>
      <c r="J185" s="1650">
        <v>0</v>
      </c>
      <c r="K185" s="1651"/>
      <c r="L185" s="1652">
        <v>547</v>
      </c>
      <c r="M185" s="1659">
        <f>32500000-500000</f>
        <v>32000000</v>
      </c>
      <c r="N185" s="1703">
        <v>614</v>
      </c>
      <c r="O185" s="1604">
        <v>32000000</v>
      </c>
      <c r="P185" s="1704">
        <v>383</v>
      </c>
      <c r="Q185" s="1851"/>
      <c r="R185" s="1852"/>
      <c r="S185" s="1852"/>
      <c r="T185" s="1852"/>
      <c r="U185" s="1852"/>
      <c r="V185" s="1852"/>
      <c r="W185" s="1852">
        <v>3000000</v>
      </c>
      <c r="X185" s="1852">
        <v>5000000</v>
      </c>
      <c r="Y185" s="1852">
        <v>5000000</v>
      </c>
      <c r="Z185" s="1852">
        <v>5000000</v>
      </c>
      <c r="AA185" s="1852">
        <v>5000000</v>
      </c>
      <c r="AB185" s="1949">
        <f>5000000+4000000</f>
        <v>9000000</v>
      </c>
      <c r="AC185" s="1824">
        <f t="shared" si="59"/>
        <v>32000000</v>
      </c>
      <c r="AD185" s="1825">
        <f t="shared" si="60"/>
        <v>0</v>
      </c>
      <c r="AF185" s="848">
        <v>387</v>
      </c>
      <c r="AG185" s="1291" t="s">
        <v>215</v>
      </c>
      <c r="AH185" s="1059" t="s">
        <v>515</v>
      </c>
      <c r="AI185" s="1048">
        <f t="shared" si="55"/>
        <v>383</v>
      </c>
      <c r="AJ185" s="849">
        <f>88000000-18000000-56000000+21000000-3000000</f>
        <v>32000000</v>
      </c>
      <c r="AK185" s="851">
        <f t="shared" si="56"/>
        <v>0</v>
      </c>
      <c r="AL185" s="820"/>
      <c r="AM185" s="1518">
        <f t="shared" si="57"/>
        <v>0</v>
      </c>
    </row>
    <row r="186" spans="1:39" s="766" customFormat="1">
      <c r="A186" s="1463" t="s">
        <v>119</v>
      </c>
      <c r="B186" s="1969">
        <f t="shared" si="58"/>
        <v>6000000</v>
      </c>
      <c r="C186" s="95" t="s">
        <v>36</v>
      </c>
      <c r="D186" s="96" t="s">
        <v>830</v>
      </c>
      <c r="E186" s="96" t="s">
        <v>1651</v>
      </c>
      <c r="F186" s="96" t="s">
        <v>1652</v>
      </c>
      <c r="G186" s="96" t="s">
        <v>79</v>
      </c>
      <c r="H186" s="631" t="s">
        <v>1643</v>
      </c>
      <c r="I186" s="2142" t="s">
        <v>325</v>
      </c>
      <c r="J186" s="1650">
        <v>797</v>
      </c>
      <c r="K186" s="1651">
        <v>6000000</v>
      </c>
      <c r="L186" s="1652">
        <v>904</v>
      </c>
      <c r="M186" s="1659">
        <v>6000000</v>
      </c>
      <c r="N186" s="1703">
        <v>1116</v>
      </c>
      <c r="O186" s="1604">
        <v>6000000</v>
      </c>
      <c r="P186" s="1704">
        <v>383</v>
      </c>
      <c r="Q186" s="1851"/>
      <c r="R186" s="1852"/>
      <c r="S186" s="1852"/>
      <c r="T186" s="1852"/>
      <c r="U186" s="1852"/>
      <c r="V186" s="1852"/>
      <c r="W186" s="1852"/>
      <c r="X186" s="1852"/>
      <c r="Y186" s="1852"/>
      <c r="Z186" s="1852"/>
      <c r="AA186" s="1852"/>
      <c r="AB186" s="1949">
        <v>1000000</v>
      </c>
      <c r="AC186" s="1824">
        <f t="shared" si="59"/>
        <v>1000000</v>
      </c>
      <c r="AD186" s="1825">
        <f t="shared" si="60"/>
        <v>5000000</v>
      </c>
      <c r="AF186" s="848" t="s">
        <v>325</v>
      </c>
      <c r="AG186" s="1291" t="s">
        <v>1488</v>
      </c>
      <c r="AH186" s="1059" t="s">
        <v>515</v>
      </c>
      <c r="AI186" s="1048">
        <f t="shared" si="55"/>
        <v>383</v>
      </c>
      <c r="AJ186" s="849">
        <v>6000000</v>
      </c>
      <c r="AK186" s="851">
        <f t="shared" si="56"/>
        <v>0</v>
      </c>
      <c r="AL186" s="820"/>
      <c r="AM186" s="1518">
        <f t="shared" si="57"/>
        <v>0</v>
      </c>
    </row>
    <row r="187" spans="1:39" s="766" customFormat="1">
      <c r="A187" s="1463" t="s">
        <v>119</v>
      </c>
      <c r="B187" s="1969">
        <f t="shared" si="58"/>
        <v>48960000</v>
      </c>
      <c r="C187" s="95" t="s">
        <v>36</v>
      </c>
      <c r="D187" s="96" t="s">
        <v>830</v>
      </c>
      <c r="E187" s="96" t="s">
        <v>1651</v>
      </c>
      <c r="F187" s="96" t="s">
        <v>1652</v>
      </c>
      <c r="G187" s="96" t="s">
        <v>79</v>
      </c>
      <c r="H187" s="631" t="s">
        <v>1643</v>
      </c>
      <c r="I187" s="2142">
        <v>388</v>
      </c>
      <c r="J187" s="1650">
        <v>0</v>
      </c>
      <c r="K187" s="1651"/>
      <c r="L187" s="1652">
        <v>140</v>
      </c>
      <c r="M187" s="1659">
        <v>48960000</v>
      </c>
      <c r="N187" s="1593">
        <v>125</v>
      </c>
      <c r="O187" s="1604">
        <v>48960000</v>
      </c>
      <c r="P187" s="1655">
        <v>111</v>
      </c>
      <c r="Q187" s="1851"/>
      <c r="R187" s="1852">
        <v>1450667</v>
      </c>
      <c r="S187" s="1852">
        <f>VLOOKUP(N187,[9]Hoja2!N$2:T$77,7,0)</f>
        <v>5440000</v>
      </c>
      <c r="T187" s="1852">
        <v>5440000</v>
      </c>
      <c r="U187" s="1852">
        <v>5440000</v>
      </c>
      <c r="V187" s="1852">
        <v>5440000</v>
      </c>
      <c r="W187" s="1852">
        <v>5440000</v>
      </c>
      <c r="X187" s="1852">
        <v>5440000</v>
      </c>
      <c r="Y187" s="1852">
        <v>5440000</v>
      </c>
      <c r="Z187" s="1852">
        <v>5440000</v>
      </c>
      <c r="AA187" s="1852">
        <v>3989333</v>
      </c>
      <c r="AB187" s="1949"/>
      <c r="AC187" s="1824">
        <f t="shared" si="59"/>
        <v>48960000</v>
      </c>
      <c r="AD187" s="1825">
        <f t="shared" si="60"/>
        <v>0</v>
      </c>
      <c r="AF187" s="848">
        <v>388</v>
      </c>
      <c r="AG187" s="1291" t="s">
        <v>216</v>
      </c>
      <c r="AH187" s="1059" t="s">
        <v>564</v>
      </c>
      <c r="AI187" s="1048">
        <f t="shared" ref="AI187:AI211" si="61">P187</f>
        <v>111</v>
      </c>
      <c r="AJ187" s="849">
        <v>48960000</v>
      </c>
      <c r="AK187" s="851">
        <f t="shared" si="56"/>
        <v>0</v>
      </c>
      <c r="AL187" s="820"/>
      <c r="AM187" s="1518">
        <f t="shared" ref="AM187:AM211" si="62">AJ187-M187</f>
        <v>0</v>
      </c>
    </row>
    <row r="188" spans="1:39" s="766" customFormat="1" ht="14.25" customHeight="1">
      <c r="A188" s="1463" t="s">
        <v>119</v>
      </c>
      <c r="B188" s="1969">
        <f t="shared" si="58"/>
        <v>12330667</v>
      </c>
      <c r="C188" s="95" t="s">
        <v>36</v>
      </c>
      <c r="D188" s="96" t="s">
        <v>830</v>
      </c>
      <c r="E188" s="96" t="s">
        <v>1651</v>
      </c>
      <c r="F188" s="96" t="s">
        <v>1652</v>
      </c>
      <c r="G188" s="96" t="s">
        <v>79</v>
      </c>
      <c r="H188" s="631" t="s">
        <v>1643</v>
      </c>
      <c r="I188" s="2142" t="s">
        <v>325</v>
      </c>
      <c r="J188" s="1650">
        <v>662</v>
      </c>
      <c r="K188" s="1651">
        <v>12330667</v>
      </c>
      <c r="L188" s="1652">
        <v>754</v>
      </c>
      <c r="M188" s="1651">
        <v>12330667</v>
      </c>
      <c r="N188" s="1652">
        <v>913</v>
      </c>
      <c r="O188" s="1604">
        <v>12330667</v>
      </c>
      <c r="P188" s="1655">
        <v>111</v>
      </c>
      <c r="Q188" s="1851"/>
      <c r="R188" s="1852"/>
      <c r="S188" s="1852"/>
      <c r="T188" s="1852"/>
      <c r="U188" s="1852"/>
      <c r="V188" s="1852"/>
      <c r="W188" s="1852"/>
      <c r="X188" s="1852"/>
      <c r="Y188" s="1852"/>
      <c r="Z188" s="1852"/>
      <c r="AA188" s="1852">
        <v>1450667</v>
      </c>
      <c r="AB188" s="1949">
        <f>5440000+5440000</f>
        <v>10880000</v>
      </c>
      <c r="AC188" s="1824">
        <f t="shared" si="59"/>
        <v>12330667</v>
      </c>
      <c r="AD188" s="1825">
        <f t="shared" si="60"/>
        <v>0</v>
      </c>
      <c r="AF188" s="848" t="s">
        <v>325</v>
      </c>
      <c r="AG188" s="1291" t="s">
        <v>1317</v>
      </c>
      <c r="AH188" s="1059" t="s">
        <v>564</v>
      </c>
      <c r="AI188" s="1048">
        <f t="shared" si="61"/>
        <v>111</v>
      </c>
      <c r="AJ188" s="849">
        <v>12330667</v>
      </c>
      <c r="AK188" s="851">
        <f t="shared" si="56"/>
        <v>0</v>
      </c>
      <c r="AL188" s="820"/>
      <c r="AM188" s="1518">
        <f t="shared" si="62"/>
        <v>0</v>
      </c>
    </row>
    <row r="189" spans="1:39" s="766" customFormat="1">
      <c r="A189" s="1463" t="s">
        <v>119</v>
      </c>
      <c r="B189" s="1969">
        <f t="shared" si="58"/>
        <v>80750000</v>
      </c>
      <c r="C189" s="95" t="s">
        <v>36</v>
      </c>
      <c r="D189" s="96" t="s">
        <v>830</v>
      </c>
      <c r="E189" s="96" t="s">
        <v>1651</v>
      </c>
      <c r="F189" s="96" t="s">
        <v>1652</v>
      </c>
      <c r="G189" s="96" t="s">
        <v>79</v>
      </c>
      <c r="H189" s="631" t="s">
        <v>1643</v>
      </c>
      <c r="I189" s="2142">
        <v>389</v>
      </c>
      <c r="J189" s="1650">
        <v>0</v>
      </c>
      <c r="K189" s="1651"/>
      <c r="L189" s="1652">
        <v>291</v>
      </c>
      <c r="M189" s="1659">
        <f>85000000-4250000</f>
        <v>80750000</v>
      </c>
      <c r="N189" s="1703">
        <v>343</v>
      </c>
      <c r="O189" s="1604">
        <v>80750000</v>
      </c>
      <c r="P189" s="1655">
        <v>279</v>
      </c>
      <c r="Q189" s="1851"/>
      <c r="R189" s="1852"/>
      <c r="S189" s="1852"/>
      <c r="T189" s="1852">
        <v>6800000</v>
      </c>
      <c r="U189" s="1852">
        <v>8500000</v>
      </c>
      <c r="V189" s="1852">
        <v>8500000</v>
      </c>
      <c r="W189" s="1852">
        <v>8500000</v>
      </c>
      <c r="X189" s="1852">
        <v>8500000</v>
      </c>
      <c r="Y189" s="1852">
        <v>8500000</v>
      </c>
      <c r="Z189" s="1852">
        <v>8500000</v>
      </c>
      <c r="AA189" s="1852">
        <v>8500000</v>
      </c>
      <c r="AB189" s="1949">
        <f>8500000+5950000</f>
        <v>14450000</v>
      </c>
      <c r="AC189" s="1824">
        <f t="shared" si="59"/>
        <v>80750000</v>
      </c>
      <c r="AD189" s="1825">
        <f t="shared" si="60"/>
        <v>0</v>
      </c>
      <c r="AF189" s="848">
        <v>389</v>
      </c>
      <c r="AG189" s="1291" t="s">
        <v>217</v>
      </c>
      <c r="AH189" s="1059" t="s">
        <v>795</v>
      </c>
      <c r="AI189" s="1048">
        <f t="shared" si="61"/>
        <v>279</v>
      </c>
      <c r="AJ189" s="849">
        <f>87500000-2500000-4250000</f>
        <v>80750000</v>
      </c>
      <c r="AK189" s="851">
        <f t="shared" si="56"/>
        <v>0</v>
      </c>
      <c r="AL189" s="820"/>
      <c r="AM189" s="1518">
        <f t="shared" si="62"/>
        <v>0</v>
      </c>
    </row>
    <row r="190" spans="1:39" s="766" customFormat="1">
      <c r="A190" s="1463" t="s">
        <v>119</v>
      </c>
      <c r="B190" s="1969">
        <f t="shared" si="58"/>
        <v>14400000</v>
      </c>
      <c r="C190" s="95" t="s">
        <v>36</v>
      </c>
      <c r="D190" s="96" t="s">
        <v>830</v>
      </c>
      <c r="E190" s="96" t="s">
        <v>1651</v>
      </c>
      <c r="F190" s="96" t="s">
        <v>1652</v>
      </c>
      <c r="G190" s="96" t="s">
        <v>79</v>
      </c>
      <c r="H190" s="631" t="s">
        <v>1643</v>
      </c>
      <c r="I190" s="2142">
        <v>390</v>
      </c>
      <c r="J190" s="1650">
        <v>0</v>
      </c>
      <c r="K190" s="1651"/>
      <c r="L190" s="1652">
        <v>213</v>
      </c>
      <c r="M190" s="1659">
        <f>72000000-57600000</f>
        <v>14400000</v>
      </c>
      <c r="N190" s="1593">
        <v>211</v>
      </c>
      <c r="O190" s="1659">
        <f>72000000-57600000</f>
        <v>14400000</v>
      </c>
      <c r="P190" s="1655">
        <v>209</v>
      </c>
      <c r="Q190" s="1851"/>
      <c r="R190" s="1852"/>
      <c r="S190" s="1852">
        <f>VLOOKUP(N190,[9]Hoja2!N$2:T$77,7,0)</f>
        <v>7200000</v>
      </c>
      <c r="T190" s="1852">
        <v>7200000</v>
      </c>
      <c r="U190" s="1852"/>
      <c r="V190" s="1852"/>
      <c r="W190" s="1852"/>
      <c r="X190" s="1852"/>
      <c r="Y190" s="1852"/>
      <c r="Z190" s="1852"/>
      <c r="AA190" s="1852"/>
      <c r="AB190" s="1949"/>
      <c r="AC190" s="1824">
        <f t="shared" si="59"/>
        <v>14400000</v>
      </c>
      <c r="AD190" s="1825">
        <f t="shared" si="60"/>
        <v>0</v>
      </c>
      <c r="AF190" s="848">
        <v>390</v>
      </c>
      <c r="AG190" s="1291" t="s">
        <v>218</v>
      </c>
      <c r="AH190" s="1059" t="s">
        <v>565</v>
      </c>
      <c r="AI190" s="1048">
        <f t="shared" si="61"/>
        <v>209</v>
      </c>
      <c r="AJ190" s="849">
        <f>72000000-57600000</f>
        <v>14400000</v>
      </c>
      <c r="AK190" s="851">
        <f t="shared" si="56"/>
        <v>0</v>
      </c>
      <c r="AL190" s="820"/>
      <c r="AM190" s="1518">
        <f t="shared" si="62"/>
        <v>0</v>
      </c>
    </row>
    <row r="191" spans="1:39" s="766" customFormat="1">
      <c r="A191" s="1463" t="s">
        <v>119</v>
      </c>
      <c r="B191" s="1969">
        <f t="shared" si="58"/>
        <v>45320000</v>
      </c>
      <c r="C191" s="95" t="s">
        <v>36</v>
      </c>
      <c r="D191" s="96" t="s">
        <v>830</v>
      </c>
      <c r="E191" s="96" t="s">
        <v>1651</v>
      </c>
      <c r="F191" s="96" t="s">
        <v>1652</v>
      </c>
      <c r="G191" s="96" t="s">
        <v>79</v>
      </c>
      <c r="H191" s="631" t="s">
        <v>1643</v>
      </c>
      <c r="I191" s="2142">
        <v>391</v>
      </c>
      <c r="J191" s="1650">
        <v>0</v>
      </c>
      <c r="K191" s="1651"/>
      <c r="L191" s="1652">
        <v>49</v>
      </c>
      <c r="M191" s="1659">
        <v>45320000</v>
      </c>
      <c r="N191" s="1593">
        <v>29</v>
      </c>
      <c r="O191" s="1604">
        <v>45320000</v>
      </c>
      <c r="P191" s="1655">
        <v>26</v>
      </c>
      <c r="Q191" s="1851"/>
      <c r="R191" s="1852">
        <v>1922667</v>
      </c>
      <c r="S191" s="1852">
        <f>VLOOKUP(N191,[9]Hoja2!N$2:T$77,7,0)</f>
        <v>4120000</v>
      </c>
      <c r="T191" s="1852">
        <v>4120000</v>
      </c>
      <c r="U191" s="1852">
        <v>4120000</v>
      </c>
      <c r="V191" s="1852">
        <v>4120000</v>
      </c>
      <c r="W191" s="1852">
        <v>4120000</v>
      </c>
      <c r="X191" s="1852">
        <v>4120000</v>
      </c>
      <c r="Y191" s="1852">
        <v>4120000</v>
      </c>
      <c r="Z191" s="1852">
        <v>4120000</v>
      </c>
      <c r="AA191" s="1852">
        <v>4120000</v>
      </c>
      <c r="AB191" s="1949">
        <f>4120000+2197333</f>
        <v>6317333</v>
      </c>
      <c r="AC191" s="1824">
        <f t="shared" si="59"/>
        <v>45320000</v>
      </c>
      <c r="AD191" s="1825">
        <f t="shared" si="60"/>
        <v>0</v>
      </c>
      <c r="AF191" s="848">
        <v>391</v>
      </c>
      <c r="AG191" s="1291" t="s">
        <v>219</v>
      </c>
      <c r="AH191" s="1059" t="s">
        <v>566</v>
      </c>
      <c r="AI191" s="1048">
        <f t="shared" si="61"/>
        <v>26</v>
      </c>
      <c r="AJ191" s="849">
        <v>45320000</v>
      </c>
      <c r="AK191" s="851">
        <f t="shared" si="56"/>
        <v>0</v>
      </c>
      <c r="AL191" s="820"/>
      <c r="AM191" s="1518">
        <f t="shared" si="62"/>
        <v>0</v>
      </c>
    </row>
    <row r="192" spans="1:39" s="766" customFormat="1">
      <c r="A192" s="1463" t="s">
        <v>119</v>
      </c>
      <c r="B192" s="1969">
        <f t="shared" si="58"/>
        <v>6042667</v>
      </c>
      <c r="C192" s="95" t="s">
        <v>36</v>
      </c>
      <c r="D192" s="96" t="s">
        <v>830</v>
      </c>
      <c r="E192" s="96" t="s">
        <v>1651</v>
      </c>
      <c r="F192" s="96" t="s">
        <v>1652</v>
      </c>
      <c r="G192" s="96" t="s">
        <v>79</v>
      </c>
      <c r="H192" s="631" t="s">
        <v>1643</v>
      </c>
      <c r="I192" s="2142" t="s">
        <v>325</v>
      </c>
      <c r="J192" s="1650"/>
      <c r="K192" s="1651"/>
      <c r="L192" s="1652">
        <v>885</v>
      </c>
      <c r="M192" s="1659">
        <v>6042667</v>
      </c>
      <c r="N192" s="1652">
        <v>1071</v>
      </c>
      <c r="O192" s="1604">
        <v>6042667</v>
      </c>
      <c r="P192" s="1655">
        <v>26</v>
      </c>
      <c r="Q192" s="1851"/>
      <c r="R192" s="1852"/>
      <c r="S192" s="1852"/>
      <c r="T192" s="1852"/>
      <c r="U192" s="1852"/>
      <c r="V192" s="1852"/>
      <c r="W192" s="1852"/>
      <c r="X192" s="1852"/>
      <c r="Y192" s="1852"/>
      <c r="Z192" s="1852"/>
      <c r="AA192" s="1852"/>
      <c r="AB192" s="1949">
        <v>1922667</v>
      </c>
      <c r="AC192" s="1824">
        <f t="shared" si="59"/>
        <v>1922667</v>
      </c>
      <c r="AD192" s="1825">
        <f t="shared" si="60"/>
        <v>4120000</v>
      </c>
      <c r="AF192" s="848" t="s">
        <v>325</v>
      </c>
      <c r="AG192" s="1291" t="s">
        <v>1492</v>
      </c>
      <c r="AH192" s="1059" t="s">
        <v>566</v>
      </c>
      <c r="AI192" s="1048">
        <f t="shared" si="61"/>
        <v>26</v>
      </c>
      <c r="AJ192" s="849">
        <v>6042667</v>
      </c>
      <c r="AK192" s="851">
        <f t="shared" si="56"/>
        <v>0</v>
      </c>
      <c r="AL192" s="820"/>
      <c r="AM192" s="1518">
        <f t="shared" si="62"/>
        <v>0</v>
      </c>
    </row>
    <row r="193" spans="1:39" s="766" customFormat="1" ht="15" customHeight="1">
      <c r="A193" s="1463" t="s">
        <v>119</v>
      </c>
      <c r="B193" s="1969">
        <f t="shared" si="58"/>
        <v>0</v>
      </c>
      <c r="C193" s="95" t="s">
        <v>36</v>
      </c>
      <c r="D193" s="96" t="s">
        <v>830</v>
      </c>
      <c r="E193" s="96" t="s">
        <v>1651</v>
      </c>
      <c r="F193" s="96" t="s">
        <v>1652</v>
      </c>
      <c r="G193" s="96" t="s">
        <v>79</v>
      </c>
      <c r="H193" s="631" t="s">
        <v>1643</v>
      </c>
      <c r="I193" s="2142">
        <v>392</v>
      </c>
      <c r="J193" s="1650">
        <v>0</v>
      </c>
      <c r="K193" s="1651"/>
      <c r="L193" s="1652"/>
      <c r="M193" s="1653"/>
      <c r="N193" s="1657"/>
      <c r="O193" s="1654"/>
      <c r="P193" s="1655"/>
      <c r="Q193" s="1851"/>
      <c r="R193" s="1852"/>
      <c r="S193" s="1852"/>
      <c r="T193" s="1852"/>
      <c r="U193" s="1852"/>
      <c r="V193" s="1852"/>
      <c r="W193" s="1852"/>
      <c r="X193" s="1852"/>
      <c r="Y193" s="1852"/>
      <c r="Z193" s="1852"/>
      <c r="AA193" s="1852"/>
      <c r="AB193" s="1949"/>
      <c r="AC193" s="1824">
        <f t="shared" si="59"/>
        <v>0</v>
      </c>
      <c r="AD193" s="1825">
        <f t="shared" si="60"/>
        <v>0</v>
      </c>
      <c r="AF193" s="848">
        <v>392</v>
      </c>
      <c r="AG193" s="1291" t="s">
        <v>219</v>
      </c>
      <c r="AH193" s="1060" t="s">
        <v>173</v>
      </c>
      <c r="AI193" s="1048">
        <f t="shared" si="61"/>
        <v>0</v>
      </c>
      <c r="AJ193" s="849">
        <f>36450000-36450000</f>
        <v>0</v>
      </c>
      <c r="AK193" s="851">
        <f t="shared" si="56"/>
        <v>0</v>
      </c>
      <c r="AL193" s="820"/>
      <c r="AM193" s="1518">
        <f t="shared" si="62"/>
        <v>0</v>
      </c>
    </row>
    <row r="194" spans="1:39" s="766" customFormat="1" ht="15">
      <c r="A194" s="1463" t="s">
        <v>119</v>
      </c>
      <c r="B194" s="1969">
        <f t="shared" si="58"/>
        <v>6000000</v>
      </c>
      <c r="C194" s="95" t="s">
        <v>36</v>
      </c>
      <c r="D194" s="96" t="s">
        <v>830</v>
      </c>
      <c r="E194" s="96" t="s">
        <v>1651</v>
      </c>
      <c r="F194" s="96" t="s">
        <v>1652</v>
      </c>
      <c r="G194" s="96" t="s">
        <v>79</v>
      </c>
      <c r="H194" s="631" t="s">
        <v>1643</v>
      </c>
      <c r="I194" s="1656">
        <v>463</v>
      </c>
      <c r="J194" s="1650">
        <v>0</v>
      </c>
      <c r="K194" s="1651"/>
      <c r="L194" s="1652">
        <v>482</v>
      </c>
      <c r="M194" s="1659">
        <v>6000000</v>
      </c>
      <c r="N194" s="1652">
        <v>562</v>
      </c>
      <c r="O194" s="1604">
        <v>6000000</v>
      </c>
      <c r="P194" s="1655">
        <v>365</v>
      </c>
      <c r="Q194" s="1851"/>
      <c r="R194" s="1852"/>
      <c r="S194" s="1852"/>
      <c r="T194" s="1852"/>
      <c r="U194" s="1852"/>
      <c r="V194" s="1852"/>
      <c r="W194" s="1852">
        <v>4000000</v>
      </c>
      <c r="X194" s="1852"/>
      <c r="Y194" s="1852"/>
      <c r="Z194" s="1852">
        <v>2000000</v>
      </c>
      <c r="AA194" s="1852"/>
      <c r="AB194" s="1949"/>
      <c r="AC194" s="1824">
        <f t="shared" si="59"/>
        <v>6000000</v>
      </c>
      <c r="AD194" s="1825">
        <f t="shared" si="60"/>
        <v>0</v>
      </c>
      <c r="AF194" s="848">
        <v>463</v>
      </c>
      <c r="AG194" s="1291" t="s">
        <v>869</v>
      </c>
      <c r="AH194" s="1059" t="s">
        <v>1026</v>
      </c>
      <c r="AI194" s="1048">
        <f t="shared" si="61"/>
        <v>365</v>
      </c>
      <c r="AJ194" s="849">
        <v>6000000</v>
      </c>
      <c r="AK194" s="851">
        <f t="shared" si="56"/>
        <v>0</v>
      </c>
      <c r="AL194" s="820"/>
      <c r="AM194" s="1518">
        <f t="shared" si="62"/>
        <v>0</v>
      </c>
    </row>
    <row r="195" spans="1:39" s="766" customFormat="1" ht="15">
      <c r="A195" s="1463" t="s">
        <v>119</v>
      </c>
      <c r="B195" s="1969">
        <f t="shared" si="58"/>
        <v>40000000</v>
      </c>
      <c r="C195" s="95" t="s">
        <v>36</v>
      </c>
      <c r="D195" s="96" t="s">
        <v>830</v>
      </c>
      <c r="E195" s="96" t="s">
        <v>1651</v>
      </c>
      <c r="F195" s="96" t="s">
        <v>1652</v>
      </c>
      <c r="G195" s="96" t="s">
        <v>79</v>
      </c>
      <c r="H195" s="631" t="s">
        <v>1643</v>
      </c>
      <c r="I195" s="1656">
        <v>478</v>
      </c>
      <c r="J195" s="1650"/>
      <c r="K195" s="1651"/>
      <c r="L195" s="1652">
        <v>435</v>
      </c>
      <c r="M195" s="1659">
        <v>40000000</v>
      </c>
      <c r="N195" s="1652">
        <v>449</v>
      </c>
      <c r="O195" s="1604">
        <v>40000000</v>
      </c>
      <c r="P195" s="1655">
        <v>330</v>
      </c>
      <c r="Q195" s="1851"/>
      <c r="R195" s="1852"/>
      <c r="S195" s="1852"/>
      <c r="T195" s="1852"/>
      <c r="U195" s="1852"/>
      <c r="V195" s="1852">
        <v>5166667</v>
      </c>
      <c r="W195" s="1852">
        <v>5000000</v>
      </c>
      <c r="X195" s="1852">
        <v>5000000</v>
      </c>
      <c r="Y195" s="1852">
        <v>5000000</v>
      </c>
      <c r="Z195" s="1852">
        <v>5000000</v>
      </c>
      <c r="AA195" s="1852">
        <v>5000000</v>
      </c>
      <c r="AB195" s="1949">
        <f>5000000+4833333</f>
        <v>9833333</v>
      </c>
      <c r="AC195" s="1824">
        <f t="shared" si="59"/>
        <v>40000000</v>
      </c>
      <c r="AD195" s="1825">
        <f t="shared" si="60"/>
        <v>0</v>
      </c>
      <c r="AF195" s="848">
        <v>478</v>
      </c>
      <c r="AG195" s="1291" t="s">
        <v>912</v>
      </c>
      <c r="AH195" s="1059" t="s">
        <v>516</v>
      </c>
      <c r="AI195" s="1048">
        <f t="shared" si="61"/>
        <v>330</v>
      </c>
      <c r="AJ195" s="849">
        <v>40000000</v>
      </c>
      <c r="AK195" s="851">
        <f t="shared" si="56"/>
        <v>0</v>
      </c>
      <c r="AL195" s="820"/>
      <c r="AM195" s="1518">
        <f t="shared" si="62"/>
        <v>0</v>
      </c>
    </row>
    <row r="196" spans="1:39" s="766" customFormat="1" ht="15">
      <c r="A196" s="1463" t="s">
        <v>119</v>
      </c>
      <c r="B196" s="1969">
        <f t="shared" si="58"/>
        <v>5166667</v>
      </c>
      <c r="C196" s="95" t="s">
        <v>36</v>
      </c>
      <c r="D196" s="96" t="s">
        <v>830</v>
      </c>
      <c r="E196" s="96" t="s">
        <v>1651</v>
      </c>
      <c r="F196" s="96" t="s">
        <v>1652</v>
      </c>
      <c r="G196" s="96" t="s">
        <v>79</v>
      </c>
      <c r="H196" s="631" t="s">
        <v>1643</v>
      </c>
      <c r="I196" s="1656" t="s">
        <v>325</v>
      </c>
      <c r="J196" s="1650">
        <v>861</v>
      </c>
      <c r="K196" s="1651">
        <v>5166667</v>
      </c>
      <c r="L196" s="1652">
        <v>983</v>
      </c>
      <c r="M196" s="1659">
        <v>5166667</v>
      </c>
      <c r="N196" s="1652">
        <v>1180</v>
      </c>
      <c r="O196" s="1604">
        <v>5166667</v>
      </c>
      <c r="P196" s="1655">
        <v>330</v>
      </c>
      <c r="Q196" s="1851"/>
      <c r="R196" s="1852"/>
      <c r="S196" s="1852"/>
      <c r="T196" s="1852"/>
      <c r="U196" s="1852"/>
      <c r="V196" s="1852"/>
      <c r="W196" s="1852"/>
      <c r="X196" s="1852"/>
      <c r="Y196" s="1852"/>
      <c r="Z196" s="1852"/>
      <c r="AA196" s="1852"/>
      <c r="AB196" s="1949"/>
      <c r="AC196" s="1824">
        <f t="shared" si="59"/>
        <v>0</v>
      </c>
      <c r="AD196" s="1825">
        <f t="shared" si="60"/>
        <v>5166667</v>
      </c>
      <c r="AF196" s="848" t="s">
        <v>325</v>
      </c>
      <c r="AG196" s="1291" t="s">
        <v>1575</v>
      </c>
      <c r="AH196" s="1059" t="s">
        <v>516</v>
      </c>
      <c r="AI196" s="1048">
        <f t="shared" si="61"/>
        <v>330</v>
      </c>
      <c r="AJ196" s="849">
        <v>5166667</v>
      </c>
      <c r="AK196" s="851">
        <f t="shared" si="56"/>
        <v>0</v>
      </c>
      <c r="AL196" s="820"/>
      <c r="AM196" s="1518">
        <f t="shared" si="62"/>
        <v>0</v>
      </c>
    </row>
    <row r="197" spans="1:39" s="766" customFormat="1" ht="15">
      <c r="A197" s="1463" t="s">
        <v>119</v>
      </c>
      <c r="B197" s="1969">
        <f t="shared" si="58"/>
        <v>53666666</v>
      </c>
      <c r="C197" s="95" t="s">
        <v>36</v>
      </c>
      <c r="D197" s="96" t="s">
        <v>830</v>
      </c>
      <c r="E197" s="96" t="s">
        <v>1651</v>
      </c>
      <c r="F197" s="96" t="s">
        <v>1652</v>
      </c>
      <c r="G197" s="96" t="s">
        <v>79</v>
      </c>
      <c r="H197" s="631" t="s">
        <v>1643</v>
      </c>
      <c r="I197" s="1656">
        <v>513</v>
      </c>
      <c r="J197" s="1650"/>
      <c r="K197" s="1651"/>
      <c r="L197" s="1652">
        <v>437</v>
      </c>
      <c r="M197" s="1659">
        <f>56000000-2333334</f>
        <v>53666666</v>
      </c>
      <c r="N197" s="1652">
        <v>452</v>
      </c>
      <c r="O197" s="1604">
        <v>53666666</v>
      </c>
      <c r="P197" s="1655">
        <v>332</v>
      </c>
      <c r="Q197" s="1851"/>
      <c r="R197" s="1852"/>
      <c r="S197" s="1852"/>
      <c r="T197" s="1852"/>
      <c r="U197" s="1852"/>
      <c r="V197" s="1852">
        <v>7233333</v>
      </c>
      <c r="W197" s="1852">
        <v>7000000</v>
      </c>
      <c r="X197" s="1852">
        <v>7000000</v>
      </c>
      <c r="Y197" s="1852">
        <v>7000000</v>
      </c>
      <c r="Z197" s="1852">
        <v>7000000</v>
      </c>
      <c r="AA197" s="1852">
        <v>7000000</v>
      </c>
      <c r="AB197" s="1949">
        <f>7000000+4433333</f>
        <v>11433333</v>
      </c>
      <c r="AC197" s="1824">
        <f t="shared" si="59"/>
        <v>53666666</v>
      </c>
      <c r="AD197" s="1825">
        <f t="shared" si="60"/>
        <v>0</v>
      </c>
      <c r="AF197" s="848">
        <v>513</v>
      </c>
      <c r="AG197" s="1291" t="s">
        <v>881</v>
      </c>
      <c r="AH197" s="1059" t="s">
        <v>917</v>
      </c>
      <c r="AI197" s="1048">
        <f t="shared" si="61"/>
        <v>332</v>
      </c>
      <c r="AJ197" s="849">
        <f>56000000-2333334</f>
        <v>53666666</v>
      </c>
      <c r="AK197" s="851">
        <f t="shared" si="56"/>
        <v>0</v>
      </c>
      <c r="AL197" s="820"/>
      <c r="AM197" s="1518">
        <f t="shared" si="62"/>
        <v>0</v>
      </c>
    </row>
    <row r="198" spans="1:39" s="766" customFormat="1">
      <c r="A198" s="1463" t="s">
        <v>119</v>
      </c>
      <c r="B198" s="1969">
        <f t="shared" si="58"/>
        <v>9566667</v>
      </c>
      <c r="C198" s="95" t="s">
        <v>36</v>
      </c>
      <c r="D198" s="96" t="s">
        <v>830</v>
      </c>
      <c r="E198" s="96" t="s">
        <v>1651</v>
      </c>
      <c r="F198" s="96" t="s">
        <v>1652</v>
      </c>
      <c r="G198" s="96" t="s">
        <v>79</v>
      </c>
      <c r="H198" s="631" t="s">
        <v>1643</v>
      </c>
      <c r="I198" s="2142" t="s">
        <v>325</v>
      </c>
      <c r="J198" s="1650">
        <v>784</v>
      </c>
      <c r="K198" s="1651">
        <v>9566667</v>
      </c>
      <c r="L198" s="1652">
        <v>932</v>
      </c>
      <c r="M198" s="1659">
        <v>9566667</v>
      </c>
      <c r="N198" s="1652">
        <v>1070</v>
      </c>
      <c r="O198" s="1604">
        <v>9566667</v>
      </c>
      <c r="P198" s="1655">
        <v>332</v>
      </c>
      <c r="Q198" s="1851"/>
      <c r="R198" s="1852"/>
      <c r="S198" s="1852"/>
      <c r="T198" s="1852"/>
      <c r="U198" s="1852"/>
      <c r="V198" s="1852"/>
      <c r="W198" s="1852"/>
      <c r="X198" s="1852"/>
      <c r="Y198" s="1852"/>
      <c r="Z198" s="1852"/>
      <c r="AA198" s="1852"/>
      <c r="AB198" s="1949">
        <v>2566667</v>
      </c>
      <c r="AC198" s="1824">
        <f t="shared" si="59"/>
        <v>2566667</v>
      </c>
      <c r="AD198" s="1825">
        <f t="shared" si="60"/>
        <v>7000000</v>
      </c>
      <c r="AF198" s="848" t="s">
        <v>325</v>
      </c>
      <c r="AG198" s="1291" t="s">
        <v>1491</v>
      </c>
      <c r="AH198" s="1059" t="s">
        <v>917</v>
      </c>
      <c r="AI198" s="1048">
        <f t="shared" si="61"/>
        <v>332</v>
      </c>
      <c r="AJ198" s="849">
        <v>9566667</v>
      </c>
      <c r="AK198" s="851">
        <f t="shared" si="56"/>
        <v>0</v>
      </c>
      <c r="AL198" s="820"/>
      <c r="AM198" s="1518">
        <f t="shared" si="62"/>
        <v>0</v>
      </c>
    </row>
    <row r="199" spans="1:39" s="766" customFormat="1" ht="15">
      <c r="A199" s="1463" t="s">
        <v>119</v>
      </c>
      <c r="B199" s="1969">
        <f t="shared" si="58"/>
        <v>41250000</v>
      </c>
      <c r="C199" s="95" t="s">
        <v>36</v>
      </c>
      <c r="D199" s="96" t="s">
        <v>830</v>
      </c>
      <c r="E199" s="96" t="s">
        <v>1651</v>
      </c>
      <c r="F199" s="96" t="s">
        <v>1652</v>
      </c>
      <c r="G199" s="96" t="s">
        <v>79</v>
      </c>
      <c r="H199" s="631" t="s">
        <v>1643</v>
      </c>
      <c r="I199" s="1656">
        <v>514</v>
      </c>
      <c r="J199" s="1650"/>
      <c r="K199" s="1651"/>
      <c r="L199" s="1652">
        <v>461</v>
      </c>
      <c r="M199" s="1659">
        <v>41250000</v>
      </c>
      <c r="N199" s="1652">
        <v>500</v>
      </c>
      <c r="O199" s="1604">
        <v>41250000</v>
      </c>
      <c r="P199" s="1655">
        <v>353</v>
      </c>
      <c r="Q199" s="1851"/>
      <c r="R199" s="1852"/>
      <c r="S199" s="1852"/>
      <c r="T199" s="1852"/>
      <c r="U199" s="1852"/>
      <c r="V199" s="1852">
        <v>3116667</v>
      </c>
      <c r="W199" s="1852">
        <v>5500000</v>
      </c>
      <c r="X199" s="1852">
        <v>5500000</v>
      </c>
      <c r="Y199" s="1852">
        <v>5500000</v>
      </c>
      <c r="Z199" s="1852">
        <v>5500000</v>
      </c>
      <c r="AA199" s="1852">
        <v>5500000</v>
      </c>
      <c r="AB199" s="1949">
        <f>5500000+5133333</f>
        <v>10633333</v>
      </c>
      <c r="AC199" s="1824">
        <f t="shared" si="59"/>
        <v>41250000</v>
      </c>
      <c r="AD199" s="1825">
        <f t="shared" si="60"/>
        <v>0</v>
      </c>
      <c r="AF199" s="848">
        <v>514</v>
      </c>
      <c r="AG199" s="1291" t="s">
        <v>887</v>
      </c>
      <c r="AH199" s="1059" t="s">
        <v>982</v>
      </c>
      <c r="AI199" s="1048">
        <f t="shared" si="61"/>
        <v>353</v>
      </c>
      <c r="AJ199" s="849">
        <f>43920000-2670000</f>
        <v>41250000</v>
      </c>
      <c r="AK199" s="851">
        <f t="shared" si="56"/>
        <v>0</v>
      </c>
      <c r="AL199" s="820"/>
      <c r="AM199" s="1518">
        <f t="shared" si="62"/>
        <v>0</v>
      </c>
    </row>
    <row r="200" spans="1:39" s="766" customFormat="1">
      <c r="A200" s="1463" t="s">
        <v>119</v>
      </c>
      <c r="B200" s="1969">
        <f t="shared" si="58"/>
        <v>5866667</v>
      </c>
      <c r="C200" s="95" t="s">
        <v>36</v>
      </c>
      <c r="D200" s="96" t="s">
        <v>830</v>
      </c>
      <c r="E200" s="96" t="s">
        <v>1651</v>
      </c>
      <c r="F200" s="96" t="s">
        <v>1652</v>
      </c>
      <c r="G200" s="96" t="s">
        <v>79</v>
      </c>
      <c r="H200" s="631" t="s">
        <v>1643</v>
      </c>
      <c r="I200" s="2142" t="s">
        <v>325</v>
      </c>
      <c r="J200" s="1650">
        <v>798</v>
      </c>
      <c r="K200" s="1651">
        <v>5866667</v>
      </c>
      <c r="L200" s="1652">
        <v>902</v>
      </c>
      <c r="M200" s="1659">
        <v>5866667</v>
      </c>
      <c r="N200" s="1652">
        <v>1103</v>
      </c>
      <c r="O200" s="1604">
        <v>5866667</v>
      </c>
      <c r="P200" s="1655">
        <v>353</v>
      </c>
      <c r="Q200" s="1851"/>
      <c r="R200" s="1852"/>
      <c r="S200" s="1852"/>
      <c r="T200" s="1852"/>
      <c r="U200" s="1852"/>
      <c r="V200" s="1852"/>
      <c r="W200" s="1852"/>
      <c r="X200" s="1852"/>
      <c r="Y200" s="1852"/>
      <c r="Z200" s="1852"/>
      <c r="AA200" s="1852"/>
      <c r="AB200" s="1949">
        <v>366667</v>
      </c>
      <c r="AC200" s="1824">
        <f t="shared" si="59"/>
        <v>366667</v>
      </c>
      <c r="AD200" s="1825">
        <f t="shared" si="60"/>
        <v>5500000</v>
      </c>
      <c r="AF200" s="848" t="s">
        <v>325</v>
      </c>
      <c r="AG200" s="1291" t="s">
        <v>1487</v>
      </c>
      <c r="AH200" s="1059" t="s">
        <v>982</v>
      </c>
      <c r="AI200" s="1048">
        <f t="shared" si="61"/>
        <v>353</v>
      </c>
      <c r="AJ200" s="849">
        <v>5866667</v>
      </c>
      <c r="AK200" s="851">
        <f t="shared" si="56"/>
        <v>0</v>
      </c>
      <c r="AL200" s="820"/>
      <c r="AM200" s="1518">
        <f t="shared" si="62"/>
        <v>0</v>
      </c>
    </row>
    <row r="201" spans="1:39" s="766" customFormat="1" ht="15" customHeight="1">
      <c r="A201" s="1463" t="s">
        <v>119</v>
      </c>
      <c r="B201" s="1969">
        <f t="shared" si="58"/>
        <v>62333333</v>
      </c>
      <c r="C201" s="95" t="s">
        <v>36</v>
      </c>
      <c r="D201" s="96" t="s">
        <v>830</v>
      </c>
      <c r="E201" s="96" t="s">
        <v>1651</v>
      </c>
      <c r="F201" s="96" t="s">
        <v>1652</v>
      </c>
      <c r="G201" s="96" t="s">
        <v>79</v>
      </c>
      <c r="H201" s="631" t="s">
        <v>1643</v>
      </c>
      <c r="I201" s="1656">
        <v>515</v>
      </c>
      <c r="J201" s="1650"/>
      <c r="K201" s="1651"/>
      <c r="L201" s="1652">
        <v>472</v>
      </c>
      <c r="M201" s="1659">
        <v>62333333</v>
      </c>
      <c r="N201" s="1652">
        <v>506</v>
      </c>
      <c r="O201" s="1604">
        <v>62333333</v>
      </c>
      <c r="P201" s="1655">
        <v>355</v>
      </c>
      <c r="Q201" s="1851"/>
      <c r="R201" s="1852"/>
      <c r="S201" s="1852"/>
      <c r="T201" s="1852"/>
      <c r="U201" s="1852"/>
      <c r="V201" s="1852">
        <v>4250000</v>
      </c>
      <c r="W201" s="1852">
        <v>8500000</v>
      </c>
      <c r="X201" s="1852">
        <v>8500000</v>
      </c>
      <c r="Y201" s="1852">
        <v>8500000</v>
      </c>
      <c r="Z201" s="1852">
        <v>8500000</v>
      </c>
      <c r="AA201" s="1852">
        <v>8500000</v>
      </c>
      <c r="AB201" s="1949">
        <f>8500000+7083333</f>
        <v>15583333</v>
      </c>
      <c r="AC201" s="1824">
        <f t="shared" si="59"/>
        <v>62333333</v>
      </c>
      <c r="AD201" s="1825">
        <f t="shared" si="60"/>
        <v>0</v>
      </c>
      <c r="AF201" s="848">
        <v>515</v>
      </c>
      <c r="AG201" s="1291" t="s">
        <v>888</v>
      </c>
      <c r="AH201" s="1059" t="s">
        <v>983</v>
      </c>
      <c r="AI201" s="1048">
        <f t="shared" si="61"/>
        <v>355</v>
      </c>
      <c r="AJ201" s="849">
        <f>68000000-5666667</f>
        <v>62333333</v>
      </c>
      <c r="AK201" s="851">
        <f t="shared" si="56"/>
        <v>0</v>
      </c>
      <c r="AL201" s="820"/>
      <c r="AM201" s="1518">
        <f t="shared" si="62"/>
        <v>0</v>
      </c>
    </row>
    <row r="202" spans="1:39" s="766" customFormat="1">
      <c r="A202" s="1463" t="s">
        <v>119</v>
      </c>
      <c r="B202" s="1969">
        <f t="shared" si="58"/>
        <v>9916667</v>
      </c>
      <c r="C202" s="95" t="s">
        <v>36</v>
      </c>
      <c r="D202" s="96" t="s">
        <v>830</v>
      </c>
      <c r="E202" s="96" t="s">
        <v>1651</v>
      </c>
      <c r="F202" s="96" t="s">
        <v>1652</v>
      </c>
      <c r="G202" s="96" t="s">
        <v>79</v>
      </c>
      <c r="H202" s="631" t="s">
        <v>1643</v>
      </c>
      <c r="I202" s="2142" t="s">
        <v>325</v>
      </c>
      <c r="J202" s="1650">
        <v>796</v>
      </c>
      <c r="K202" s="1651">
        <v>9916667</v>
      </c>
      <c r="L202" s="1652">
        <v>903</v>
      </c>
      <c r="M202" s="1659">
        <v>9916667</v>
      </c>
      <c r="N202" s="1652">
        <v>1104</v>
      </c>
      <c r="O202" s="1604">
        <v>9916667</v>
      </c>
      <c r="P202" s="1655">
        <v>355</v>
      </c>
      <c r="Q202" s="1851"/>
      <c r="R202" s="1852"/>
      <c r="S202" s="1852"/>
      <c r="T202" s="1852"/>
      <c r="U202" s="1852"/>
      <c r="V202" s="1852"/>
      <c r="W202" s="1852"/>
      <c r="X202" s="1852"/>
      <c r="Y202" s="1852"/>
      <c r="Z202" s="1852"/>
      <c r="AA202" s="1852"/>
      <c r="AB202" s="1949">
        <v>1416667</v>
      </c>
      <c r="AC202" s="1824">
        <f t="shared" si="59"/>
        <v>1416667</v>
      </c>
      <c r="AD202" s="1825">
        <f t="shared" si="60"/>
        <v>8500000</v>
      </c>
      <c r="AF202" s="848" t="s">
        <v>325</v>
      </c>
      <c r="AG202" s="1291" t="s">
        <v>1493</v>
      </c>
      <c r="AH202" s="1059" t="s">
        <v>983</v>
      </c>
      <c r="AI202" s="1048">
        <f t="shared" si="61"/>
        <v>355</v>
      </c>
      <c r="AJ202" s="849">
        <v>9916667</v>
      </c>
      <c r="AK202" s="851">
        <f t="shared" si="56"/>
        <v>0</v>
      </c>
      <c r="AL202" s="820"/>
      <c r="AM202" s="1518">
        <f t="shared" si="62"/>
        <v>0</v>
      </c>
    </row>
    <row r="203" spans="1:39" s="766" customFormat="1" ht="15">
      <c r="A203" s="1463" t="s">
        <v>119</v>
      </c>
      <c r="B203" s="1969">
        <f t="shared" si="58"/>
        <v>21600000</v>
      </c>
      <c r="C203" s="95" t="s">
        <v>36</v>
      </c>
      <c r="D203" s="96" t="s">
        <v>830</v>
      </c>
      <c r="E203" s="96" t="s">
        <v>1651</v>
      </c>
      <c r="F203" s="96" t="s">
        <v>1652</v>
      </c>
      <c r="G203" s="96" t="s">
        <v>79</v>
      </c>
      <c r="H203" s="631" t="s">
        <v>1643</v>
      </c>
      <c r="I203" s="1656">
        <v>520</v>
      </c>
      <c r="J203" s="1650"/>
      <c r="K203" s="1651"/>
      <c r="L203" s="1652">
        <v>532</v>
      </c>
      <c r="M203" s="1659">
        <f>23400000-1800000</f>
        <v>21600000</v>
      </c>
      <c r="N203" s="1652">
        <v>615</v>
      </c>
      <c r="O203" s="1604">
        <v>21600000</v>
      </c>
      <c r="P203" s="1655">
        <v>380</v>
      </c>
      <c r="Q203" s="1851"/>
      <c r="R203" s="1852"/>
      <c r="S203" s="1852"/>
      <c r="T203" s="1852"/>
      <c r="U203" s="1852"/>
      <c r="V203" s="1852"/>
      <c r="W203" s="1852">
        <v>2040000</v>
      </c>
      <c r="X203" s="1852">
        <f>2040000+1560000</f>
        <v>3600000</v>
      </c>
      <c r="Y203" s="1852">
        <v>3600000</v>
      </c>
      <c r="Z203" s="1852">
        <v>3600000</v>
      </c>
      <c r="AA203" s="1852">
        <v>3600000</v>
      </c>
      <c r="AB203" s="1949">
        <f>3600000+1560000</f>
        <v>5160000</v>
      </c>
      <c r="AC203" s="1824">
        <f t="shared" si="59"/>
        <v>21600000</v>
      </c>
      <c r="AD203" s="1825">
        <f t="shared" si="60"/>
        <v>0</v>
      </c>
      <c r="AF203" s="848">
        <v>520</v>
      </c>
      <c r="AG203" s="1291" t="s">
        <v>944</v>
      </c>
      <c r="AH203" s="1059" t="s">
        <v>1081</v>
      </c>
      <c r="AI203" s="1048">
        <f t="shared" si="61"/>
        <v>380</v>
      </c>
      <c r="AJ203" s="849">
        <f>25200000-3600000</f>
        <v>21600000</v>
      </c>
      <c r="AK203" s="851">
        <f t="shared" si="56"/>
        <v>0</v>
      </c>
      <c r="AL203" s="820"/>
      <c r="AM203" s="1518">
        <f t="shared" si="62"/>
        <v>0</v>
      </c>
    </row>
    <row r="204" spans="1:39" s="766" customFormat="1" ht="15">
      <c r="A204" s="1463" t="s">
        <v>119</v>
      </c>
      <c r="B204" s="1969">
        <f t="shared" si="58"/>
        <v>12245333</v>
      </c>
      <c r="C204" s="95" t="s">
        <v>36</v>
      </c>
      <c r="D204" s="96" t="s">
        <v>830</v>
      </c>
      <c r="E204" s="96" t="s">
        <v>1651</v>
      </c>
      <c r="F204" s="96" t="s">
        <v>1652</v>
      </c>
      <c r="G204" s="96" t="s">
        <v>79</v>
      </c>
      <c r="H204" s="631" t="s">
        <v>1643</v>
      </c>
      <c r="I204" s="1656">
        <v>550</v>
      </c>
      <c r="J204" s="1650">
        <v>542</v>
      </c>
      <c r="K204" s="1651">
        <v>12915000</v>
      </c>
      <c r="L204" s="1652">
        <v>627</v>
      </c>
      <c r="M204" s="1659">
        <f>12915000-669667</f>
        <v>12245333</v>
      </c>
      <c r="N204" s="1652">
        <v>783</v>
      </c>
      <c r="O204" s="1604">
        <v>12245333</v>
      </c>
      <c r="P204" s="1655">
        <v>443</v>
      </c>
      <c r="Q204" s="1851"/>
      <c r="R204" s="1852"/>
      <c r="S204" s="1852"/>
      <c r="T204" s="1852"/>
      <c r="U204" s="1852"/>
      <c r="V204" s="1852"/>
      <c r="W204" s="1852"/>
      <c r="X204" s="1852"/>
      <c r="Y204" s="1852"/>
      <c r="Z204" s="1852">
        <v>3635222</v>
      </c>
      <c r="AA204" s="1852">
        <v>2870000</v>
      </c>
      <c r="AB204" s="1949">
        <f>2870000+2870000</f>
        <v>5740000</v>
      </c>
      <c r="AC204" s="1824">
        <f t="shared" si="59"/>
        <v>12245222</v>
      </c>
      <c r="AD204" s="1825">
        <f t="shared" si="60"/>
        <v>111</v>
      </c>
      <c r="AF204" s="848">
        <v>550</v>
      </c>
      <c r="AG204" s="1291" t="s">
        <v>1085</v>
      </c>
      <c r="AH204" s="1059" t="s">
        <v>1215</v>
      </c>
      <c r="AI204" s="1048">
        <f t="shared" si="61"/>
        <v>443</v>
      </c>
      <c r="AJ204" s="849">
        <f>15785000-3539667</f>
        <v>12245333</v>
      </c>
      <c r="AK204" s="851">
        <f t="shared" si="56"/>
        <v>0</v>
      </c>
      <c r="AL204" s="820"/>
      <c r="AM204" s="1518">
        <f t="shared" si="62"/>
        <v>0</v>
      </c>
    </row>
    <row r="205" spans="1:39" s="766" customFormat="1" ht="15">
      <c r="A205" s="1463" t="s">
        <v>119</v>
      </c>
      <c r="B205" s="1969">
        <f t="shared" si="58"/>
        <v>20250000</v>
      </c>
      <c r="C205" s="95" t="s">
        <v>36</v>
      </c>
      <c r="D205" s="96" t="s">
        <v>830</v>
      </c>
      <c r="E205" s="96" t="s">
        <v>1651</v>
      </c>
      <c r="F205" s="96" t="s">
        <v>1652</v>
      </c>
      <c r="G205" s="96" t="s">
        <v>79</v>
      </c>
      <c r="H205" s="631" t="s">
        <v>1643</v>
      </c>
      <c r="I205" s="1656">
        <v>557</v>
      </c>
      <c r="J205" s="1650"/>
      <c r="K205" s="1651"/>
      <c r="L205" s="1652">
        <v>611</v>
      </c>
      <c r="M205" s="1659">
        <v>20250000</v>
      </c>
      <c r="N205" s="1652">
        <v>726</v>
      </c>
      <c r="O205" s="1604">
        <v>20250000</v>
      </c>
      <c r="P205" s="1655">
        <v>433</v>
      </c>
      <c r="Q205" s="1851"/>
      <c r="R205" s="1852"/>
      <c r="S205" s="1852"/>
      <c r="T205" s="1852"/>
      <c r="U205" s="1852"/>
      <c r="V205" s="1852"/>
      <c r="W205" s="1852"/>
      <c r="X205" s="1852"/>
      <c r="Y205" s="1852">
        <v>4500000</v>
      </c>
      <c r="Z205" s="1852">
        <v>4500000</v>
      </c>
      <c r="AA205" s="1852">
        <v>4500000</v>
      </c>
      <c r="AB205" s="1949">
        <f>4500000+2250000</f>
        <v>6750000</v>
      </c>
      <c r="AC205" s="1824">
        <f t="shared" si="59"/>
        <v>20250000</v>
      </c>
      <c r="AD205" s="1825">
        <f t="shared" si="60"/>
        <v>0</v>
      </c>
      <c r="AF205" s="848">
        <v>557</v>
      </c>
      <c r="AG205" s="1291" t="s">
        <v>1103</v>
      </c>
      <c r="AH205" s="1059" t="s">
        <v>1164</v>
      </c>
      <c r="AI205" s="1048">
        <f t="shared" si="61"/>
        <v>433</v>
      </c>
      <c r="AJ205" s="849">
        <f>24750000-4500000</f>
        <v>20250000</v>
      </c>
      <c r="AK205" s="851">
        <f t="shared" si="56"/>
        <v>0</v>
      </c>
      <c r="AL205" s="820"/>
      <c r="AM205" s="1518">
        <f t="shared" si="62"/>
        <v>0</v>
      </c>
    </row>
    <row r="206" spans="1:39" s="766" customFormat="1">
      <c r="A206" s="1463" t="s">
        <v>119</v>
      </c>
      <c r="B206" s="1969">
        <f t="shared" si="58"/>
        <v>7200000</v>
      </c>
      <c r="C206" s="95" t="s">
        <v>36</v>
      </c>
      <c r="D206" s="96" t="s">
        <v>830</v>
      </c>
      <c r="E206" s="96" t="s">
        <v>1651</v>
      </c>
      <c r="F206" s="96" t="s">
        <v>1652</v>
      </c>
      <c r="G206" s="96" t="s">
        <v>79</v>
      </c>
      <c r="H206" s="631" t="s">
        <v>1643</v>
      </c>
      <c r="I206" s="1650">
        <v>609</v>
      </c>
      <c r="J206" s="1650">
        <v>682</v>
      </c>
      <c r="K206" s="1651">
        <v>7200000</v>
      </c>
      <c r="L206" s="1652">
        <v>784</v>
      </c>
      <c r="M206" s="1659">
        <v>7200000</v>
      </c>
      <c r="N206" s="1652">
        <v>966</v>
      </c>
      <c r="O206" s="1604">
        <v>7200000</v>
      </c>
      <c r="P206" s="1655">
        <v>491</v>
      </c>
      <c r="Q206" s="1851"/>
      <c r="R206" s="1852"/>
      <c r="S206" s="1852"/>
      <c r="T206" s="1852"/>
      <c r="U206" s="1852"/>
      <c r="V206" s="1852"/>
      <c r="W206" s="1852"/>
      <c r="X206" s="1852"/>
      <c r="Y206" s="1852"/>
      <c r="Z206" s="1852"/>
      <c r="AA206" s="1852"/>
      <c r="AB206" s="1949">
        <f>1603333+3700000</f>
        <v>5303333</v>
      </c>
      <c r="AC206" s="1824">
        <f t="shared" si="59"/>
        <v>5303333</v>
      </c>
      <c r="AD206" s="1825">
        <f t="shared" si="60"/>
        <v>1896667</v>
      </c>
      <c r="AF206" s="848">
        <v>609</v>
      </c>
      <c r="AG206" s="1291" t="s">
        <v>1313</v>
      </c>
      <c r="AH206" s="1059" t="s">
        <v>1539</v>
      </c>
      <c r="AI206" s="1048">
        <f t="shared" si="61"/>
        <v>491</v>
      </c>
      <c r="AJ206" s="849">
        <v>7200000</v>
      </c>
      <c r="AK206" s="851">
        <f t="shared" si="56"/>
        <v>0</v>
      </c>
      <c r="AL206" s="820"/>
      <c r="AM206" s="1518">
        <f t="shared" si="62"/>
        <v>0</v>
      </c>
    </row>
    <row r="207" spans="1:39" s="766" customFormat="1">
      <c r="A207" s="1463" t="s">
        <v>119</v>
      </c>
      <c r="B207" s="1969">
        <f t="shared" si="58"/>
        <v>8400000</v>
      </c>
      <c r="C207" s="95" t="s">
        <v>36</v>
      </c>
      <c r="D207" s="96" t="s">
        <v>830</v>
      </c>
      <c r="E207" s="96" t="s">
        <v>1651</v>
      </c>
      <c r="F207" s="96" t="s">
        <v>1652</v>
      </c>
      <c r="G207" s="96" t="s">
        <v>79</v>
      </c>
      <c r="H207" s="631" t="s">
        <v>1643</v>
      </c>
      <c r="I207" s="1650">
        <v>610</v>
      </c>
      <c r="J207" s="1650">
        <v>683</v>
      </c>
      <c r="K207" s="1651">
        <v>10500000</v>
      </c>
      <c r="L207" s="1652">
        <v>782</v>
      </c>
      <c r="M207" s="1659">
        <f>10500000-2100000</f>
        <v>8400000</v>
      </c>
      <c r="N207" s="1652">
        <v>944</v>
      </c>
      <c r="O207" s="1604">
        <v>8400000</v>
      </c>
      <c r="P207" s="1655">
        <v>489</v>
      </c>
      <c r="Q207" s="1851"/>
      <c r="R207" s="1852"/>
      <c r="S207" s="1852"/>
      <c r="T207" s="1852"/>
      <c r="U207" s="1852"/>
      <c r="V207" s="1852"/>
      <c r="W207" s="1852"/>
      <c r="X207" s="1852"/>
      <c r="Y207" s="1852"/>
      <c r="Z207" s="1852"/>
      <c r="AA207" s="1852"/>
      <c r="AB207" s="1949">
        <f>3600000+4500000</f>
        <v>8100000</v>
      </c>
      <c r="AC207" s="1824">
        <f t="shared" si="59"/>
        <v>8100000</v>
      </c>
      <c r="AD207" s="1825">
        <f t="shared" si="60"/>
        <v>300000</v>
      </c>
      <c r="AF207" s="848">
        <v>610</v>
      </c>
      <c r="AG207" s="1291" t="s">
        <v>1314</v>
      </c>
      <c r="AH207" s="1059" t="s">
        <v>555</v>
      </c>
      <c r="AI207" s="1048">
        <f t="shared" si="61"/>
        <v>489</v>
      </c>
      <c r="AJ207" s="849">
        <f>10500000-2100000</f>
        <v>8400000</v>
      </c>
      <c r="AK207" s="851">
        <f t="shared" si="56"/>
        <v>0</v>
      </c>
      <c r="AL207" s="820"/>
      <c r="AM207" s="1518">
        <f t="shared" si="62"/>
        <v>0</v>
      </c>
    </row>
    <row r="208" spans="1:39" s="766" customFormat="1">
      <c r="A208" s="1463" t="s">
        <v>119</v>
      </c>
      <c r="B208" s="1969">
        <f t="shared" si="58"/>
        <v>4200000</v>
      </c>
      <c r="C208" s="95" t="s">
        <v>36</v>
      </c>
      <c r="D208" s="96" t="s">
        <v>830</v>
      </c>
      <c r="E208" s="96" t="s">
        <v>1651</v>
      </c>
      <c r="F208" s="96" t="s">
        <v>1652</v>
      </c>
      <c r="G208" s="96" t="s">
        <v>79</v>
      </c>
      <c r="H208" s="631" t="s">
        <v>1643</v>
      </c>
      <c r="I208" s="1650" t="s">
        <v>325</v>
      </c>
      <c r="J208" s="1650">
        <v>860</v>
      </c>
      <c r="K208" s="1651">
        <v>4200000</v>
      </c>
      <c r="L208" s="1652">
        <v>993</v>
      </c>
      <c r="M208" s="1659">
        <v>4200000</v>
      </c>
      <c r="N208" s="1652">
        <v>1198</v>
      </c>
      <c r="O208" s="1604">
        <v>4200000</v>
      </c>
      <c r="P208" s="1655">
        <v>489</v>
      </c>
      <c r="Q208" s="1851"/>
      <c r="R208" s="1852"/>
      <c r="S208" s="1852"/>
      <c r="T208" s="1852"/>
      <c r="U208" s="1852"/>
      <c r="V208" s="1852"/>
      <c r="W208" s="1852"/>
      <c r="X208" s="1852"/>
      <c r="Y208" s="1852"/>
      <c r="Z208" s="1852"/>
      <c r="AA208" s="1852"/>
      <c r="AB208" s="1949"/>
      <c r="AC208" s="1824">
        <f t="shared" si="59"/>
        <v>0</v>
      </c>
      <c r="AD208" s="1825">
        <f t="shared" si="60"/>
        <v>4200000</v>
      </c>
      <c r="AF208" s="848" t="s">
        <v>325</v>
      </c>
      <c r="AG208" s="1291" t="s">
        <v>1572</v>
      </c>
      <c r="AH208" s="1059" t="s">
        <v>555</v>
      </c>
      <c r="AI208" s="1048">
        <f t="shared" si="61"/>
        <v>489</v>
      </c>
      <c r="AJ208" s="849">
        <v>4200000</v>
      </c>
      <c r="AK208" s="851">
        <f t="shared" si="56"/>
        <v>0</v>
      </c>
      <c r="AL208" s="820"/>
      <c r="AM208" s="1518">
        <f t="shared" si="62"/>
        <v>0</v>
      </c>
    </row>
    <row r="209" spans="1:39" s="766" customFormat="1">
      <c r="A209" s="1463" t="s">
        <v>119</v>
      </c>
      <c r="B209" s="1969">
        <f t="shared" si="58"/>
        <v>16000000</v>
      </c>
      <c r="C209" s="95" t="s">
        <v>36</v>
      </c>
      <c r="D209" s="96" t="s">
        <v>830</v>
      </c>
      <c r="E209" s="96" t="s">
        <v>1651</v>
      </c>
      <c r="F209" s="96" t="s">
        <v>1652</v>
      </c>
      <c r="G209" s="96" t="s">
        <v>79</v>
      </c>
      <c r="H209" s="631" t="s">
        <v>1643</v>
      </c>
      <c r="I209" s="1650">
        <v>611</v>
      </c>
      <c r="J209" s="1650">
        <v>684</v>
      </c>
      <c r="K209" s="1651">
        <v>16000000</v>
      </c>
      <c r="L209" s="1652">
        <v>785</v>
      </c>
      <c r="M209" s="1659">
        <v>16000000</v>
      </c>
      <c r="N209" s="1652">
        <v>953</v>
      </c>
      <c r="O209" s="1604">
        <v>16000000</v>
      </c>
      <c r="P209" s="1655">
        <v>490</v>
      </c>
      <c r="Q209" s="1851"/>
      <c r="R209" s="1852"/>
      <c r="S209" s="1852"/>
      <c r="T209" s="1852"/>
      <c r="U209" s="1852"/>
      <c r="V209" s="1852"/>
      <c r="W209" s="1852"/>
      <c r="X209" s="1852"/>
      <c r="Y209" s="1852"/>
      <c r="Z209" s="1852"/>
      <c r="AA209" s="1852"/>
      <c r="AB209" s="1949">
        <f>3466667+8000000</f>
        <v>11466667</v>
      </c>
      <c r="AC209" s="1824">
        <f t="shared" si="59"/>
        <v>11466667</v>
      </c>
      <c r="AD209" s="1825">
        <f t="shared" si="60"/>
        <v>4533333</v>
      </c>
      <c r="AF209" s="848">
        <v>611</v>
      </c>
      <c r="AG209" s="1291" t="s">
        <v>1315</v>
      </c>
      <c r="AH209" s="1059" t="s">
        <v>1423</v>
      </c>
      <c r="AI209" s="1048">
        <f t="shared" si="61"/>
        <v>490</v>
      </c>
      <c r="AJ209" s="849">
        <v>16000000</v>
      </c>
      <c r="AK209" s="851">
        <f t="shared" si="56"/>
        <v>0</v>
      </c>
      <c r="AL209" s="820"/>
      <c r="AM209" s="1518">
        <f t="shared" si="62"/>
        <v>0</v>
      </c>
    </row>
    <row r="210" spans="1:39" s="766" customFormat="1" ht="15">
      <c r="A210" s="1463" t="s">
        <v>119</v>
      </c>
      <c r="B210" s="1969">
        <f t="shared" si="58"/>
        <v>0</v>
      </c>
      <c r="C210" s="95" t="s">
        <v>36</v>
      </c>
      <c r="D210" s="96" t="s">
        <v>830</v>
      </c>
      <c r="E210" s="96" t="s">
        <v>1651</v>
      </c>
      <c r="F210" s="96" t="s">
        <v>1652</v>
      </c>
      <c r="G210" s="96" t="s">
        <v>79</v>
      </c>
      <c r="H210" s="631" t="s">
        <v>1643</v>
      </c>
      <c r="I210" s="1656" t="s">
        <v>173</v>
      </c>
      <c r="J210" s="1650"/>
      <c r="K210" s="1651"/>
      <c r="L210" s="1652"/>
      <c r="M210" s="1659"/>
      <c r="N210" s="1652"/>
      <c r="O210" s="1604"/>
      <c r="P210" s="1655"/>
      <c r="Q210" s="1851"/>
      <c r="R210" s="1852"/>
      <c r="S210" s="1852"/>
      <c r="T210" s="1852"/>
      <c r="U210" s="1852"/>
      <c r="V210" s="1852"/>
      <c r="W210" s="1852"/>
      <c r="X210" s="1852"/>
      <c r="Y210" s="1852"/>
      <c r="Z210" s="1852"/>
      <c r="AA210" s="1852"/>
      <c r="AB210" s="1853"/>
      <c r="AC210" s="1824">
        <f t="shared" si="59"/>
        <v>0</v>
      </c>
      <c r="AD210" s="1825">
        <f t="shared" si="60"/>
        <v>0</v>
      </c>
      <c r="AF210" s="848"/>
      <c r="AG210" s="1291"/>
      <c r="AH210" s="1059"/>
      <c r="AI210" s="1048">
        <f t="shared" si="61"/>
        <v>0</v>
      </c>
      <c r="AJ210" s="849"/>
      <c r="AK210" s="851">
        <f t="shared" si="56"/>
        <v>0</v>
      </c>
      <c r="AL210" s="820"/>
      <c r="AM210" s="1518">
        <f t="shared" si="62"/>
        <v>0</v>
      </c>
    </row>
    <row r="211" spans="1:39" s="766" customFormat="1" ht="15">
      <c r="A211" s="1463" t="s">
        <v>119</v>
      </c>
      <c r="B211" s="1969">
        <f t="shared" si="58"/>
        <v>0</v>
      </c>
      <c r="C211" s="95" t="s">
        <v>36</v>
      </c>
      <c r="D211" s="96" t="s">
        <v>830</v>
      </c>
      <c r="E211" s="96" t="s">
        <v>1651</v>
      </c>
      <c r="F211" s="96" t="s">
        <v>1652</v>
      </c>
      <c r="G211" s="96" t="s">
        <v>79</v>
      </c>
      <c r="H211" s="631" t="s">
        <v>1643</v>
      </c>
      <c r="I211" s="1656" t="s">
        <v>173</v>
      </c>
      <c r="J211" s="1650"/>
      <c r="K211" s="1651"/>
      <c r="L211" s="1652"/>
      <c r="M211" s="1659"/>
      <c r="N211" s="1652"/>
      <c r="O211" s="1604"/>
      <c r="P211" s="1655"/>
      <c r="Q211" s="1851"/>
      <c r="R211" s="1852"/>
      <c r="S211" s="1852"/>
      <c r="T211" s="1852"/>
      <c r="U211" s="1852"/>
      <c r="V211" s="1852"/>
      <c r="W211" s="1852"/>
      <c r="X211" s="1852"/>
      <c r="Y211" s="1852"/>
      <c r="Z211" s="1852"/>
      <c r="AA211" s="1852"/>
      <c r="AB211" s="1853"/>
      <c r="AC211" s="1824">
        <f t="shared" si="59"/>
        <v>0</v>
      </c>
      <c r="AD211" s="1825">
        <f t="shared" si="60"/>
        <v>0</v>
      </c>
      <c r="AF211" s="848" t="s">
        <v>325</v>
      </c>
      <c r="AG211" s="1291" t="s">
        <v>493</v>
      </c>
      <c r="AH211" s="1059" t="s">
        <v>173</v>
      </c>
      <c r="AI211" s="1048">
        <f t="shared" si="61"/>
        <v>0</v>
      </c>
      <c r="AJ211" s="849">
        <f>10840000+2223334-10118333-2945001</f>
        <v>0</v>
      </c>
      <c r="AK211" s="851">
        <f t="shared" si="56"/>
        <v>0</v>
      </c>
      <c r="AL211" s="820"/>
      <c r="AM211" s="1518">
        <f t="shared" si="62"/>
        <v>0</v>
      </c>
    </row>
    <row r="212" spans="1:39" s="8" customFormat="1" ht="15">
      <c r="A212" s="198" t="s">
        <v>80</v>
      </c>
      <c r="B212" s="1966">
        <f>B154-SUM(B155:B211)</f>
        <v>0</v>
      </c>
      <c r="C212" s="84"/>
      <c r="D212" s="767"/>
      <c r="E212" s="767"/>
      <c r="F212" s="767"/>
      <c r="G212" s="767"/>
      <c r="H212" s="2154"/>
      <c r="I212" s="1669"/>
      <c r="J212" s="1661"/>
      <c r="K212" s="1662"/>
      <c r="L212" s="1589"/>
      <c r="M212" s="1663">
        <f>SUM(M155:M211)</f>
        <v>1453162335</v>
      </c>
      <c r="N212" s="1589"/>
      <c r="O212" s="1663">
        <f>SUM(O155:O211)</f>
        <v>1453162335</v>
      </c>
      <c r="P212" s="1664"/>
      <c r="Q212" s="1663">
        <f t="shared" ref="Q212:AD212" si="63">SUM(Q155:Q211)</f>
        <v>0</v>
      </c>
      <c r="R212" s="1663">
        <f t="shared" si="63"/>
        <v>22977334</v>
      </c>
      <c r="S212" s="1663">
        <f t="shared" si="63"/>
        <v>85961000</v>
      </c>
      <c r="T212" s="1663">
        <f t="shared" si="63"/>
        <v>109790001</v>
      </c>
      <c r="U212" s="1663">
        <f t="shared" si="63"/>
        <v>103567333</v>
      </c>
      <c r="V212" s="1663">
        <f t="shared" si="63"/>
        <v>119572667</v>
      </c>
      <c r="W212" s="1663">
        <f t="shared" si="63"/>
        <v>130070000</v>
      </c>
      <c r="X212" s="1663">
        <f t="shared" si="63"/>
        <v>128610000</v>
      </c>
      <c r="Y212" s="1663">
        <f t="shared" si="63"/>
        <v>133110000</v>
      </c>
      <c r="Z212" s="1663">
        <f t="shared" si="63"/>
        <v>138745222</v>
      </c>
      <c r="AA212" s="1663">
        <f t="shared" si="63"/>
        <v>135980000</v>
      </c>
      <c r="AB212" s="1663">
        <f>SUM(AB155:AB211)</f>
        <v>271976667</v>
      </c>
      <c r="AC212" s="1663">
        <f t="shared" si="63"/>
        <v>1380360224</v>
      </c>
      <c r="AD212" s="1663">
        <f t="shared" si="63"/>
        <v>72802111</v>
      </c>
      <c r="AF212" s="853"/>
      <c r="AG212" s="121"/>
      <c r="AH212" s="121"/>
      <c r="AI212" s="135"/>
      <c r="AJ212" s="1663">
        <f>SUM(AJ155:AJ211)</f>
        <v>1453162335</v>
      </c>
      <c r="AK212" s="121">
        <f>SUM(AK155:AK211)</f>
        <v>0</v>
      </c>
      <c r="AL212" s="1873">
        <f>B154-AJ212</f>
        <v>0</v>
      </c>
      <c r="AM212" s="1341"/>
    </row>
    <row r="213" spans="1:39" s="654" customFormat="1" ht="24" customHeight="1">
      <c r="A213" s="758" t="s">
        <v>1345</v>
      </c>
      <c r="B213" s="1963">
        <f>B214+B271+B276</f>
        <v>1479213860</v>
      </c>
      <c r="C213" s="759"/>
      <c r="D213" s="760"/>
      <c r="E213" s="760"/>
      <c r="F213" s="760"/>
      <c r="G213" s="760"/>
      <c r="H213" s="2155"/>
      <c r="I213" s="1705"/>
      <c r="J213" s="1706">
        <v>0</v>
      </c>
      <c r="K213" s="1707"/>
      <c r="L213" s="1708"/>
      <c r="M213" s="1709"/>
      <c r="N213" s="1708"/>
      <c r="O213" s="1710"/>
      <c r="P213" s="1711"/>
      <c r="Q213" s="1830"/>
      <c r="R213" s="1856"/>
      <c r="S213" s="1856"/>
      <c r="T213" s="1856"/>
      <c r="U213" s="1856"/>
      <c r="V213" s="1856"/>
      <c r="W213" s="1856"/>
      <c r="X213" s="1856"/>
      <c r="Y213" s="1856"/>
      <c r="Z213" s="1856"/>
      <c r="AA213" s="1856"/>
      <c r="AB213" s="1831"/>
      <c r="AC213" s="1830"/>
      <c r="AD213" s="1831"/>
      <c r="AF213" s="1185"/>
      <c r="AG213" s="659"/>
      <c r="AH213" s="659"/>
      <c r="AI213" s="659"/>
      <c r="AJ213" s="1856"/>
      <c r="AK213" s="660"/>
      <c r="AL213" s="845"/>
      <c r="AM213" s="1517"/>
    </row>
    <row r="214" spans="1:39" s="654" customFormat="1" ht="26.25" customHeight="1">
      <c r="A214" s="758" t="s">
        <v>854</v>
      </c>
      <c r="B214" s="1970">
        <f>912000000+208990056+225350591-150000000-8087880-690900+3855647+13100+20523800</f>
        <v>1211954414</v>
      </c>
      <c r="C214" s="1280" t="s">
        <v>36</v>
      </c>
      <c r="D214" s="1281" t="s">
        <v>830</v>
      </c>
      <c r="E214" s="1281" t="s">
        <v>1651</v>
      </c>
      <c r="F214" s="1281" t="s">
        <v>1652</v>
      </c>
      <c r="G214" s="1281" t="s">
        <v>79</v>
      </c>
      <c r="H214" s="2156" t="s">
        <v>1643</v>
      </c>
      <c r="I214" s="1705"/>
      <c r="J214" s="1706"/>
      <c r="K214" s="1707"/>
      <c r="L214" s="1708"/>
      <c r="M214" s="1709"/>
      <c r="N214" s="1708"/>
      <c r="O214" s="1710"/>
      <c r="P214" s="1711"/>
      <c r="Q214" s="1830"/>
      <c r="R214" s="1856"/>
      <c r="S214" s="1856"/>
      <c r="T214" s="1856"/>
      <c r="U214" s="1856"/>
      <c r="V214" s="1856"/>
      <c r="W214" s="1856"/>
      <c r="X214" s="1856"/>
      <c r="Y214" s="1856"/>
      <c r="Z214" s="1856"/>
      <c r="AA214" s="1856"/>
      <c r="AB214" s="1831"/>
      <c r="AC214" s="1830"/>
      <c r="AD214" s="1831"/>
      <c r="AF214" s="1185"/>
      <c r="AG214" s="659"/>
      <c r="AH214" s="659"/>
      <c r="AI214" s="659"/>
      <c r="AJ214" s="1856"/>
      <c r="AK214" s="660"/>
      <c r="AL214" s="845"/>
      <c r="AM214" s="1517"/>
    </row>
    <row r="215" spans="1:39" s="1290" customFormat="1" ht="15">
      <c r="A215" s="661" t="s">
        <v>874</v>
      </c>
      <c r="B215" s="1969">
        <f>M215</f>
        <v>30000000</v>
      </c>
      <c r="C215" s="259" t="s">
        <v>36</v>
      </c>
      <c r="D215" s="260" t="s">
        <v>830</v>
      </c>
      <c r="E215" s="260" t="s">
        <v>1651</v>
      </c>
      <c r="F215" s="260" t="s">
        <v>1652</v>
      </c>
      <c r="G215" s="260" t="s">
        <v>79</v>
      </c>
      <c r="H215" s="2157" t="s">
        <v>1643</v>
      </c>
      <c r="I215" s="2143">
        <v>328</v>
      </c>
      <c r="J215" s="1650">
        <v>0</v>
      </c>
      <c r="K215" s="1712"/>
      <c r="L215" s="1652">
        <v>516</v>
      </c>
      <c r="M215" s="1462">
        <v>30000000</v>
      </c>
      <c r="N215" s="1583">
        <v>698</v>
      </c>
      <c r="O215" s="1610">
        <v>30000000</v>
      </c>
      <c r="P215" s="1713">
        <v>416</v>
      </c>
      <c r="Q215" s="1851"/>
      <c r="R215" s="1852"/>
      <c r="S215" s="1852"/>
      <c r="T215" s="1852"/>
      <c r="U215" s="1852"/>
      <c r="V215" s="1852"/>
      <c r="W215" s="1852"/>
      <c r="X215" s="1852"/>
      <c r="Y215" s="1852">
        <v>6960000</v>
      </c>
      <c r="Z215" s="1852">
        <v>6380000</v>
      </c>
      <c r="AA215" s="1852">
        <v>12220000</v>
      </c>
      <c r="AB215" s="1949">
        <v>4440000</v>
      </c>
      <c r="AC215" s="1824">
        <f t="shared" ref="AC215" si="64">SUM(Q215:AB215)</f>
        <v>30000000</v>
      </c>
      <c r="AD215" s="1825">
        <f t="shared" ref="AD215" si="65">O215-AC215</f>
        <v>0</v>
      </c>
      <c r="AF215" s="1351">
        <v>328</v>
      </c>
      <c r="AG215" s="1291" t="s">
        <v>945</v>
      </c>
      <c r="AH215" s="1379" t="s">
        <v>1020</v>
      </c>
      <c r="AI215" s="1314">
        <f t="shared" ref="AI215:AI260" si="66">P215</f>
        <v>416</v>
      </c>
      <c r="AJ215" s="1352">
        <v>30000000</v>
      </c>
      <c r="AK215" s="1292">
        <f t="shared" ref="AK215:AK269" si="67">AJ215-O215</f>
        <v>0</v>
      </c>
      <c r="AL215" s="1293"/>
      <c r="AM215" s="1518">
        <f t="shared" ref="AM215:AM246" si="68">AJ215-M215</f>
        <v>0</v>
      </c>
    </row>
    <row r="216" spans="1:39" s="654" customFormat="1">
      <c r="A216" s="661" t="s">
        <v>874</v>
      </c>
      <c r="B216" s="1969">
        <f>M216</f>
        <v>208587428</v>
      </c>
      <c r="C216" s="259" t="s">
        <v>36</v>
      </c>
      <c r="D216" s="260" t="s">
        <v>830</v>
      </c>
      <c r="E216" s="260" t="s">
        <v>1651</v>
      </c>
      <c r="F216" s="260" t="s">
        <v>1652</v>
      </c>
      <c r="G216" s="260" t="s">
        <v>79</v>
      </c>
      <c r="H216" s="2157" t="s">
        <v>1643</v>
      </c>
      <c r="I216" s="2142">
        <v>329</v>
      </c>
      <c r="J216" s="1650">
        <v>1</v>
      </c>
      <c r="K216" s="1651"/>
      <c r="L216" s="1652">
        <v>493</v>
      </c>
      <c r="M216" s="1659">
        <v>208587428</v>
      </c>
      <c r="N216" s="1593">
        <v>723</v>
      </c>
      <c r="O216" s="1659">
        <v>208587428</v>
      </c>
      <c r="P216" s="1655">
        <v>429</v>
      </c>
      <c r="Q216" s="1851"/>
      <c r="R216" s="1852"/>
      <c r="S216" s="1852"/>
      <c r="T216" s="1852"/>
      <c r="U216" s="1852"/>
      <c r="V216" s="1852"/>
      <c r="W216" s="1852"/>
      <c r="X216" s="1852"/>
      <c r="Y216" s="1852">
        <v>25845150</v>
      </c>
      <c r="Z216" s="1852">
        <f>50452600+8744000</f>
        <v>59196600</v>
      </c>
      <c r="AA216" s="1852">
        <v>39551800</v>
      </c>
      <c r="AB216" s="1949"/>
      <c r="AC216" s="1824">
        <f t="shared" ref="AC216:AC268" si="69">SUM(Q216:AB216)</f>
        <v>124593550</v>
      </c>
      <c r="AD216" s="1825">
        <f t="shared" ref="AD216:AD268" si="70">O216-AC216</f>
        <v>83993878</v>
      </c>
      <c r="AF216" s="848">
        <v>329</v>
      </c>
      <c r="AG216" s="1291" t="s">
        <v>220</v>
      </c>
      <c r="AH216" s="1059" t="s">
        <v>1163</v>
      </c>
      <c r="AI216" s="1048">
        <f t="shared" si="66"/>
        <v>429</v>
      </c>
      <c r="AJ216" s="849">
        <f>170048947+38539109</f>
        <v>208588056</v>
      </c>
      <c r="AK216" s="1292">
        <f t="shared" si="67"/>
        <v>628</v>
      </c>
      <c r="AL216" s="845"/>
      <c r="AM216" s="1518">
        <f t="shared" si="68"/>
        <v>628</v>
      </c>
    </row>
    <row r="217" spans="1:39" s="654" customFormat="1">
      <c r="A217" s="661" t="s">
        <v>874</v>
      </c>
      <c r="B217" s="1969">
        <f>M217</f>
        <v>35640000</v>
      </c>
      <c r="C217" s="259" t="s">
        <v>36</v>
      </c>
      <c r="D217" s="260" t="s">
        <v>830</v>
      </c>
      <c r="E217" s="260" t="s">
        <v>1651</v>
      </c>
      <c r="F217" s="260" t="s">
        <v>1652</v>
      </c>
      <c r="G217" s="260" t="s">
        <v>79</v>
      </c>
      <c r="H217" s="2157" t="s">
        <v>1643</v>
      </c>
      <c r="I217" s="2142">
        <v>330</v>
      </c>
      <c r="J217" s="1650">
        <v>2</v>
      </c>
      <c r="K217" s="1651"/>
      <c r="L217" s="1652">
        <v>197</v>
      </c>
      <c r="M217" s="1659">
        <v>35640000</v>
      </c>
      <c r="N217" s="1593">
        <v>199</v>
      </c>
      <c r="O217" s="1604">
        <v>35640000</v>
      </c>
      <c r="P217" s="1655">
        <v>199</v>
      </c>
      <c r="Q217" s="1851"/>
      <c r="R217" s="1852"/>
      <c r="S217" s="1852">
        <f>VLOOKUP(N217,[9]Hoja2!N$2:T$77,7,0)</f>
        <v>3240000</v>
      </c>
      <c r="T217" s="1852">
        <v>3240000</v>
      </c>
      <c r="U217" s="1852">
        <v>3240000</v>
      </c>
      <c r="V217" s="1852">
        <v>3240000</v>
      </c>
      <c r="W217" s="1852">
        <v>3240000</v>
      </c>
      <c r="X217" s="1852">
        <v>3240000</v>
      </c>
      <c r="Y217" s="1852">
        <v>3240000</v>
      </c>
      <c r="Z217" s="1852">
        <v>3240000</v>
      </c>
      <c r="AA217" s="1852">
        <v>3240000</v>
      </c>
      <c r="AB217" s="1949">
        <f>3240000+3240000</f>
        <v>6480000</v>
      </c>
      <c r="AC217" s="1824">
        <f t="shared" si="69"/>
        <v>35640000</v>
      </c>
      <c r="AD217" s="1825">
        <f t="shared" si="70"/>
        <v>0</v>
      </c>
      <c r="AF217" s="848">
        <v>330</v>
      </c>
      <c r="AG217" s="1291" t="s">
        <v>221</v>
      </c>
      <c r="AH217" s="1059" t="s">
        <v>504</v>
      </c>
      <c r="AI217" s="1048">
        <f t="shared" si="66"/>
        <v>199</v>
      </c>
      <c r="AJ217" s="849">
        <v>35640000</v>
      </c>
      <c r="AK217" s="1292">
        <f t="shared" si="67"/>
        <v>0</v>
      </c>
      <c r="AL217" s="845"/>
      <c r="AM217" s="1518">
        <f t="shared" si="68"/>
        <v>0</v>
      </c>
    </row>
    <row r="218" spans="1:39" s="654" customFormat="1">
      <c r="A218" s="661" t="s">
        <v>874</v>
      </c>
      <c r="B218" s="1969">
        <f>M218</f>
        <v>32120000</v>
      </c>
      <c r="C218" s="259" t="s">
        <v>36</v>
      </c>
      <c r="D218" s="260" t="s">
        <v>830</v>
      </c>
      <c r="E218" s="260" t="s">
        <v>1651</v>
      </c>
      <c r="F218" s="260" t="s">
        <v>1652</v>
      </c>
      <c r="G218" s="260" t="s">
        <v>79</v>
      </c>
      <c r="H218" s="2157" t="s">
        <v>1643</v>
      </c>
      <c r="I218" s="2142">
        <v>331</v>
      </c>
      <c r="J218" s="1650">
        <v>3</v>
      </c>
      <c r="K218" s="1651"/>
      <c r="L218" s="1652">
        <v>134</v>
      </c>
      <c r="M218" s="1659">
        <v>32120000</v>
      </c>
      <c r="N218" s="1593">
        <v>143</v>
      </c>
      <c r="O218" s="1604">
        <v>32120000</v>
      </c>
      <c r="P218" s="1655">
        <v>118</v>
      </c>
      <c r="Q218" s="1851"/>
      <c r="R218" s="1852">
        <v>778667</v>
      </c>
      <c r="S218" s="1852">
        <f>VLOOKUP(N218,[9]Hoja2!N$2:T$77,7,0)</f>
        <v>2920000</v>
      </c>
      <c r="T218" s="1852">
        <v>2920000</v>
      </c>
      <c r="U218" s="1852">
        <v>2920000</v>
      </c>
      <c r="V218" s="1852">
        <v>2920000</v>
      </c>
      <c r="W218" s="1852">
        <v>2920000</v>
      </c>
      <c r="X218" s="1852">
        <v>2920000</v>
      </c>
      <c r="Y218" s="1852">
        <v>2920000</v>
      </c>
      <c r="Z218" s="1852">
        <v>2920000</v>
      </c>
      <c r="AA218" s="1852">
        <v>2920000</v>
      </c>
      <c r="AB218" s="1949">
        <f>2920000+2141333</f>
        <v>5061333</v>
      </c>
      <c r="AC218" s="1824">
        <f t="shared" si="69"/>
        <v>32120000</v>
      </c>
      <c r="AD218" s="1825">
        <f t="shared" si="70"/>
        <v>0</v>
      </c>
      <c r="AF218" s="848">
        <v>331</v>
      </c>
      <c r="AG218" s="1291" t="s">
        <v>222</v>
      </c>
      <c r="AH218" s="1059" t="s">
        <v>505</v>
      </c>
      <c r="AI218" s="1048">
        <f t="shared" si="66"/>
        <v>118</v>
      </c>
      <c r="AJ218" s="849">
        <v>32120000</v>
      </c>
      <c r="AK218" s="1292">
        <f t="shared" si="67"/>
        <v>0</v>
      </c>
      <c r="AL218" s="845"/>
      <c r="AM218" s="1518">
        <f t="shared" si="68"/>
        <v>0</v>
      </c>
    </row>
    <row r="219" spans="1:39" s="654" customFormat="1">
      <c r="A219" s="661" t="s">
        <v>874</v>
      </c>
      <c r="B219" s="1969">
        <f t="shared" ref="B219:B269" si="71">M219</f>
        <v>778667</v>
      </c>
      <c r="C219" s="259" t="s">
        <v>36</v>
      </c>
      <c r="D219" s="260" t="s">
        <v>830</v>
      </c>
      <c r="E219" s="260" t="s">
        <v>1651</v>
      </c>
      <c r="F219" s="260" t="s">
        <v>1652</v>
      </c>
      <c r="G219" s="260" t="s">
        <v>79</v>
      </c>
      <c r="H219" s="2157" t="s">
        <v>1643</v>
      </c>
      <c r="I219" s="2142" t="s">
        <v>325</v>
      </c>
      <c r="J219" s="1650">
        <v>758</v>
      </c>
      <c r="K219" s="1651">
        <v>778667</v>
      </c>
      <c r="L219" s="1652">
        <v>875</v>
      </c>
      <c r="M219" s="1659">
        <v>778667</v>
      </c>
      <c r="N219" s="1593">
        <v>1133</v>
      </c>
      <c r="O219" s="1604">
        <v>778667</v>
      </c>
      <c r="P219" s="1655">
        <v>118</v>
      </c>
      <c r="Q219" s="1851"/>
      <c r="R219" s="1852"/>
      <c r="S219" s="1852"/>
      <c r="T219" s="1852"/>
      <c r="U219" s="1852"/>
      <c r="V219" s="1852"/>
      <c r="W219" s="1852"/>
      <c r="X219" s="1852"/>
      <c r="Y219" s="1852"/>
      <c r="Z219" s="1852"/>
      <c r="AA219" s="1852"/>
      <c r="AB219" s="1949">
        <v>778667</v>
      </c>
      <c r="AC219" s="1824">
        <f t="shared" si="69"/>
        <v>778667</v>
      </c>
      <c r="AD219" s="1825">
        <f t="shared" si="70"/>
        <v>0</v>
      </c>
      <c r="AF219" s="848" t="s">
        <v>325</v>
      </c>
      <c r="AG219" s="1291" t="s">
        <v>1521</v>
      </c>
      <c r="AH219" s="1059" t="s">
        <v>505</v>
      </c>
      <c r="AI219" s="1048">
        <f t="shared" si="66"/>
        <v>118</v>
      </c>
      <c r="AJ219" s="849">
        <v>778667</v>
      </c>
      <c r="AK219" s="1292">
        <f t="shared" si="67"/>
        <v>0</v>
      </c>
      <c r="AL219" s="845"/>
      <c r="AM219" s="1518">
        <f t="shared" si="68"/>
        <v>0</v>
      </c>
    </row>
    <row r="220" spans="1:39" s="654" customFormat="1" ht="15" customHeight="1">
      <c r="A220" s="661" t="s">
        <v>874</v>
      </c>
      <c r="B220" s="1969">
        <f t="shared" si="71"/>
        <v>28930000</v>
      </c>
      <c r="C220" s="259" t="s">
        <v>36</v>
      </c>
      <c r="D220" s="260" t="s">
        <v>830</v>
      </c>
      <c r="E220" s="260" t="s">
        <v>1651</v>
      </c>
      <c r="F220" s="260" t="s">
        <v>1652</v>
      </c>
      <c r="G220" s="260" t="s">
        <v>79</v>
      </c>
      <c r="H220" s="2157" t="s">
        <v>1643</v>
      </c>
      <c r="I220" s="2142">
        <v>332</v>
      </c>
      <c r="J220" s="1650">
        <v>4</v>
      </c>
      <c r="K220" s="1651"/>
      <c r="L220" s="1652">
        <v>198</v>
      </c>
      <c r="M220" s="1659">
        <v>28930000</v>
      </c>
      <c r="N220" s="1593">
        <v>197</v>
      </c>
      <c r="O220" s="1604">
        <v>28930000</v>
      </c>
      <c r="P220" s="1655">
        <v>191</v>
      </c>
      <c r="Q220" s="1851"/>
      <c r="R220" s="1852"/>
      <c r="S220" s="1852">
        <f>VLOOKUP(N220,[9]Hoja2!N$2:T$77,7,0)</f>
        <v>2630000</v>
      </c>
      <c r="T220" s="1852">
        <v>2630000</v>
      </c>
      <c r="U220" s="1852">
        <v>2630000</v>
      </c>
      <c r="V220" s="1852">
        <v>2630000</v>
      </c>
      <c r="W220" s="1852">
        <v>2630000</v>
      </c>
      <c r="X220" s="1852">
        <v>2630000</v>
      </c>
      <c r="Y220" s="1852">
        <v>2630000</v>
      </c>
      <c r="Z220" s="1852">
        <v>2630000</v>
      </c>
      <c r="AA220" s="1852">
        <v>2630000</v>
      </c>
      <c r="AB220" s="1949">
        <f>2630000+2630000</f>
        <v>5260000</v>
      </c>
      <c r="AC220" s="1824">
        <f t="shared" si="69"/>
        <v>28930000</v>
      </c>
      <c r="AD220" s="1825">
        <f t="shared" si="70"/>
        <v>0</v>
      </c>
      <c r="AF220" s="848">
        <v>332</v>
      </c>
      <c r="AG220" s="1291" t="s">
        <v>223</v>
      </c>
      <c r="AH220" s="1059" t="s">
        <v>506</v>
      </c>
      <c r="AI220" s="1048">
        <f t="shared" si="66"/>
        <v>191</v>
      </c>
      <c r="AJ220" s="849">
        <v>28930000</v>
      </c>
      <c r="AK220" s="1292">
        <f t="shared" si="67"/>
        <v>0</v>
      </c>
      <c r="AL220" s="845"/>
      <c r="AM220" s="1518">
        <f t="shared" si="68"/>
        <v>0</v>
      </c>
    </row>
    <row r="221" spans="1:39" s="654" customFormat="1" ht="15" customHeight="1">
      <c r="A221" s="661" t="s">
        <v>874</v>
      </c>
      <c r="B221" s="1969">
        <f t="shared" si="71"/>
        <v>28930000</v>
      </c>
      <c r="C221" s="259" t="s">
        <v>36</v>
      </c>
      <c r="D221" s="260" t="s">
        <v>830</v>
      </c>
      <c r="E221" s="260" t="s">
        <v>1651</v>
      </c>
      <c r="F221" s="260" t="s">
        <v>1652</v>
      </c>
      <c r="G221" s="260" t="s">
        <v>79</v>
      </c>
      <c r="H221" s="2157" t="s">
        <v>1643</v>
      </c>
      <c r="I221" s="2142">
        <v>333</v>
      </c>
      <c r="J221" s="1650">
        <v>5</v>
      </c>
      <c r="K221" s="1651"/>
      <c r="L221" s="1652">
        <v>199</v>
      </c>
      <c r="M221" s="1659">
        <v>28930000</v>
      </c>
      <c r="N221" s="1593">
        <v>214</v>
      </c>
      <c r="O221" s="1604">
        <v>28930000</v>
      </c>
      <c r="P221" s="1655">
        <v>197</v>
      </c>
      <c r="Q221" s="1851"/>
      <c r="R221" s="1852"/>
      <c r="S221" s="1852">
        <f>VLOOKUP(N221,[9]Hoja2!N$2:T$77,7,0)</f>
        <v>2630000</v>
      </c>
      <c r="T221" s="1852">
        <v>2630000</v>
      </c>
      <c r="U221" s="1852">
        <v>2630000</v>
      </c>
      <c r="V221" s="1852">
        <v>2630000</v>
      </c>
      <c r="W221" s="1852">
        <v>2630000</v>
      </c>
      <c r="X221" s="1852">
        <v>2630000</v>
      </c>
      <c r="Y221" s="1852">
        <v>2630000</v>
      </c>
      <c r="Z221" s="1852">
        <v>2630000</v>
      </c>
      <c r="AA221" s="1852">
        <v>2630000</v>
      </c>
      <c r="AB221" s="1949">
        <f>2630000+2630000</f>
        <v>5260000</v>
      </c>
      <c r="AC221" s="1824">
        <f t="shared" si="69"/>
        <v>28930000</v>
      </c>
      <c r="AD221" s="1825">
        <f t="shared" si="70"/>
        <v>0</v>
      </c>
      <c r="AF221" s="848">
        <v>333</v>
      </c>
      <c r="AG221" s="1291" t="s">
        <v>223</v>
      </c>
      <c r="AH221" s="1059" t="s">
        <v>728</v>
      </c>
      <c r="AI221" s="1048">
        <f t="shared" si="66"/>
        <v>197</v>
      </c>
      <c r="AJ221" s="849">
        <v>28930000</v>
      </c>
      <c r="AK221" s="1292">
        <f t="shared" si="67"/>
        <v>0</v>
      </c>
      <c r="AL221" s="845"/>
      <c r="AM221" s="1518">
        <f t="shared" si="68"/>
        <v>0</v>
      </c>
    </row>
    <row r="222" spans="1:39" s="654" customFormat="1">
      <c r="A222" s="661" t="s">
        <v>874</v>
      </c>
      <c r="B222" s="1969">
        <f t="shared" si="71"/>
        <v>21670000</v>
      </c>
      <c r="C222" s="259" t="s">
        <v>36</v>
      </c>
      <c r="D222" s="260" t="s">
        <v>830</v>
      </c>
      <c r="E222" s="260" t="s">
        <v>1651</v>
      </c>
      <c r="F222" s="260" t="s">
        <v>1652</v>
      </c>
      <c r="G222" s="260" t="s">
        <v>79</v>
      </c>
      <c r="H222" s="2157" t="s">
        <v>1643</v>
      </c>
      <c r="I222" s="2142">
        <v>334</v>
      </c>
      <c r="J222" s="1650">
        <v>6</v>
      </c>
      <c r="K222" s="1651"/>
      <c r="L222" s="1652">
        <v>200</v>
      </c>
      <c r="M222" s="1659">
        <v>21670000</v>
      </c>
      <c r="N222" s="1593">
        <v>209</v>
      </c>
      <c r="O222" s="1604">
        <v>21670000</v>
      </c>
      <c r="P222" s="1655">
        <v>202</v>
      </c>
      <c r="Q222" s="1851"/>
      <c r="R222" s="1852"/>
      <c r="S222" s="1852">
        <f>VLOOKUP(N222,[9]Hoja2!N$2:T$77,7,0)</f>
        <v>1773000</v>
      </c>
      <c r="T222" s="1852">
        <v>1970000</v>
      </c>
      <c r="U222" s="1852">
        <v>1970000</v>
      </c>
      <c r="V222" s="1852">
        <v>1970000</v>
      </c>
      <c r="W222" s="1852">
        <v>1970000</v>
      </c>
      <c r="X222" s="1852">
        <v>1970000</v>
      </c>
      <c r="Y222" s="1852">
        <v>1970000</v>
      </c>
      <c r="Z222" s="1852">
        <v>1970000</v>
      </c>
      <c r="AA222" s="1852">
        <v>1970000</v>
      </c>
      <c r="AB222" s="1949">
        <f t="shared" ref="AB222:AB227" si="72">1970000+1970000</f>
        <v>3940000</v>
      </c>
      <c r="AC222" s="1824">
        <f t="shared" si="69"/>
        <v>21473000</v>
      </c>
      <c r="AD222" s="1825">
        <f t="shared" si="70"/>
        <v>197000</v>
      </c>
      <c r="AF222" s="848">
        <v>334</v>
      </c>
      <c r="AG222" s="1291" t="s">
        <v>224</v>
      </c>
      <c r="AH222" s="1059" t="s">
        <v>507</v>
      </c>
      <c r="AI222" s="1048">
        <f t="shared" si="66"/>
        <v>202</v>
      </c>
      <c r="AJ222" s="849">
        <v>21670000</v>
      </c>
      <c r="AK222" s="1292">
        <f t="shared" si="67"/>
        <v>0</v>
      </c>
      <c r="AL222" s="845"/>
      <c r="AM222" s="1518">
        <f t="shared" si="68"/>
        <v>0</v>
      </c>
    </row>
    <row r="223" spans="1:39" s="654" customFormat="1">
      <c r="A223" s="661" t="s">
        <v>874</v>
      </c>
      <c r="B223" s="1969">
        <f t="shared" si="71"/>
        <v>21670000</v>
      </c>
      <c r="C223" s="259" t="s">
        <v>36</v>
      </c>
      <c r="D223" s="260" t="s">
        <v>830</v>
      </c>
      <c r="E223" s="260" t="s">
        <v>1651</v>
      </c>
      <c r="F223" s="260" t="s">
        <v>1652</v>
      </c>
      <c r="G223" s="260" t="s">
        <v>79</v>
      </c>
      <c r="H223" s="2157" t="s">
        <v>1643</v>
      </c>
      <c r="I223" s="2142">
        <v>335</v>
      </c>
      <c r="J223" s="1650">
        <v>7</v>
      </c>
      <c r="K223" s="1651"/>
      <c r="L223" s="1652">
        <v>201</v>
      </c>
      <c r="M223" s="1659">
        <v>21670000</v>
      </c>
      <c r="N223" s="1593">
        <v>210</v>
      </c>
      <c r="O223" s="1604">
        <v>21670000</v>
      </c>
      <c r="P223" s="1655">
        <v>206</v>
      </c>
      <c r="Q223" s="1851"/>
      <c r="R223" s="1852"/>
      <c r="S223" s="1852">
        <f>VLOOKUP(N223,[9]Hoja2!N$2:T$77,7,0)</f>
        <v>1970000</v>
      </c>
      <c r="T223" s="1852">
        <v>1970000</v>
      </c>
      <c r="U223" s="1852">
        <v>1970000</v>
      </c>
      <c r="V223" s="1852">
        <v>1970000</v>
      </c>
      <c r="W223" s="1852">
        <v>1970000</v>
      </c>
      <c r="X223" s="1852">
        <v>1970000</v>
      </c>
      <c r="Y223" s="1852">
        <v>1970000</v>
      </c>
      <c r="Z223" s="1852">
        <v>1970000</v>
      </c>
      <c r="AA223" s="1852">
        <v>1970000</v>
      </c>
      <c r="AB223" s="1949">
        <f t="shared" si="72"/>
        <v>3940000</v>
      </c>
      <c r="AC223" s="1824">
        <f t="shared" si="69"/>
        <v>21670000</v>
      </c>
      <c r="AD223" s="1825">
        <f t="shared" si="70"/>
        <v>0</v>
      </c>
      <c r="AF223" s="848">
        <v>335</v>
      </c>
      <c r="AG223" s="1291" t="s">
        <v>224</v>
      </c>
      <c r="AH223" s="1059" t="s">
        <v>508</v>
      </c>
      <c r="AI223" s="1048">
        <f t="shared" si="66"/>
        <v>206</v>
      </c>
      <c r="AJ223" s="849">
        <v>21670000</v>
      </c>
      <c r="AK223" s="1292">
        <f t="shared" si="67"/>
        <v>0</v>
      </c>
      <c r="AL223" s="845"/>
      <c r="AM223" s="1518">
        <f t="shared" si="68"/>
        <v>0</v>
      </c>
    </row>
    <row r="224" spans="1:39" s="654" customFormat="1">
      <c r="A224" s="661" t="s">
        <v>874</v>
      </c>
      <c r="B224" s="1969">
        <f t="shared" si="71"/>
        <v>21670000</v>
      </c>
      <c r="C224" s="259" t="s">
        <v>36</v>
      </c>
      <c r="D224" s="260" t="s">
        <v>830</v>
      </c>
      <c r="E224" s="260" t="s">
        <v>1651</v>
      </c>
      <c r="F224" s="260" t="s">
        <v>1652</v>
      </c>
      <c r="G224" s="260" t="s">
        <v>79</v>
      </c>
      <c r="H224" s="2157" t="s">
        <v>1643</v>
      </c>
      <c r="I224" s="2142">
        <v>336</v>
      </c>
      <c r="J224" s="1650">
        <v>8</v>
      </c>
      <c r="K224" s="1651"/>
      <c r="L224" s="1652">
        <v>202</v>
      </c>
      <c r="M224" s="1659">
        <v>21670000</v>
      </c>
      <c r="N224" s="1593">
        <v>201</v>
      </c>
      <c r="O224" s="1604">
        <v>21670000</v>
      </c>
      <c r="P224" s="1655">
        <v>207</v>
      </c>
      <c r="Q224" s="1851"/>
      <c r="R224" s="1852"/>
      <c r="S224" s="1852">
        <f>VLOOKUP(N224,[9]Hoja2!N$2:T$77,7,0)</f>
        <v>1970000</v>
      </c>
      <c r="T224" s="1852">
        <v>1970000</v>
      </c>
      <c r="U224" s="1852">
        <v>1970000</v>
      </c>
      <c r="V224" s="1852">
        <v>1970000</v>
      </c>
      <c r="W224" s="1852">
        <v>1970000</v>
      </c>
      <c r="X224" s="1852">
        <v>1970000</v>
      </c>
      <c r="Y224" s="1852">
        <v>1970000</v>
      </c>
      <c r="Z224" s="1852">
        <v>1970000</v>
      </c>
      <c r="AA224" s="1852">
        <v>1970000</v>
      </c>
      <c r="AB224" s="1949">
        <f t="shared" si="72"/>
        <v>3940000</v>
      </c>
      <c r="AC224" s="1824">
        <f t="shared" si="69"/>
        <v>21670000</v>
      </c>
      <c r="AD224" s="1825">
        <f t="shared" si="70"/>
        <v>0</v>
      </c>
      <c r="AF224" s="848">
        <v>336</v>
      </c>
      <c r="AG224" s="1291" t="s">
        <v>224</v>
      </c>
      <c r="AH224" s="1059" t="s">
        <v>509</v>
      </c>
      <c r="AI224" s="1048">
        <f t="shared" si="66"/>
        <v>207</v>
      </c>
      <c r="AJ224" s="849">
        <v>21670000</v>
      </c>
      <c r="AK224" s="1292">
        <f t="shared" si="67"/>
        <v>0</v>
      </c>
      <c r="AL224" s="845"/>
      <c r="AM224" s="1518">
        <f t="shared" si="68"/>
        <v>0</v>
      </c>
    </row>
    <row r="225" spans="1:39" s="654" customFormat="1">
      <c r="A225" s="661" t="s">
        <v>874</v>
      </c>
      <c r="B225" s="1969">
        <f t="shared" si="71"/>
        <v>21670000</v>
      </c>
      <c r="C225" s="259" t="s">
        <v>36</v>
      </c>
      <c r="D225" s="260" t="s">
        <v>830</v>
      </c>
      <c r="E225" s="260" t="s">
        <v>1651</v>
      </c>
      <c r="F225" s="260" t="s">
        <v>1652</v>
      </c>
      <c r="G225" s="260" t="s">
        <v>79</v>
      </c>
      <c r="H225" s="2157" t="s">
        <v>1643</v>
      </c>
      <c r="I225" s="2142">
        <v>337</v>
      </c>
      <c r="J225" s="1650">
        <v>9</v>
      </c>
      <c r="K225" s="1651"/>
      <c r="L225" s="1652">
        <v>203</v>
      </c>
      <c r="M225" s="1659">
        <v>21670000</v>
      </c>
      <c r="N225" s="1593">
        <v>200</v>
      </c>
      <c r="O225" s="1604">
        <v>21670000</v>
      </c>
      <c r="P225" s="1655">
        <v>201</v>
      </c>
      <c r="Q225" s="1851"/>
      <c r="R225" s="1852"/>
      <c r="S225" s="1852">
        <f>VLOOKUP(N225,[9]Hoja2!N$2:T$77,7,0)</f>
        <v>1970000</v>
      </c>
      <c r="T225" s="1852">
        <v>1970000</v>
      </c>
      <c r="U225" s="1852">
        <v>1970000</v>
      </c>
      <c r="V225" s="1852">
        <v>1970000</v>
      </c>
      <c r="W225" s="1852">
        <v>1970000</v>
      </c>
      <c r="X225" s="1852">
        <v>1970000</v>
      </c>
      <c r="Y225" s="1852">
        <v>1970000</v>
      </c>
      <c r="Z225" s="1852">
        <v>1970000</v>
      </c>
      <c r="AA225" s="1852">
        <v>1970000</v>
      </c>
      <c r="AB225" s="1949">
        <f t="shared" si="72"/>
        <v>3940000</v>
      </c>
      <c r="AC225" s="1824">
        <f t="shared" si="69"/>
        <v>21670000</v>
      </c>
      <c r="AD225" s="1825">
        <f t="shared" si="70"/>
        <v>0</v>
      </c>
      <c r="AF225" s="848">
        <v>337</v>
      </c>
      <c r="AG225" s="1291" t="s">
        <v>224</v>
      </c>
      <c r="AH225" s="1059" t="s">
        <v>510</v>
      </c>
      <c r="AI225" s="1048">
        <f t="shared" si="66"/>
        <v>201</v>
      </c>
      <c r="AJ225" s="849">
        <v>21670000</v>
      </c>
      <c r="AK225" s="1292">
        <f t="shared" si="67"/>
        <v>0</v>
      </c>
      <c r="AL225" s="845"/>
      <c r="AM225" s="1518">
        <f t="shared" si="68"/>
        <v>0</v>
      </c>
    </row>
    <row r="226" spans="1:39" s="654" customFormat="1">
      <c r="A226" s="661" t="s">
        <v>874</v>
      </c>
      <c r="B226" s="1969">
        <f t="shared" si="71"/>
        <v>21670000</v>
      </c>
      <c r="C226" s="259" t="s">
        <v>36</v>
      </c>
      <c r="D226" s="260" t="s">
        <v>830</v>
      </c>
      <c r="E226" s="260" t="s">
        <v>1651</v>
      </c>
      <c r="F226" s="260" t="s">
        <v>1652</v>
      </c>
      <c r="G226" s="260" t="s">
        <v>79</v>
      </c>
      <c r="H226" s="2157" t="s">
        <v>1643</v>
      </c>
      <c r="I226" s="2142">
        <v>338</v>
      </c>
      <c r="J226" s="1650">
        <v>10</v>
      </c>
      <c r="K226" s="1651"/>
      <c r="L226" s="1652">
        <v>204</v>
      </c>
      <c r="M226" s="1659">
        <v>21670000</v>
      </c>
      <c r="N226" s="1593">
        <v>208</v>
      </c>
      <c r="O226" s="1604">
        <v>21670000</v>
      </c>
      <c r="P226" s="1655">
        <v>204</v>
      </c>
      <c r="Q226" s="1851"/>
      <c r="R226" s="1852"/>
      <c r="S226" s="1852">
        <f>VLOOKUP(N226,[9]Hoja2!N$2:T$77,7,0)</f>
        <v>1773000</v>
      </c>
      <c r="T226" s="1852">
        <v>1970000</v>
      </c>
      <c r="U226" s="1852">
        <v>1970000</v>
      </c>
      <c r="V226" s="1852">
        <v>1970000</v>
      </c>
      <c r="W226" s="1852">
        <v>1970000</v>
      </c>
      <c r="X226" s="1852">
        <v>1970000</v>
      </c>
      <c r="Y226" s="1852">
        <v>1970000</v>
      </c>
      <c r="Z226" s="1852">
        <v>1970000</v>
      </c>
      <c r="AA226" s="1852">
        <v>1970000</v>
      </c>
      <c r="AB226" s="1949">
        <f t="shared" si="72"/>
        <v>3940000</v>
      </c>
      <c r="AC226" s="1824">
        <f t="shared" si="69"/>
        <v>21473000</v>
      </c>
      <c r="AD226" s="1825">
        <f t="shared" si="70"/>
        <v>197000</v>
      </c>
      <c r="AF226" s="848">
        <v>338</v>
      </c>
      <c r="AG226" s="1291" t="s">
        <v>224</v>
      </c>
      <c r="AH226" s="1059" t="s">
        <v>511</v>
      </c>
      <c r="AI226" s="1048">
        <f t="shared" si="66"/>
        <v>204</v>
      </c>
      <c r="AJ226" s="849">
        <v>21670000</v>
      </c>
      <c r="AK226" s="1292">
        <f t="shared" si="67"/>
        <v>0</v>
      </c>
      <c r="AL226" s="845"/>
      <c r="AM226" s="1518">
        <f t="shared" si="68"/>
        <v>0</v>
      </c>
    </row>
    <row r="227" spans="1:39" s="654" customFormat="1">
      <c r="A227" s="661" t="s">
        <v>874</v>
      </c>
      <c r="B227" s="1969">
        <f t="shared" si="71"/>
        <v>21670000</v>
      </c>
      <c r="C227" s="259" t="s">
        <v>36</v>
      </c>
      <c r="D227" s="260" t="s">
        <v>830</v>
      </c>
      <c r="E227" s="260" t="s">
        <v>1651</v>
      </c>
      <c r="F227" s="260" t="s">
        <v>1652</v>
      </c>
      <c r="G227" s="260" t="s">
        <v>79</v>
      </c>
      <c r="H227" s="2157" t="s">
        <v>1643</v>
      </c>
      <c r="I227" s="2142">
        <v>339</v>
      </c>
      <c r="J227" s="1650">
        <v>11</v>
      </c>
      <c r="K227" s="1651"/>
      <c r="L227" s="1652">
        <v>205</v>
      </c>
      <c r="M227" s="1659">
        <v>21670000</v>
      </c>
      <c r="N227" s="1593">
        <v>206</v>
      </c>
      <c r="O227" s="1604">
        <v>21670000</v>
      </c>
      <c r="P227" s="1655">
        <v>198</v>
      </c>
      <c r="Q227" s="1851"/>
      <c r="R227" s="1852"/>
      <c r="S227" s="1852">
        <f>VLOOKUP(N227,[9]Hoja2!N$2:T$77,7,0)</f>
        <v>1970000</v>
      </c>
      <c r="T227" s="1852">
        <v>1970000</v>
      </c>
      <c r="U227" s="1852">
        <v>1970000</v>
      </c>
      <c r="V227" s="1852">
        <v>1970000</v>
      </c>
      <c r="W227" s="1852">
        <v>1970000</v>
      </c>
      <c r="X227" s="1852">
        <v>1970000</v>
      </c>
      <c r="Y227" s="1852">
        <v>1970000</v>
      </c>
      <c r="Z227" s="1852">
        <v>1970000</v>
      </c>
      <c r="AA227" s="1852">
        <v>1970000</v>
      </c>
      <c r="AB227" s="1949">
        <f t="shared" si="72"/>
        <v>3940000</v>
      </c>
      <c r="AC227" s="1824">
        <f t="shared" si="69"/>
        <v>21670000</v>
      </c>
      <c r="AD227" s="1825">
        <f t="shared" si="70"/>
        <v>0</v>
      </c>
      <c r="AF227" s="848">
        <v>339</v>
      </c>
      <c r="AG227" s="1291" t="s">
        <v>224</v>
      </c>
      <c r="AH227" s="1059" t="s">
        <v>512</v>
      </c>
      <c r="AI227" s="1048">
        <f t="shared" si="66"/>
        <v>198</v>
      </c>
      <c r="AJ227" s="849">
        <v>21670000</v>
      </c>
      <c r="AK227" s="1292">
        <f t="shared" si="67"/>
        <v>0</v>
      </c>
      <c r="AL227" s="845"/>
      <c r="AM227" s="1518">
        <f t="shared" si="68"/>
        <v>0</v>
      </c>
    </row>
    <row r="228" spans="1:39" s="654" customFormat="1">
      <c r="A228" s="661" t="s">
        <v>874</v>
      </c>
      <c r="B228" s="1969">
        <f t="shared" si="71"/>
        <v>18715000</v>
      </c>
      <c r="C228" s="259" t="s">
        <v>36</v>
      </c>
      <c r="D228" s="260" t="s">
        <v>830</v>
      </c>
      <c r="E228" s="260" t="s">
        <v>1651</v>
      </c>
      <c r="F228" s="260" t="s">
        <v>1652</v>
      </c>
      <c r="G228" s="260" t="s">
        <v>79</v>
      </c>
      <c r="H228" s="2157" t="s">
        <v>1643</v>
      </c>
      <c r="I228" s="2142">
        <v>340</v>
      </c>
      <c r="J228" s="1650">
        <v>12</v>
      </c>
      <c r="K228" s="1651"/>
      <c r="L228" s="1652">
        <v>354</v>
      </c>
      <c r="M228" s="1659">
        <v>18715000</v>
      </c>
      <c r="N228" s="1583">
        <v>371</v>
      </c>
      <c r="O228" s="1604">
        <v>18715000</v>
      </c>
      <c r="P228" s="1704">
        <v>292</v>
      </c>
      <c r="Q228" s="1851"/>
      <c r="R228" s="1852"/>
      <c r="S228" s="1852"/>
      <c r="T228" s="1852">
        <v>1050667</v>
      </c>
      <c r="U228" s="1852">
        <v>1970000</v>
      </c>
      <c r="V228" s="1852">
        <v>1970000</v>
      </c>
      <c r="W228" s="1852">
        <v>1970000</v>
      </c>
      <c r="X228" s="1852">
        <v>1970000</v>
      </c>
      <c r="Y228" s="1852">
        <v>1970000</v>
      </c>
      <c r="Z228" s="1852">
        <v>1970000</v>
      </c>
      <c r="AA228" s="1852">
        <v>1970000</v>
      </c>
      <c r="AB228" s="1949">
        <f>1970000+1904333</f>
        <v>3874333</v>
      </c>
      <c r="AC228" s="1824">
        <f t="shared" si="69"/>
        <v>18715000</v>
      </c>
      <c r="AD228" s="1825">
        <f t="shared" si="70"/>
        <v>0</v>
      </c>
      <c r="AF228" s="848">
        <v>340</v>
      </c>
      <c r="AG228" s="1291" t="s">
        <v>224</v>
      </c>
      <c r="AH228" s="1059" t="s">
        <v>806</v>
      </c>
      <c r="AI228" s="1048">
        <f t="shared" si="66"/>
        <v>292</v>
      </c>
      <c r="AJ228" s="849">
        <f>21670000-2955000</f>
        <v>18715000</v>
      </c>
      <c r="AK228" s="1292">
        <f t="shared" si="67"/>
        <v>0</v>
      </c>
      <c r="AL228" s="845"/>
      <c r="AM228" s="1518">
        <f t="shared" si="68"/>
        <v>0</v>
      </c>
    </row>
    <row r="229" spans="1:39" s="654" customFormat="1">
      <c r="A229" s="661" t="s">
        <v>874</v>
      </c>
      <c r="B229" s="1969">
        <f t="shared" si="71"/>
        <v>0</v>
      </c>
      <c r="C229" s="259" t="s">
        <v>36</v>
      </c>
      <c r="D229" s="260" t="s">
        <v>830</v>
      </c>
      <c r="E229" s="260" t="s">
        <v>1651</v>
      </c>
      <c r="F229" s="260" t="s">
        <v>1652</v>
      </c>
      <c r="G229" s="260" t="s">
        <v>79</v>
      </c>
      <c r="H229" s="2157" t="s">
        <v>1643</v>
      </c>
      <c r="I229" s="2142" t="s">
        <v>325</v>
      </c>
      <c r="J229" s="1650">
        <v>757</v>
      </c>
      <c r="K229" s="1651">
        <v>328333</v>
      </c>
      <c r="L229" s="1652">
        <v>871</v>
      </c>
      <c r="M229" s="1659">
        <f>328333-328333</f>
        <v>0</v>
      </c>
      <c r="N229" s="1583"/>
      <c r="O229" s="1604"/>
      <c r="P229" s="1704">
        <v>292</v>
      </c>
      <c r="Q229" s="1851"/>
      <c r="R229" s="1852"/>
      <c r="S229" s="1852"/>
      <c r="T229" s="1852"/>
      <c r="U229" s="1852"/>
      <c r="V229" s="1852"/>
      <c r="W229" s="1852"/>
      <c r="X229" s="1852"/>
      <c r="Y229" s="1852"/>
      <c r="Z229" s="1852"/>
      <c r="AA229" s="1852"/>
      <c r="AB229" s="1949"/>
      <c r="AC229" s="1824">
        <f t="shared" si="69"/>
        <v>0</v>
      </c>
      <c r="AD229" s="1825">
        <f t="shared" si="70"/>
        <v>0</v>
      </c>
      <c r="AF229" s="848" t="s">
        <v>325</v>
      </c>
      <c r="AG229" s="1291" t="s">
        <v>1513</v>
      </c>
      <c r="AH229" s="1059" t="s">
        <v>806</v>
      </c>
      <c r="AI229" s="1048">
        <f t="shared" si="66"/>
        <v>292</v>
      </c>
      <c r="AJ229" s="849">
        <v>328333</v>
      </c>
      <c r="AK229" s="1292">
        <f t="shared" si="67"/>
        <v>328333</v>
      </c>
      <c r="AL229" s="845"/>
      <c r="AM229" s="1518">
        <f t="shared" si="68"/>
        <v>328333</v>
      </c>
    </row>
    <row r="230" spans="1:39" s="654" customFormat="1">
      <c r="A230" s="661" t="s">
        <v>874</v>
      </c>
      <c r="B230" s="1969">
        <f t="shared" si="71"/>
        <v>48200000</v>
      </c>
      <c r="C230" s="259" t="s">
        <v>36</v>
      </c>
      <c r="D230" s="260" t="s">
        <v>830</v>
      </c>
      <c r="E230" s="260" t="s">
        <v>1651</v>
      </c>
      <c r="F230" s="260" t="s">
        <v>1652</v>
      </c>
      <c r="G230" s="260" t="s">
        <v>79</v>
      </c>
      <c r="H230" s="2157" t="s">
        <v>1643</v>
      </c>
      <c r="I230" s="2142">
        <v>341</v>
      </c>
      <c r="J230" s="1650">
        <v>13</v>
      </c>
      <c r="K230" s="1651"/>
      <c r="L230" s="1652">
        <v>321</v>
      </c>
      <c r="M230" s="1659">
        <v>48200000</v>
      </c>
      <c r="N230" s="1593">
        <v>331</v>
      </c>
      <c r="O230" s="1604">
        <v>48200000</v>
      </c>
      <c r="P230" s="1655">
        <v>280</v>
      </c>
      <c r="Q230" s="1851"/>
      <c r="R230" s="1852"/>
      <c r="S230" s="1852"/>
      <c r="T230" s="1852">
        <v>4177333</v>
      </c>
      <c r="U230" s="1852">
        <v>4820000</v>
      </c>
      <c r="V230" s="1852">
        <v>4820000</v>
      </c>
      <c r="W230" s="1852">
        <v>4820000</v>
      </c>
      <c r="X230" s="1852">
        <v>4820000</v>
      </c>
      <c r="Y230" s="1852">
        <v>4820000</v>
      </c>
      <c r="Z230" s="1852">
        <v>4820000</v>
      </c>
      <c r="AA230" s="1852">
        <v>4820000</v>
      </c>
      <c r="AB230" s="1949">
        <f>4820000+4820000</f>
        <v>9640000</v>
      </c>
      <c r="AC230" s="1824">
        <f t="shared" si="69"/>
        <v>47557333</v>
      </c>
      <c r="AD230" s="1825">
        <f t="shared" si="70"/>
        <v>642667</v>
      </c>
      <c r="AF230" s="848">
        <v>341</v>
      </c>
      <c r="AG230" s="1291" t="s">
        <v>225</v>
      </c>
      <c r="AH230" s="1059" t="s">
        <v>793</v>
      </c>
      <c r="AI230" s="1048">
        <f t="shared" si="66"/>
        <v>280</v>
      </c>
      <c r="AJ230" s="849">
        <f>53020000-4820000</f>
        <v>48200000</v>
      </c>
      <c r="AK230" s="1292">
        <f t="shared" si="67"/>
        <v>0</v>
      </c>
      <c r="AL230" s="845"/>
      <c r="AM230" s="1518">
        <f t="shared" si="68"/>
        <v>0</v>
      </c>
    </row>
    <row r="231" spans="1:39" s="654" customFormat="1">
      <c r="A231" s="661" t="s">
        <v>874</v>
      </c>
      <c r="B231" s="1969">
        <f t="shared" si="71"/>
        <v>59180000</v>
      </c>
      <c r="C231" s="259" t="s">
        <v>36</v>
      </c>
      <c r="D231" s="260" t="s">
        <v>830</v>
      </c>
      <c r="E231" s="260" t="s">
        <v>1651</v>
      </c>
      <c r="F231" s="260" t="s">
        <v>1652</v>
      </c>
      <c r="G231" s="260" t="s">
        <v>79</v>
      </c>
      <c r="H231" s="2157" t="s">
        <v>1643</v>
      </c>
      <c r="I231" s="2142">
        <v>342</v>
      </c>
      <c r="J231" s="1650">
        <v>14</v>
      </c>
      <c r="K231" s="1651"/>
      <c r="L231" s="1652">
        <v>119</v>
      </c>
      <c r="M231" s="1659">
        <v>59180000</v>
      </c>
      <c r="N231" s="1593">
        <v>89</v>
      </c>
      <c r="O231" s="1604">
        <v>59180000</v>
      </c>
      <c r="P231" s="1655">
        <v>99</v>
      </c>
      <c r="Q231" s="1851"/>
      <c r="R231" s="1852">
        <v>1434667</v>
      </c>
      <c r="S231" s="1852">
        <f>VLOOKUP(N231,[9]Hoja2!N$2:T$77,7,0)</f>
        <v>5380000</v>
      </c>
      <c r="T231" s="1852">
        <v>5380000</v>
      </c>
      <c r="U231" s="1852">
        <v>5380000</v>
      </c>
      <c r="V231" s="1852">
        <v>5380000</v>
      </c>
      <c r="W231" s="1852">
        <v>5380000</v>
      </c>
      <c r="X231" s="1852">
        <v>5380000</v>
      </c>
      <c r="Y231" s="1852">
        <v>5380000</v>
      </c>
      <c r="Z231" s="1852">
        <v>5380000</v>
      </c>
      <c r="AA231" s="1852">
        <v>5380000</v>
      </c>
      <c r="AB231" s="1949">
        <f>5380000+3945333</f>
        <v>9325333</v>
      </c>
      <c r="AC231" s="1824">
        <f t="shared" si="69"/>
        <v>59180000</v>
      </c>
      <c r="AD231" s="1825">
        <f t="shared" si="70"/>
        <v>0</v>
      </c>
      <c r="AF231" s="848">
        <v>342</v>
      </c>
      <c r="AG231" s="1291" t="s">
        <v>226</v>
      </c>
      <c r="AH231" s="1059" t="s">
        <v>513</v>
      </c>
      <c r="AI231" s="1048">
        <f t="shared" si="66"/>
        <v>99</v>
      </c>
      <c r="AJ231" s="849">
        <v>59180000</v>
      </c>
      <c r="AK231" s="1292">
        <f t="shared" si="67"/>
        <v>0</v>
      </c>
      <c r="AL231" s="845"/>
      <c r="AM231" s="1518">
        <f t="shared" si="68"/>
        <v>0</v>
      </c>
    </row>
    <row r="232" spans="1:39" s="654" customFormat="1">
      <c r="A232" s="661" t="s">
        <v>874</v>
      </c>
      <c r="B232" s="1969">
        <f t="shared" si="71"/>
        <v>6814667</v>
      </c>
      <c r="C232" s="259" t="s">
        <v>36</v>
      </c>
      <c r="D232" s="260" t="s">
        <v>830</v>
      </c>
      <c r="E232" s="260" t="s">
        <v>1651</v>
      </c>
      <c r="F232" s="260" t="s">
        <v>1652</v>
      </c>
      <c r="G232" s="260" t="s">
        <v>79</v>
      </c>
      <c r="H232" s="2157" t="s">
        <v>1643</v>
      </c>
      <c r="I232" s="2142" t="s">
        <v>325</v>
      </c>
      <c r="J232" s="1650" t="s">
        <v>1587</v>
      </c>
      <c r="K232" s="1651">
        <f>1434667-1434667+6814667</f>
        <v>6814667</v>
      </c>
      <c r="L232" s="1652">
        <v>977</v>
      </c>
      <c r="M232" s="1659">
        <f>1434667-1434667+6814667</f>
        <v>6814667</v>
      </c>
      <c r="N232" s="1593">
        <v>1144</v>
      </c>
      <c r="O232" s="1604">
        <v>6814667</v>
      </c>
      <c r="P232" s="1655">
        <v>99</v>
      </c>
      <c r="Q232" s="1851"/>
      <c r="R232" s="1852"/>
      <c r="S232" s="1852"/>
      <c r="T232" s="1852"/>
      <c r="U232" s="1852"/>
      <c r="V232" s="1852"/>
      <c r="W232" s="1852"/>
      <c r="X232" s="1852"/>
      <c r="Y232" s="1852"/>
      <c r="Z232" s="1852"/>
      <c r="AA232" s="1852"/>
      <c r="AB232" s="1949">
        <v>1434667</v>
      </c>
      <c r="AC232" s="1824">
        <f t="shared" si="69"/>
        <v>1434667</v>
      </c>
      <c r="AD232" s="1825">
        <f t="shared" si="70"/>
        <v>5380000</v>
      </c>
      <c r="AF232" s="848" t="s">
        <v>325</v>
      </c>
      <c r="AG232" s="1291" t="s">
        <v>1519</v>
      </c>
      <c r="AH232" s="1059" t="s">
        <v>513</v>
      </c>
      <c r="AI232" s="1048">
        <f t="shared" si="66"/>
        <v>99</v>
      </c>
      <c r="AJ232" s="849">
        <f>1434667+5380000-5380000+5380000</f>
        <v>6814667</v>
      </c>
      <c r="AK232" s="1292">
        <f t="shared" si="67"/>
        <v>0</v>
      </c>
      <c r="AL232" s="845"/>
      <c r="AM232" s="1518">
        <f t="shared" si="68"/>
        <v>0</v>
      </c>
    </row>
    <row r="233" spans="1:39" s="654" customFormat="1">
      <c r="A233" s="661" t="s">
        <v>874</v>
      </c>
      <c r="B233" s="1969">
        <f t="shared" si="71"/>
        <v>52800000</v>
      </c>
      <c r="C233" s="259" t="s">
        <v>36</v>
      </c>
      <c r="D233" s="260" t="s">
        <v>830</v>
      </c>
      <c r="E233" s="260" t="s">
        <v>1651</v>
      </c>
      <c r="F233" s="260" t="s">
        <v>1652</v>
      </c>
      <c r="G233" s="260" t="s">
        <v>79</v>
      </c>
      <c r="H233" s="2157" t="s">
        <v>1643</v>
      </c>
      <c r="I233" s="2142">
        <v>343</v>
      </c>
      <c r="J233" s="1650">
        <v>15</v>
      </c>
      <c r="K233" s="1651"/>
      <c r="L233" s="1652">
        <v>135</v>
      </c>
      <c r="M233" s="1659">
        <v>52800000</v>
      </c>
      <c r="N233" s="1593">
        <v>124</v>
      </c>
      <c r="O233" s="1604">
        <v>52800000</v>
      </c>
      <c r="P233" s="1655">
        <v>110</v>
      </c>
      <c r="Q233" s="1851"/>
      <c r="R233" s="1852">
        <v>1280000</v>
      </c>
      <c r="S233" s="1852">
        <f>VLOOKUP(N233,[9]Hoja2!N$2:T$77,7,0)</f>
        <v>4800000</v>
      </c>
      <c r="T233" s="1852">
        <v>4800000</v>
      </c>
      <c r="U233" s="1852">
        <v>4800000</v>
      </c>
      <c r="V233" s="1852">
        <v>4800000</v>
      </c>
      <c r="W233" s="1852">
        <v>4800000</v>
      </c>
      <c r="X233" s="1852">
        <v>4800000</v>
      </c>
      <c r="Y233" s="1852">
        <v>4800000</v>
      </c>
      <c r="Z233" s="1852">
        <v>4800000</v>
      </c>
      <c r="AA233" s="1852">
        <v>4800000</v>
      </c>
      <c r="AB233" s="1949">
        <f>4800000+3520000</f>
        <v>8320000</v>
      </c>
      <c r="AC233" s="1824">
        <f t="shared" si="69"/>
        <v>52800000</v>
      </c>
      <c r="AD233" s="1825">
        <f t="shared" si="70"/>
        <v>0</v>
      </c>
      <c r="AF233" s="848">
        <v>343</v>
      </c>
      <c r="AG233" s="1291" t="s">
        <v>227</v>
      </c>
      <c r="AH233" s="1059" t="s">
        <v>514</v>
      </c>
      <c r="AI233" s="1048">
        <f t="shared" si="66"/>
        <v>110</v>
      </c>
      <c r="AJ233" s="849">
        <v>52800000</v>
      </c>
      <c r="AK233" s="1292">
        <f t="shared" si="67"/>
        <v>0</v>
      </c>
      <c r="AL233" s="845"/>
      <c r="AM233" s="1518">
        <f t="shared" si="68"/>
        <v>0</v>
      </c>
    </row>
    <row r="234" spans="1:39" s="654" customFormat="1">
      <c r="A234" s="661" t="s">
        <v>874</v>
      </c>
      <c r="B234" s="1969">
        <f t="shared" si="71"/>
        <v>1280000</v>
      </c>
      <c r="C234" s="259" t="s">
        <v>36</v>
      </c>
      <c r="D234" s="260" t="s">
        <v>830</v>
      </c>
      <c r="E234" s="260" t="s">
        <v>1651</v>
      </c>
      <c r="F234" s="260" t="s">
        <v>1652</v>
      </c>
      <c r="G234" s="260" t="s">
        <v>79</v>
      </c>
      <c r="H234" s="2157" t="s">
        <v>1643</v>
      </c>
      <c r="I234" s="2142" t="s">
        <v>325</v>
      </c>
      <c r="J234" s="1650">
        <v>759</v>
      </c>
      <c r="K234" s="1651">
        <v>1280000</v>
      </c>
      <c r="L234" s="1652">
        <v>874</v>
      </c>
      <c r="M234" s="1659">
        <v>1280000</v>
      </c>
      <c r="N234" s="1593">
        <v>1129</v>
      </c>
      <c r="O234" s="1604">
        <v>1280000</v>
      </c>
      <c r="P234" s="1655">
        <v>110</v>
      </c>
      <c r="Q234" s="1851"/>
      <c r="R234" s="1852"/>
      <c r="S234" s="1852"/>
      <c r="T234" s="1852"/>
      <c r="U234" s="1852"/>
      <c r="V234" s="1852"/>
      <c r="W234" s="1852"/>
      <c r="X234" s="1852"/>
      <c r="Y234" s="1852"/>
      <c r="Z234" s="1852"/>
      <c r="AA234" s="1852"/>
      <c r="AB234" s="1949">
        <v>1280000</v>
      </c>
      <c r="AC234" s="1824">
        <f t="shared" si="69"/>
        <v>1280000</v>
      </c>
      <c r="AD234" s="1825">
        <f t="shared" si="70"/>
        <v>0</v>
      </c>
      <c r="AF234" s="848" t="s">
        <v>325</v>
      </c>
      <c r="AG234" s="1291" t="s">
        <v>1520</v>
      </c>
      <c r="AH234" s="1059" t="s">
        <v>514</v>
      </c>
      <c r="AI234" s="1048">
        <f t="shared" si="66"/>
        <v>110</v>
      </c>
      <c r="AJ234" s="849">
        <v>1280000</v>
      </c>
      <c r="AK234" s="1292">
        <f t="shared" si="67"/>
        <v>0</v>
      </c>
      <c r="AL234" s="845"/>
      <c r="AM234" s="1518">
        <f t="shared" si="68"/>
        <v>0</v>
      </c>
    </row>
    <row r="235" spans="1:39" s="654" customFormat="1">
      <c r="A235" s="661" t="s">
        <v>874</v>
      </c>
      <c r="B235" s="1969">
        <f t="shared" si="71"/>
        <v>49500000</v>
      </c>
      <c r="C235" s="259" t="s">
        <v>36</v>
      </c>
      <c r="D235" s="260" t="s">
        <v>830</v>
      </c>
      <c r="E235" s="260" t="s">
        <v>1651</v>
      </c>
      <c r="F235" s="260" t="s">
        <v>1652</v>
      </c>
      <c r="G235" s="260" t="s">
        <v>79</v>
      </c>
      <c r="H235" s="2157" t="s">
        <v>1643</v>
      </c>
      <c r="I235" s="2142">
        <v>344</v>
      </c>
      <c r="J235" s="1650">
        <v>16</v>
      </c>
      <c r="K235" s="1651"/>
      <c r="L235" s="1652">
        <v>206</v>
      </c>
      <c r="M235" s="1659">
        <f>49830000-330000</f>
        <v>49500000</v>
      </c>
      <c r="N235" s="1593">
        <v>196</v>
      </c>
      <c r="O235" s="1604">
        <v>49500000</v>
      </c>
      <c r="P235" s="1655">
        <v>208</v>
      </c>
      <c r="Q235" s="1851"/>
      <c r="R235" s="1852"/>
      <c r="S235" s="1852">
        <f>VLOOKUP(N235,[9]Hoja2!N$2:T$77,7,0)</f>
        <v>4500000</v>
      </c>
      <c r="T235" s="1852">
        <v>4500000</v>
      </c>
      <c r="U235" s="1852">
        <v>4500000</v>
      </c>
      <c r="V235" s="1852">
        <v>4500000</v>
      </c>
      <c r="W235" s="1852">
        <f>1500000+3000000</f>
        <v>4500000</v>
      </c>
      <c r="X235" s="1852">
        <f>1200000+3300000</f>
        <v>4500000</v>
      </c>
      <c r="Y235" s="1852">
        <v>4500000</v>
      </c>
      <c r="Z235" s="1852">
        <v>4500000</v>
      </c>
      <c r="AA235" s="1852">
        <v>4500000</v>
      </c>
      <c r="AB235" s="1949">
        <f>4500000+4500000</f>
        <v>9000000</v>
      </c>
      <c r="AC235" s="1824">
        <f t="shared" si="69"/>
        <v>49500000</v>
      </c>
      <c r="AD235" s="1825">
        <f t="shared" si="70"/>
        <v>0</v>
      </c>
      <c r="AF235" s="848">
        <v>344</v>
      </c>
      <c r="AG235" s="1291" t="s">
        <v>228</v>
      </c>
      <c r="AH235" s="1059" t="s">
        <v>515</v>
      </c>
      <c r="AI235" s="1048">
        <f t="shared" si="66"/>
        <v>208</v>
      </c>
      <c r="AJ235" s="849">
        <f>49830000-330000</f>
        <v>49500000</v>
      </c>
      <c r="AK235" s="1292">
        <f t="shared" si="67"/>
        <v>0</v>
      </c>
      <c r="AL235" s="845"/>
      <c r="AM235" s="1518">
        <f t="shared" si="68"/>
        <v>0</v>
      </c>
    </row>
    <row r="236" spans="1:39" s="654" customFormat="1">
      <c r="A236" s="661" t="s">
        <v>874</v>
      </c>
      <c r="B236" s="1969">
        <f t="shared" si="71"/>
        <v>49500000</v>
      </c>
      <c r="C236" s="259" t="s">
        <v>36</v>
      </c>
      <c r="D236" s="260" t="s">
        <v>830</v>
      </c>
      <c r="E236" s="260" t="s">
        <v>1651</v>
      </c>
      <c r="F236" s="260" t="s">
        <v>1652</v>
      </c>
      <c r="G236" s="260" t="s">
        <v>79</v>
      </c>
      <c r="H236" s="2157" t="s">
        <v>1643</v>
      </c>
      <c r="I236" s="2142">
        <v>345</v>
      </c>
      <c r="J236" s="1650">
        <v>17</v>
      </c>
      <c r="K236" s="1651"/>
      <c r="L236" s="1652">
        <v>215</v>
      </c>
      <c r="M236" s="1659">
        <f>49830000-330000</f>
        <v>49500000</v>
      </c>
      <c r="N236" s="1593">
        <v>198</v>
      </c>
      <c r="O236" s="1604">
        <v>49500000</v>
      </c>
      <c r="P236" s="1655">
        <v>200</v>
      </c>
      <c r="Q236" s="1851"/>
      <c r="R236" s="1852"/>
      <c r="S236" s="1852">
        <f>VLOOKUP(N236,[9]Hoja2!N$2:T$77,7,0)</f>
        <v>4500000</v>
      </c>
      <c r="T236" s="1852">
        <v>4500000</v>
      </c>
      <c r="U236" s="1852">
        <v>3750000</v>
      </c>
      <c r="V236" s="1852">
        <v>5250000</v>
      </c>
      <c r="W236" s="1852">
        <v>4500000</v>
      </c>
      <c r="X236" s="1852">
        <v>4500000</v>
      </c>
      <c r="Y236" s="1852">
        <v>4500000</v>
      </c>
      <c r="Z236" s="1852">
        <v>4500000</v>
      </c>
      <c r="AA236" s="1852">
        <v>4500000</v>
      </c>
      <c r="AB236" s="1949">
        <f>4500000+4500000</f>
        <v>9000000</v>
      </c>
      <c r="AC236" s="1824">
        <f t="shared" si="69"/>
        <v>49500000</v>
      </c>
      <c r="AD236" s="1825">
        <f t="shared" si="70"/>
        <v>0</v>
      </c>
      <c r="AF236" s="848">
        <v>345</v>
      </c>
      <c r="AG236" s="1291" t="s">
        <v>229</v>
      </c>
      <c r="AH236" s="1059" t="s">
        <v>516</v>
      </c>
      <c r="AI236" s="1048">
        <f t="shared" si="66"/>
        <v>200</v>
      </c>
      <c r="AJ236" s="849">
        <f>49830000-330000</f>
        <v>49500000</v>
      </c>
      <c r="AK236" s="1292">
        <f t="shared" si="67"/>
        <v>0</v>
      </c>
      <c r="AL236" s="845"/>
      <c r="AM236" s="1518">
        <f t="shared" si="68"/>
        <v>0</v>
      </c>
    </row>
    <row r="237" spans="1:39" s="654" customFormat="1">
      <c r="A237" s="661" t="s">
        <v>874</v>
      </c>
      <c r="B237" s="1969">
        <f t="shared" si="71"/>
        <v>4500000</v>
      </c>
      <c r="C237" s="259" t="s">
        <v>36</v>
      </c>
      <c r="D237" s="260" t="s">
        <v>830</v>
      </c>
      <c r="E237" s="260" t="s">
        <v>1651</v>
      </c>
      <c r="F237" s="260" t="s">
        <v>1652</v>
      </c>
      <c r="G237" s="260" t="s">
        <v>79</v>
      </c>
      <c r="H237" s="2157" t="s">
        <v>1643</v>
      </c>
      <c r="I237" s="2142" t="s">
        <v>325</v>
      </c>
      <c r="J237" s="1650">
        <v>858</v>
      </c>
      <c r="K237" s="1651">
        <v>4500000</v>
      </c>
      <c r="L237" s="1652">
        <v>980</v>
      </c>
      <c r="M237" s="1659">
        <v>4500000</v>
      </c>
      <c r="N237" s="1593">
        <v>1183</v>
      </c>
      <c r="O237" s="1604">
        <v>4500000</v>
      </c>
      <c r="P237" s="1655">
        <v>200</v>
      </c>
      <c r="Q237" s="1851"/>
      <c r="R237" s="1852"/>
      <c r="S237" s="1852"/>
      <c r="T237" s="1852"/>
      <c r="U237" s="1852"/>
      <c r="V237" s="1852"/>
      <c r="W237" s="1852"/>
      <c r="X237" s="1852"/>
      <c r="Y237" s="1852"/>
      <c r="Z237" s="1852"/>
      <c r="AA237" s="1852"/>
      <c r="AB237" s="1949"/>
      <c r="AC237" s="1824">
        <f t="shared" si="69"/>
        <v>0</v>
      </c>
      <c r="AD237" s="1825">
        <f t="shared" si="70"/>
        <v>4500000</v>
      </c>
      <c r="AF237" s="848" t="s">
        <v>325</v>
      </c>
      <c r="AG237" s="1291" t="s">
        <v>1576</v>
      </c>
      <c r="AH237" s="1059" t="s">
        <v>1616</v>
      </c>
      <c r="AI237" s="1048">
        <f t="shared" si="66"/>
        <v>200</v>
      </c>
      <c r="AJ237" s="849">
        <v>4500000</v>
      </c>
      <c r="AK237" s="1292">
        <f t="shared" si="67"/>
        <v>0</v>
      </c>
      <c r="AL237" s="845"/>
      <c r="AM237" s="1518">
        <f t="shared" si="68"/>
        <v>0</v>
      </c>
    </row>
    <row r="238" spans="1:39" s="654" customFormat="1">
      <c r="A238" s="661" t="s">
        <v>874</v>
      </c>
      <c r="B238" s="1969">
        <f t="shared" si="71"/>
        <v>72600000</v>
      </c>
      <c r="C238" s="259" t="s">
        <v>36</v>
      </c>
      <c r="D238" s="260" t="s">
        <v>830</v>
      </c>
      <c r="E238" s="260" t="s">
        <v>1651</v>
      </c>
      <c r="F238" s="260" t="s">
        <v>1652</v>
      </c>
      <c r="G238" s="260" t="s">
        <v>79</v>
      </c>
      <c r="H238" s="2157" t="s">
        <v>1643</v>
      </c>
      <c r="I238" s="2142">
        <v>346</v>
      </c>
      <c r="J238" s="1650">
        <v>18</v>
      </c>
      <c r="K238" s="1651"/>
      <c r="L238" s="1652">
        <v>120</v>
      </c>
      <c r="M238" s="1659">
        <v>72600000</v>
      </c>
      <c r="N238" s="1593">
        <v>88</v>
      </c>
      <c r="O238" s="1604">
        <v>72600000</v>
      </c>
      <c r="P238" s="1655">
        <v>98</v>
      </c>
      <c r="Q238" s="1851"/>
      <c r="R238" s="1852">
        <v>1100000</v>
      </c>
      <c r="S238" s="1852">
        <f>VLOOKUP(N238,[9]Hoja2!N$2:T$77,7,0)</f>
        <v>6600000</v>
      </c>
      <c r="T238" s="1852">
        <v>6600000</v>
      </c>
      <c r="U238" s="1852">
        <v>6600000</v>
      </c>
      <c r="V238" s="1852">
        <v>6600000</v>
      </c>
      <c r="W238" s="1852">
        <v>6600000</v>
      </c>
      <c r="X238" s="1852">
        <v>6600000</v>
      </c>
      <c r="Y238" s="1852">
        <v>6600000</v>
      </c>
      <c r="Z238" s="1852">
        <v>6600000</v>
      </c>
      <c r="AA238" s="1852">
        <v>6600000</v>
      </c>
      <c r="AB238" s="1949">
        <f>4400000+3740000</f>
        <v>8140000</v>
      </c>
      <c r="AC238" s="1824">
        <f t="shared" si="69"/>
        <v>68640000</v>
      </c>
      <c r="AD238" s="1825">
        <f t="shared" si="70"/>
        <v>3960000</v>
      </c>
      <c r="AF238" s="848">
        <v>346</v>
      </c>
      <c r="AG238" s="1291" t="s">
        <v>230</v>
      </c>
      <c r="AH238" s="1059" t="s">
        <v>517</v>
      </c>
      <c r="AI238" s="1048">
        <f t="shared" si="66"/>
        <v>98</v>
      </c>
      <c r="AJ238" s="849">
        <v>72600000</v>
      </c>
      <c r="AK238" s="1292">
        <f t="shared" si="67"/>
        <v>0</v>
      </c>
      <c r="AL238" s="845"/>
      <c r="AM238" s="1518">
        <f t="shared" si="68"/>
        <v>0</v>
      </c>
    </row>
    <row r="239" spans="1:39" s="654" customFormat="1">
      <c r="A239" s="661" t="s">
        <v>874</v>
      </c>
      <c r="B239" s="1969">
        <f t="shared" si="71"/>
        <v>7920000</v>
      </c>
      <c r="C239" s="259" t="s">
        <v>36</v>
      </c>
      <c r="D239" s="260" t="s">
        <v>830</v>
      </c>
      <c r="E239" s="260" t="s">
        <v>1651</v>
      </c>
      <c r="F239" s="260" t="s">
        <v>1652</v>
      </c>
      <c r="G239" s="260" t="s">
        <v>79</v>
      </c>
      <c r="H239" s="2157" t="s">
        <v>1643</v>
      </c>
      <c r="I239" s="2142" t="s">
        <v>325</v>
      </c>
      <c r="J239" s="1650">
        <v>870</v>
      </c>
      <c r="K239" s="1651">
        <v>7920000</v>
      </c>
      <c r="L239" s="1652">
        <v>990</v>
      </c>
      <c r="M239" s="1659">
        <v>7920000</v>
      </c>
      <c r="N239" s="1593">
        <v>1159</v>
      </c>
      <c r="O239" s="1604">
        <v>7920000</v>
      </c>
      <c r="P239" s="1655">
        <v>98</v>
      </c>
      <c r="Q239" s="1851"/>
      <c r="R239" s="1852"/>
      <c r="S239" s="1852"/>
      <c r="T239" s="1852"/>
      <c r="U239" s="1852"/>
      <c r="V239" s="1852"/>
      <c r="W239" s="1852"/>
      <c r="X239" s="1852"/>
      <c r="Y239" s="1852"/>
      <c r="Z239" s="1852"/>
      <c r="AA239" s="1852"/>
      <c r="AB239" s="1949">
        <v>1100000</v>
      </c>
      <c r="AC239" s="1824">
        <f t="shared" si="69"/>
        <v>1100000</v>
      </c>
      <c r="AD239" s="1825">
        <f t="shared" si="70"/>
        <v>6820000</v>
      </c>
      <c r="AF239" s="848" t="s">
        <v>325</v>
      </c>
      <c r="AG239" s="1291" t="s">
        <v>1550</v>
      </c>
      <c r="AH239" s="1059" t="s">
        <v>517</v>
      </c>
      <c r="AI239" s="1048">
        <f t="shared" si="66"/>
        <v>98</v>
      </c>
      <c r="AJ239" s="849">
        <f>7920000-7920000+7920000</f>
        <v>7920000</v>
      </c>
      <c r="AK239" s="1292">
        <f t="shared" si="67"/>
        <v>0</v>
      </c>
      <c r="AL239" s="845"/>
      <c r="AM239" s="1518">
        <f t="shared" si="68"/>
        <v>0</v>
      </c>
    </row>
    <row r="240" spans="1:39" s="654" customFormat="1">
      <c r="A240" s="661" t="s">
        <v>874</v>
      </c>
      <c r="B240" s="1969">
        <f t="shared" si="71"/>
        <v>44550000</v>
      </c>
      <c r="C240" s="259" t="s">
        <v>36</v>
      </c>
      <c r="D240" s="260" t="s">
        <v>830</v>
      </c>
      <c r="E240" s="260" t="s">
        <v>1651</v>
      </c>
      <c r="F240" s="260" t="s">
        <v>1652</v>
      </c>
      <c r="G240" s="260" t="s">
        <v>79</v>
      </c>
      <c r="H240" s="2157" t="s">
        <v>1643</v>
      </c>
      <c r="I240" s="2142">
        <v>347</v>
      </c>
      <c r="J240" s="1650">
        <v>19</v>
      </c>
      <c r="K240" s="1651"/>
      <c r="L240" s="1652">
        <v>98</v>
      </c>
      <c r="M240" s="1659">
        <v>44550000</v>
      </c>
      <c r="N240" s="1593">
        <v>108</v>
      </c>
      <c r="O240" s="1604">
        <v>44550000</v>
      </c>
      <c r="P240" s="1655">
        <v>77</v>
      </c>
      <c r="Q240" s="1851"/>
      <c r="R240" s="1852">
        <v>945000</v>
      </c>
      <c r="S240" s="1852">
        <f>VLOOKUP(N240,[9]Hoja2!N$2:T$77,7,0)</f>
        <v>4050000</v>
      </c>
      <c r="T240" s="1852">
        <v>4050000</v>
      </c>
      <c r="U240" s="1852">
        <v>4050000</v>
      </c>
      <c r="V240" s="1852">
        <v>4050000</v>
      </c>
      <c r="W240" s="1852">
        <v>4050000</v>
      </c>
      <c r="X240" s="1852">
        <v>4050000</v>
      </c>
      <c r="Y240" s="1852">
        <v>4050000</v>
      </c>
      <c r="Z240" s="1852">
        <v>4050000</v>
      </c>
      <c r="AA240" s="1852">
        <v>4050000</v>
      </c>
      <c r="AB240" s="1949">
        <f>4050000+3105000</f>
        <v>7155000</v>
      </c>
      <c r="AC240" s="1824">
        <f t="shared" si="69"/>
        <v>44550000</v>
      </c>
      <c r="AD240" s="1825">
        <f t="shared" si="70"/>
        <v>0</v>
      </c>
      <c r="AF240" s="848">
        <v>347</v>
      </c>
      <c r="AG240" s="1291" t="s">
        <v>231</v>
      </c>
      <c r="AH240" s="1059" t="s">
        <v>518</v>
      </c>
      <c r="AI240" s="1048">
        <f t="shared" si="66"/>
        <v>77</v>
      </c>
      <c r="AJ240" s="849">
        <v>44550000</v>
      </c>
      <c r="AK240" s="1292">
        <f t="shared" si="67"/>
        <v>0</v>
      </c>
      <c r="AL240" s="845"/>
      <c r="AM240" s="1518">
        <f t="shared" si="68"/>
        <v>0</v>
      </c>
    </row>
    <row r="241" spans="1:39" s="654" customFormat="1" ht="15">
      <c r="A241" s="661" t="s">
        <v>874</v>
      </c>
      <c r="B241" s="1969">
        <f t="shared" si="71"/>
        <v>44550000</v>
      </c>
      <c r="C241" s="259" t="s">
        <v>36</v>
      </c>
      <c r="D241" s="260" t="s">
        <v>830</v>
      </c>
      <c r="E241" s="260" t="s">
        <v>1651</v>
      </c>
      <c r="F241" s="260" t="s">
        <v>1652</v>
      </c>
      <c r="G241" s="260" t="s">
        <v>79</v>
      </c>
      <c r="H241" s="2157" t="s">
        <v>1643</v>
      </c>
      <c r="I241" s="1893">
        <v>348</v>
      </c>
      <c r="J241" s="1714">
        <v>20</v>
      </c>
      <c r="K241" s="1715"/>
      <c r="L241" s="1652">
        <v>233</v>
      </c>
      <c r="M241" s="1659">
        <v>44550000</v>
      </c>
      <c r="N241" s="1593">
        <v>221</v>
      </c>
      <c r="O241" s="1604">
        <v>44550000</v>
      </c>
      <c r="P241" s="1655">
        <v>203</v>
      </c>
      <c r="Q241" s="1851"/>
      <c r="R241" s="1852"/>
      <c r="S241" s="1852">
        <f>VLOOKUP(N241,[9]Hoja2!N$2:T$77,7,0)</f>
        <v>3645000</v>
      </c>
      <c r="T241" s="1852">
        <v>4050000</v>
      </c>
      <c r="U241" s="1852">
        <v>4050000</v>
      </c>
      <c r="V241" s="1852">
        <v>4050000</v>
      </c>
      <c r="W241" s="1852">
        <v>4050000</v>
      </c>
      <c r="X241" s="1852">
        <v>4050000</v>
      </c>
      <c r="Y241" s="1852">
        <v>4050000</v>
      </c>
      <c r="Z241" s="1852">
        <v>4050000</v>
      </c>
      <c r="AA241" s="1852">
        <v>4050000</v>
      </c>
      <c r="AB241" s="1949">
        <f>4050000+4050000</f>
        <v>8100000</v>
      </c>
      <c r="AC241" s="1824">
        <f t="shared" si="69"/>
        <v>44145000</v>
      </c>
      <c r="AD241" s="1825">
        <f t="shared" si="70"/>
        <v>405000</v>
      </c>
      <c r="AF241" s="848">
        <v>348</v>
      </c>
      <c r="AG241" s="1291" t="s">
        <v>231</v>
      </c>
      <c r="AH241" s="1059" t="s">
        <v>735</v>
      </c>
      <c r="AI241" s="1048">
        <f t="shared" si="66"/>
        <v>203</v>
      </c>
      <c r="AJ241" s="849">
        <v>44550000</v>
      </c>
      <c r="AK241" s="1292">
        <f t="shared" si="67"/>
        <v>0</v>
      </c>
      <c r="AL241" s="845"/>
      <c r="AM241" s="1518">
        <f t="shared" si="68"/>
        <v>0</v>
      </c>
    </row>
    <row r="242" spans="1:39" s="654" customFormat="1">
      <c r="A242" s="661" t="s">
        <v>874</v>
      </c>
      <c r="B242" s="1969">
        <f t="shared" si="71"/>
        <v>25163400</v>
      </c>
      <c r="C242" s="259" t="s">
        <v>36</v>
      </c>
      <c r="D242" s="260" t="s">
        <v>830</v>
      </c>
      <c r="E242" s="260" t="s">
        <v>1651</v>
      </c>
      <c r="F242" s="260" t="s">
        <v>1652</v>
      </c>
      <c r="G242" s="260" t="s">
        <v>79</v>
      </c>
      <c r="H242" s="2157" t="s">
        <v>1643</v>
      </c>
      <c r="I242" s="2142" t="s">
        <v>739</v>
      </c>
      <c r="J242" s="1314" t="s">
        <v>1590</v>
      </c>
      <c r="K242" s="1462">
        <f>670800+1596600+1781900+1836600+1799800+1758100+2435100+2328200+2584500+2613600+2926700+2671500-2671500+2831500</f>
        <v>25163400</v>
      </c>
      <c r="L242" s="1658" t="s">
        <v>1571</v>
      </c>
      <c r="M242" s="1462">
        <f>670800+1596600+1781900+1836600+1799800+1758100+2435100+2328200+2584500+2613600+2926700+2671500-2671500+2831500</f>
        <v>25163400</v>
      </c>
      <c r="N242" s="1671" t="s">
        <v>1602</v>
      </c>
      <c r="O242" s="1462">
        <f>670800+1596600+1781900+1836600+1799800+1758100+2435100+2328200+2584500+2613600+2926700+2831500</f>
        <v>25163400</v>
      </c>
      <c r="P242" s="1655" t="s">
        <v>739</v>
      </c>
      <c r="Q242" s="1851"/>
      <c r="R242" s="1659">
        <v>670800</v>
      </c>
      <c r="S242" s="1852">
        <v>1596600</v>
      </c>
      <c r="T242" s="1852">
        <v>1781900</v>
      </c>
      <c r="U242" s="1852">
        <v>1836600</v>
      </c>
      <c r="V242" s="1852">
        <v>1799800</v>
      </c>
      <c r="W242" s="1852">
        <v>1758100</v>
      </c>
      <c r="X242" s="1852">
        <v>2435100</v>
      </c>
      <c r="Y242" s="1852">
        <v>2328200</v>
      </c>
      <c r="Z242" s="1852">
        <v>2584500</v>
      </c>
      <c r="AA242" s="1852">
        <v>2613600</v>
      </c>
      <c r="AB242" s="1949">
        <f>2926700+2831500</f>
        <v>5758200</v>
      </c>
      <c r="AC242" s="1824">
        <f t="shared" si="69"/>
        <v>25163400</v>
      </c>
      <c r="AD242" s="1825">
        <f t="shared" si="70"/>
        <v>0</v>
      </c>
      <c r="AF242" s="848" t="s">
        <v>148</v>
      </c>
      <c r="AG242" s="1291" t="s">
        <v>180</v>
      </c>
      <c r="AH242" s="1059" t="s">
        <v>618</v>
      </c>
      <c r="AI242" s="1048" t="str">
        <f t="shared" si="66"/>
        <v>ARL</v>
      </c>
      <c r="AJ242" s="849">
        <f>8281053+12983000-690900+1745647+13100+2939800</f>
        <v>25271700</v>
      </c>
      <c r="AK242" s="1292">
        <f t="shared" si="67"/>
        <v>108300</v>
      </c>
      <c r="AL242" s="845"/>
      <c r="AM242" s="1518">
        <f t="shared" si="68"/>
        <v>108300</v>
      </c>
    </row>
    <row r="243" spans="1:39" s="654" customFormat="1" ht="15">
      <c r="A243" s="661" t="s">
        <v>874</v>
      </c>
      <c r="B243" s="1969">
        <f t="shared" si="71"/>
        <v>11880000</v>
      </c>
      <c r="C243" s="259" t="s">
        <v>36</v>
      </c>
      <c r="D243" s="260" t="s">
        <v>830</v>
      </c>
      <c r="E243" s="260" t="s">
        <v>1651</v>
      </c>
      <c r="F243" s="260" t="s">
        <v>1652</v>
      </c>
      <c r="G243" s="260" t="s">
        <v>79</v>
      </c>
      <c r="H243" s="2158" t="s">
        <v>1643</v>
      </c>
      <c r="I243" s="1534">
        <v>467</v>
      </c>
      <c r="J243" s="1716"/>
      <c r="K243" s="1717"/>
      <c r="L243" s="1658">
        <v>623</v>
      </c>
      <c r="M243" s="1659">
        <f>12960000-1080000</f>
        <v>11880000</v>
      </c>
      <c r="N243" s="1593">
        <v>739</v>
      </c>
      <c r="O243" s="1659">
        <v>11880000</v>
      </c>
      <c r="P243" s="1655">
        <v>439</v>
      </c>
      <c r="Q243" s="1851"/>
      <c r="R243" s="1659"/>
      <c r="S243" s="1852"/>
      <c r="T243" s="1852"/>
      <c r="U243" s="1852"/>
      <c r="V243" s="1852"/>
      <c r="W243" s="1852"/>
      <c r="X243" s="1852"/>
      <c r="Y243" s="1852">
        <v>2376000</v>
      </c>
      <c r="Z243" s="1852">
        <v>3240000</v>
      </c>
      <c r="AA243" s="1852">
        <v>3240000</v>
      </c>
      <c r="AB243" s="1949">
        <v>3024000</v>
      </c>
      <c r="AC243" s="1824">
        <f t="shared" si="69"/>
        <v>11880000</v>
      </c>
      <c r="AD243" s="1825">
        <f t="shared" si="70"/>
        <v>0</v>
      </c>
      <c r="AF243" s="848">
        <v>467</v>
      </c>
      <c r="AG243" s="1291" t="s">
        <v>221</v>
      </c>
      <c r="AH243" s="1059" t="s">
        <v>1204</v>
      </c>
      <c r="AI243" s="1048">
        <f t="shared" si="66"/>
        <v>439</v>
      </c>
      <c r="AJ243" s="849">
        <f>12960000-1080000</f>
        <v>11880000</v>
      </c>
      <c r="AK243" s="1292">
        <f t="shared" si="67"/>
        <v>0</v>
      </c>
      <c r="AL243" s="845"/>
      <c r="AM243" s="1518">
        <f t="shared" si="68"/>
        <v>0</v>
      </c>
    </row>
    <row r="244" spans="1:39" s="654" customFormat="1" ht="15">
      <c r="A244" s="661" t="s">
        <v>874</v>
      </c>
      <c r="B244" s="1969">
        <f t="shared" si="71"/>
        <v>0</v>
      </c>
      <c r="C244" s="259" t="s">
        <v>36</v>
      </c>
      <c r="D244" s="260" t="s">
        <v>830</v>
      </c>
      <c r="E244" s="260" t="s">
        <v>1651</v>
      </c>
      <c r="F244" s="260" t="s">
        <v>1652</v>
      </c>
      <c r="G244" s="260" t="s">
        <v>79</v>
      </c>
      <c r="H244" s="2157" t="s">
        <v>1643</v>
      </c>
      <c r="I244" s="2142" t="s">
        <v>325</v>
      </c>
      <c r="J244" s="1716"/>
      <c r="K244" s="1717"/>
      <c r="L244" s="1658"/>
      <c r="M244" s="1659"/>
      <c r="N244" s="1593"/>
      <c r="O244" s="1659"/>
      <c r="P244" s="1655">
        <v>439</v>
      </c>
      <c r="Q244" s="1851"/>
      <c r="R244" s="1659"/>
      <c r="S244" s="1852"/>
      <c r="T244" s="1852"/>
      <c r="U244" s="1852"/>
      <c r="V244" s="1852"/>
      <c r="W244" s="1852"/>
      <c r="X244" s="1852"/>
      <c r="Y244" s="1852"/>
      <c r="Z244" s="1852"/>
      <c r="AA244" s="1852"/>
      <c r="AB244" s="1949"/>
      <c r="AC244" s="1824">
        <f t="shared" si="69"/>
        <v>0</v>
      </c>
      <c r="AD244" s="1825">
        <f t="shared" si="70"/>
        <v>0</v>
      </c>
      <c r="AF244" s="848" t="s">
        <v>325</v>
      </c>
      <c r="AG244" s="1291" t="s">
        <v>1522</v>
      </c>
      <c r="AH244" s="1059" t="s">
        <v>1204</v>
      </c>
      <c r="AI244" s="1048">
        <f t="shared" si="66"/>
        <v>439</v>
      </c>
      <c r="AJ244" s="849">
        <f>216000-216000</f>
        <v>0</v>
      </c>
      <c r="AK244" s="1292">
        <f t="shared" si="67"/>
        <v>0</v>
      </c>
      <c r="AL244" s="845"/>
      <c r="AM244" s="1518">
        <f t="shared" si="68"/>
        <v>0</v>
      </c>
    </row>
    <row r="245" spans="1:39" s="654" customFormat="1" ht="15">
      <c r="A245" s="661" t="s">
        <v>874</v>
      </c>
      <c r="B245" s="1969">
        <f t="shared" si="71"/>
        <v>15200000</v>
      </c>
      <c r="C245" s="259" t="s">
        <v>36</v>
      </c>
      <c r="D245" s="260" t="s">
        <v>830</v>
      </c>
      <c r="E245" s="260" t="s">
        <v>1651</v>
      </c>
      <c r="F245" s="260" t="s">
        <v>1652</v>
      </c>
      <c r="G245" s="260" t="s">
        <v>79</v>
      </c>
      <c r="H245" s="2157" t="s">
        <v>1643</v>
      </c>
      <c r="I245" s="1289">
        <v>468</v>
      </c>
      <c r="J245" s="1650"/>
      <c r="K245" s="1712"/>
      <c r="L245" s="1658">
        <v>535</v>
      </c>
      <c r="M245" s="1659">
        <v>15200000</v>
      </c>
      <c r="N245" s="1593">
        <v>659</v>
      </c>
      <c r="O245" s="1659">
        <v>15200000</v>
      </c>
      <c r="P245" s="1655">
        <v>393</v>
      </c>
      <c r="Q245" s="1851"/>
      <c r="R245" s="1659"/>
      <c r="S245" s="1852"/>
      <c r="T245" s="1852"/>
      <c r="U245" s="1852"/>
      <c r="V245" s="1852"/>
      <c r="W245" s="1852"/>
      <c r="X245" s="1852">
        <v>3293333</v>
      </c>
      <c r="Y245" s="1852">
        <v>3800000</v>
      </c>
      <c r="Z245" s="1852">
        <v>3800000</v>
      </c>
      <c r="AA245" s="1852">
        <v>3800000</v>
      </c>
      <c r="AB245" s="1949">
        <v>506667</v>
      </c>
      <c r="AC245" s="1824">
        <f t="shared" si="69"/>
        <v>15200000</v>
      </c>
      <c r="AD245" s="1825">
        <f t="shared" si="70"/>
        <v>0</v>
      </c>
      <c r="AF245" s="848">
        <v>468</v>
      </c>
      <c r="AG245" s="1291" t="s">
        <v>227</v>
      </c>
      <c r="AH245" s="1059" t="s">
        <v>1115</v>
      </c>
      <c r="AI245" s="1048">
        <f t="shared" si="66"/>
        <v>393</v>
      </c>
      <c r="AJ245" s="849">
        <v>15200000</v>
      </c>
      <c r="AK245" s="1292">
        <f t="shared" si="67"/>
        <v>0</v>
      </c>
      <c r="AL245" s="845"/>
      <c r="AM245" s="1518">
        <f t="shared" si="68"/>
        <v>0</v>
      </c>
    </row>
    <row r="246" spans="1:39" s="654" customFormat="1">
      <c r="A246" s="661" t="s">
        <v>874</v>
      </c>
      <c r="B246" s="1969">
        <f t="shared" si="71"/>
        <v>7093000</v>
      </c>
      <c r="C246" s="259" t="s">
        <v>36</v>
      </c>
      <c r="D246" s="260" t="s">
        <v>830</v>
      </c>
      <c r="E246" s="260" t="s">
        <v>1651</v>
      </c>
      <c r="F246" s="260" t="s">
        <v>1652</v>
      </c>
      <c r="G246" s="260" t="s">
        <v>79</v>
      </c>
      <c r="H246" s="2157" t="s">
        <v>1643</v>
      </c>
      <c r="I246" s="1289" t="s">
        <v>325</v>
      </c>
      <c r="J246" s="1650">
        <v>676</v>
      </c>
      <c r="K246" s="1651">
        <v>7093333</v>
      </c>
      <c r="L246" s="1658">
        <v>777</v>
      </c>
      <c r="M246" s="1659">
        <f>7093333-333</f>
        <v>7093000</v>
      </c>
      <c r="N246" s="1593">
        <v>935</v>
      </c>
      <c r="O246" s="1659">
        <v>7093000</v>
      </c>
      <c r="P246" s="1655">
        <v>393</v>
      </c>
      <c r="Q246" s="1851"/>
      <c r="R246" s="1659"/>
      <c r="S246" s="1852"/>
      <c r="T246" s="1852"/>
      <c r="U246" s="1852"/>
      <c r="V246" s="1852"/>
      <c r="W246" s="1852"/>
      <c r="X246" s="1852"/>
      <c r="Y246" s="1852"/>
      <c r="Z246" s="1852"/>
      <c r="AA246" s="1852"/>
      <c r="AB246" s="1949">
        <f>3293333+3799667</f>
        <v>7093000</v>
      </c>
      <c r="AC246" s="1824">
        <f t="shared" si="69"/>
        <v>7093000</v>
      </c>
      <c r="AD246" s="1825">
        <f t="shared" si="70"/>
        <v>0</v>
      </c>
      <c r="AF246" s="848" t="s">
        <v>325</v>
      </c>
      <c r="AG246" s="1291" t="s">
        <v>1322</v>
      </c>
      <c r="AH246" s="1059" t="s">
        <v>1115</v>
      </c>
      <c r="AI246" s="1048">
        <f t="shared" si="66"/>
        <v>393</v>
      </c>
      <c r="AJ246" s="849">
        <v>7093333</v>
      </c>
      <c r="AK246" s="1292">
        <f t="shared" si="67"/>
        <v>333</v>
      </c>
      <c r="AL246" s="845"/>
      <c r="AM246" s="1518">
        <f t="shared" si="68"/>
        <v>333</v>
      </c>
    </row>
    <row r="247" spans="1:39" s="654" customFormat="1">
      <c r="A247" s="661" t="s">
        <v>874</v>
      </c>
      <c r="B247" s="1969">
        <f t="shared" si="71"/>
        <v>9205000</v>
      </c>
      <c r="C247" s="259" t="s">
        <v>36</v>
      </c>
      <c r="D247" s="260" t="s">
        <v>830</v>
      </c>
      <c r="E247" s="260" t="s">
        <v>1651</v>
      </c>
      <c r="F247" s="260" t="s">
        <v>1652</v>
      </c>
      <c r="G247" s="260" t="s">
        <v>79</v>
      </c>
      <c r="H247" s="2157" t="s">
        <v>1643</v>
      </c>
      <c r="I247" s="1289">
        <v>469</v>
      </c>
      <c r="J247" s="1650">
        <v>575</v>
      </c>
      <c r="K247" s="1651">
        <f>9205000-3945000</f>
        <v>5260000</v>
      </c>
      <c r="L247" s="1658">
        <v>528</v>
      </c>
      <c r="M247" s="1659">
        <f>13150000-3945000</f>
        <v>9205000</v>
      </c>
      <c r="N247" s="1593">
        <v>817</v>
      </c>
      <c r="O247" s="1659">
        <v>9205000</v>
      </c>
      <c r="P247" s="1655">
        <v>456</v>
      </c>
      <c r="Q247" s="1851"/>
      <c r="R247" s="1659"/>
      <c r="S247" s="1852"/>
      <c r="T247" s="1852"/>
      <c r="U247" s="1852"/>
      <c r="V247" s="1852"/>
      <c r="W247" s="1852"/>
      <c r="X247" s="1852"/>
      <c r="Y247" s="1852"/>
      <c r="Z247" s="1852">
        <v>1315000</v>
      </c>
      <c r="AA247" s="1852">
        <v>2630000</v>
      </c>
      <c r="AB247" s="1949">
        <f>2630000+2630000</f>
        <v>5260000</v>
      </c>
      <c r="AC247" s="1824">
        <f t="shared" si="69"/>
        <v>9205000</v>
      </c>
      <c r="AD247" s="1825">
        <f t="shared" si="70"/>
        <v>0</v>
      </c>
      <c r="AF247" s="848">
        <v>469</v>
      </c>
      <c r="AG247" s="1291" t="s">
        <v>223</v>
      </c>
      <c r="AH247" s="1059" t="s">
        <v>1273</v>
      </c>
      <c r="AI247" s="1048">
        <f t="shared" si="66"/>
        <v>456</v>
      </c>
      <c r="AJ247" s="849">
        <f>13150000-3945000</f>
        <v>9205000</v>
      </c>
      <c r="AK247" s="1292">
        <f t="shared" si="67"/>
        <v>0</v>
      </c>
      <c r="AL247" s="845"/>
      <c r="AM247" s="1518">
        <f t="shared" ref="AM247:AM269" si="73">AJ247-M247</f>
        <v>0</v>
      </c>
    </row>
    <row r="248" spans="1:39" s="654" customFormat="1" ht="15">
      <c r="A248" s="661" t="s">
        <v>874</v>
      </c>
      <c r="B248" s="1969">
        <f t="shared" si="71"/>
        <v>13150000</v>
      </c>
      <c r="C248" s="259" t="s">
        <v>36</v>
      </c>
      <c r="D248" s="260" t="s">
        <v>830</v>
      </c>
      <c r="E248" s="260" t="s">
        <v>1651</v>
      </c>
      <c r="F248" s="260" t="s">
        <v>1652</v>
      </c>
      <c r="G248" s="260" t="s">
        <v>79</v>
      </c>
      <c r="H248" s="2157" t="s">
        <v>1643</v>
      </c>
      <c r="I248" s="1289">
        <v>470</v>
      </c>
      <c r="J248" s="1650"/>
      <c r="K248" s="1712"/>
      <c r="L248" s="1658">
        <v>529</v>
      </c>
      <c r="M248" s="1659">
        <v>13150000</v>
      </c>
      <c r="N248" s="1593">
        <v>666</v>
      </c>
      <c r="O248" s="1659">
        <v>13150000</v>
      </c>
      <c r="P248" s="1655">
        <v>399</v>
      </c>
      <c r="Q248" s="1851"/>
      <c r="R248" s="1659"/>
      <c r="S248" s="1852"/>
      <c r="T248" s="1852"/>
      <c r="U248" s="1852"/>
      <c r="V248" s="1852"/>
      <c r="W248" s="1852"/>
      <c r="X248" s="1852">
        <v>1928667</v>
      </c>
      <c r="Y248" s="1852">
        <v>2630000</v>
      </c>
      <c r="Z248" s="1852">
        <v>2630000</v>
      </c>
      <c r="AA248" s="1852">
        <v>2630000</v>
      </c>
      <c r="AB248" s="1949">
        <f>2630000+701333</f>
        <v>3331333</v>
      </c>
      <c r="AC248" s="1824">
        <f t="shared" si="69"/>
        <v>13150000</v>
      </c>
      <c r="AD248" s="1825">
        <f t="shared" si="70"/>
        <v>0</v>
      </c>
      <c r="AF248" s="848">
        <v>470</v>
      </c>
      <c r="AG248" s="1291" t="s">
        <v>223</v>
      </c>
      <c r="AH248" s="1059" t="s">
        <v>1123</v>
      </c>
      <c r="AI248" s="1048">
        <f t="shared" si="66"/>
        <v>399</v>
      </c>
      <c r="AJ248" s="849">
        <v>13150000</v>
      </c>
      <c r="AK248" s="1292">
        <f t="shared" si="67"/>
        <v>0</v>
      </c>
      <c r="AL248" s="845"/>
      <c r="AM248" s="1518">
        <f t="shared" si="73"/>
        <v>0</v>
      </c>
    </row>
    <row r="249" spans="1:39" s="654" customFormat="1">
      <c r="A249" s="661" t="s">
        <v>874</v>
      </c>
      <c r="B249" s="1969">
        <f t="shared" si="71"/>
        <v>1928667</v>
      </c>
      <c r="C249" s="259" t="s">
        <v>36</v>
      </c>
      <c r="D249" s="260" t="s">
        <v>830</v>
      </c>
      <c r="E249" s="260" t="s">
        <v>1651</v>
      </c>
      <c r="F249" s="260" t="s">
        <v>1652</v>
      </c>
      <c r="G249" s="260" t="s">
        <v>79</v>
      </c>
      <c r="H249" s="2157" t="s">
        <v>1643</v>
      </c>
      <c r="I249" s="2142" t="s">
        <v>325</v>
      </c>
      <c r="J249" s="1650">
        <v>738</v>
      </c>
      <c r="K249" s="1651">
        <v>1928667</v>
      </c>
      <c r="L249" s="1658">
        <v>857</v>
      </c>
      <c r="M249" s="1659">
        <v>1928667</v>
      </c>
      <c r="N249" s="1593">
        <v>1022</v>
      </c>
      <c r="O249" s="1659">
        <v>1928667</v>
      </c>
      <c r="P249" s="1655">
        <v>399</v>
      </c>
      <c r="Q249" s="1851"/>
      <c r="R249" s="1659"/>
      <c r="S249" s="1852"/>
      <c r="T249" s="1852"/>
      <c r="U249" s="1852"/>
      <c r="V249" s="1852"/>
      <c r="W249" s="1852"/>
      <c r="X249" s="1852"/>
      <c r="Y249" s="1852"/>
      <c r="Z249" s="1852"/>
      <c r="AA249" s="1852"/>
      <c r="AB249" s="1949">
        <v>1928667</v>
      </c>
      <c r="AC249" s="1824">
        <f t="shared" si="69"/>
        <v>1928667</v>
      </c>
      <c r="AD249" s="1825">
        <f t="shared" si="70"/>
        <v>0</v>
      </c>
      <c r="AF249" s="848" t="s">
        <v>325</v>
      </c>
      <c r="AG249" s="1291" t="s">
        <v>1517</v>
      </c>
      <c r="AH249" s="1059" t="s">
        <v>1123</v>
      </c>
      <c r="AI249" s="1048">
        <f t="shared" si="66"/>
        <v>399</v>
      </c>
      <c r="AJ249" s="849">
        <v>1928667</v>
      </c>
      <c r="AK249" s="1292">
        <f t="shared" si="67"/>
        <v>0</v>
      </c>
      <c r="AL249" s="845"/>
      <c r="AM249" s="1518">
        <f t="shared" si="73"/>
        <v>0</v>
      </c>
    </row>
    <row r="250" spans="1:39" s="654" customFormat="1" ht="15">
      <c r="A250" s="661" t="s">
        <v>874</v>
      </c>
      <c r="B250" s="1969">
        <f t="shared" si="71"/>
        <v>9850000</v>
      </c>
      <c r="C250" s="259" t="s">
        <v>36</v>
      </c>
      <c r="D250" s="260" t="s">
        <v>830</v>
      </c>
      <c r="E250" s="260" t="s">
        <v>1651</v>
      </c>
      <c r="F250" s="260" t="s">
        <v>1652</v>
      </c>
      <c r="G250" s="260" t="s">
        <v>79</v>
      </c>
      <c r="H250" s="2157" t="s">
        <v>1643</v>
      </c>
      <c r="I250" s="1289">
        <v>471</v>
      </c>
      <c r="J250" s="1650"/>
      <c r="K250" s="1712"/>
      <c r="L250" s="1658">
        <v>530</v>
      </c>
      <c r="M250" s="1659">
        <v>9850000</v>
      </c>
      <c r="N250" s="1593">
        <v>671</v>
      </c>
      <c r="O250" s="1659">
        <v>9850000</v>
      </c>
      <c r="P250" s="1655">
        <v>397</v>
      </c>
      <c r="Q250" s="1851"/>
      <c r="R250" s="1659"/>
      <c r="S250" s="1852"/>
      <c r="T250" s="1852"/>
      <c r="U250" s="1852"/>
      <c r="V250" s="1852"/>
      <c r="W250" s="1852"/>
      <c r="X250" s="1852">
        <v>1379000</v>
      </c>
      <c r="Y250" s="1852">
        <v>1970000</v>
      </c>
      <c r="Z250" s="1852">
        <v>1970000</v>
      </c>
      <c r="AA250" s="1852">
        <v>1970000</v>
      </c>
      <c r="AB250" s="1949">
        <f>1970000+591000</f>
        <v>2561000</v>
      </c>
      <c r="AC250" s="1824">
        <f t="shared" si="69"/>
        <v>9850000</v>
      </c>
      <c r="AD250" s="1825">
        <f t="shared" si="70"/>
        <v>0</v>
      </c>
      <c r="AF250" s="848">
        <v>471</v>
      </c>
      <c r="AG250" s="1291" t="s">
        <v>224</v>
      </c>
      <c r="AH250" s="1059" t="s">
        <v>1114</v>
      </c>
      <c r="AI250" s="1048">
        <f t="shared" si="66"/>
        <v>397</v>
      </c>
      <c r="AJ250" s="849">
        <v>9850000</v>
      </c>
      <c r="AK250" s="1292">
        <f t="shared" si="67"/>
        <v>0</v>
      </c>
      <c r="AL250" s="845"/>
      <c r="AM250" s="1518">
        <f t="shared" si="73"/>
        <v>0</v>
      </c>
    </row>
    <row r="251" spans="1:39" s="654" customFormat="1">
      <c r="A251" s="661" t="s">
        <v>874</v>
      </c>
      <c r="B251" s="1969">
        <f t="shared" si="71"/>
        <v>1379000</v>
      </c>
      <c r="C251" s="259" t="s">
        <v>36</v>
      </c>
      <c r="D251" s="260" t="s">
        <v>830</v>
      </c>
      <c r="E251" s="260" t="s">
        <v>1651</v>
      </c>
      <c r="F251" s="260" t="s">
        <v>1652</v>
      </c>
      <c r="G251" s="260" t="s">
        <v>79</v>
      </c>
      <c r="H251" s="2157" t="s">
        <v>1643</v>
      </c>
      <c r="I251" s="2142" t="s">
        <v>325</v>
      </c>
      <c r="J251" s="1650">
        <v>755</v>
      </c>
      <c r="K251" s="1651">
        <v>1379000</v>
      </c>
      <c r="L251" s="1658">
        <v>869</v>
      </c>
      <c r="M251" s="1659">
        <v>1379000</v>
      </c>
      <c r="N251" s="1593">
        <v>1030</v>
      </c>
      <c r="O251" s="1659">
        <v>1379000</v>
      </c>
      <c r="P251" s="1655">
        <v>397</v>
      </c>
      <c r="Q251" s="1851"/>
      <c r="R251" s="1659"/>
      <c r="S251" s="1852"/>
      <c r="T251" s="1852"/>
      <c r="U251" s="1852"/>
      <c r="V251" s="1852"/>
      <c r="W251" s="1852"/>
      <c r="X251" s="1852"/>
      <c r="Y251" s="1852"/>
      <c r="Z251" s="1852"/>
      <c r="AA251" s="1852"/>
      <c r="AB251" s="1949">
        <v>1379000</v>
      </c>
      <c r="AC251" s="1824">
        <f t="shared" si="69"/>
        <v>1379000</v>
      </c>
      <c r="AD251" s="1825">
        <f t="shared" si="70"/>
        <v>0</v>
      </c>
      <c r="AF251" s="848" t="s">
        <v>325</v>
      </c>
      <c r="AG251" s="1291" t="s">
        <v>1515</v>
      </c>
      <c r="AH251" s="1059" t="s">
        <v>1114</v>
      </c>
      <c r="AI251" s="1048">
        <f t="shared" si="66"/>
        <v>397</v>
      </c>
      <c r="AJ251" s="849">
        <v>1379000</v>
      </c>
      <c r="AK251" s="1292">
        <f t="shared" si="67"/>
        <v>0</v>
      </c>
      <c r="AL251" s="845"/>
      <c r="AM251" s="1518">
        <f t="shared" si="73"/>
        <v>0</v>
      </c>
    </row>
    <row r="252" spans="1:39" s="654" customFormat="1" ht="15">
      <c r="A252" s="661" t="s">
        <v>874</v>
      </c>
      <c r="B252" s="1969">
        <f t="shared" si="71"/>
        <v>9850000</v>
      </c>
      <c r="C252" s="259" t="s">
        <v>36</v>
      </c>
      <c r="D252" s="260" t="s">
        <v>830</v>
      </c>
      <c r="E252" s="260" t="s">
        <v>1651</v>
      </c>
      <c r="F252" s="260" t="s">
        <v>1652</v>
      </c>
      <c r="G252" s="260" t="s">
        <v>79</v>
      </c>
      <c r="H252" s="2157" t="s">
        <v>1643</v>
      </c>
      <c r="I252" s="1289">
        <v>472</v>
      </c>
      <c r="J252" s="1650"/>
      <c r="K252" s="1712"/>
      <c r="L252" s="1658">
        <v>538</v>
      </c>
      <c r="M252" s="1659">
        <v>9850000</v>
      </c>
      <c r="N252" s="1593">
        <v>664</v>
      </c>
      <c r="O252" s="1659">
        <v>9850000</v>
      </c>
      <c r="P252" s="1655">
        <v>398</v>
      </c>
      <c r="Q252" s="1851"/>
      <c r="R252" s="1659"/>
      <c r="S252" s="1852"/>
      <c r="T252" s="1852"/>
      <c r="U252" s="1852"/>
      <c r="V252" s="1852"/>
      <c r="W252" s="1852"/>
      <c r="X252" s="1852">
        <v>1707333</v>
      </c>
      <c r="Y252" s="1852">
        <v>1970000</v>
      </c>
      <c r="Z252" s="1852">
        <v>1970000</v>
      </c>
      <c r="AA252" s="1852">
        <v>1970000</v>
      </c>
      <c r="AB252" s="1949">
        <v>2232667</v>
      </c>
      <c r="AC252" s="1824">
        <f t="shared" si="69"/>
        <v>9850000</v>
      </c>
      <c r="AD252" s="1825">
        <f t="shared" si="70"/>
        <v>0</v>
      </c>
      <c r="AF252" s="848">
        <v>472</v>
      </c>
      <c r="AG252" s="1291" t="s">
        <v>224</v>
      </c>
      <c r="AH252" s="1059" t="s">
        <v>1116</v>
      </c>
      <c r="AI252" s="1048">
        <f t="shared" si="66"/>
        <v>398</v>
      </c>
      <c r="AJ252" s="849">
        <v>9850000</v>
      </c>
      <c r="AK252" s="1292">
        <f t="shared" si="67"/>
        <v>0</v>
      </c>
      <c r="AL252" s="845"/>
      <c r="AM252" s="1518">
        <f t="shared" si="73"/>
        <v>0</v>
      </c>
    </row>
    <row r="253" spans="1:39" s="654" customFormat="1">
      <c r="A253" s="661" t="s">
        <v>874</v>
      </c>
      <c r="B253" s="1969">
        <f t="shared" si="71"/>
        <v>0</v>
      </c>
      <c r="C253" s="259" t="s">
        <v>36</v>
      </c>
      <c r="D253" s="260" t="s">
        <v>830</v>
      </c>
      <c r="E253" s="260" t="s">
        <v>1651</v>
      </c>
      <c r="F253" s="260" t="s">
        <v>1652</v>
      </c>
      <c r="G253" s="260" t="s">
        <v>79</v>
      </c>
      <c r="H253" s="2157" t="s">
        <v>1643</v>
      </c>
      <c r="I253" s="2142" t="s">
        <v>325</v>
      </c>
      <c r="J253" s="1650">
        <v>739</v>
      </c>
      <c r="K253" s="1651">
        <v>1707333</v>
      </c>
      <c r="L253" s="1658"/>
      <c r="M253" s="1659"/>
      <c r="N253" s="1593"/>
      <c r="O253" s="1659"/>
      <c r="P253" s="1655">
        <v>398</v>
      </c>
      <c r="Q253" s="1851"/>
      <c r="R253" s="1659"/>
      <c r="S253" s="1852"/>
      <c r="T253" s="1852"/>
      <c r="U253" s="1852"/>
      <c r="V253" s="1852"/>
      <c r="W253" s="1852"/>
      <c r="X253" s="1852"/>
      <c r="Y253" s="1852"/>
      <c r="Z253" s="1852"/>
      <c r="AA253" s="1852"/>
      <c r="AB253" s="1949"/>
      <c r="AC253" s="1824">
        <f t="shared" si="69"/>
        <v>0</v>
      </c>
      <c r="AD253" s="1825">
        <f t="shared" si="70"/>
        <v>0</v>
      </c>
      <c r="AF253" s="848" t="s">
        <v>325</v>
      </c>
      <c r="AG253" s="1291" t="s">
        <v>1516</v>
      </c>
      <c r="AH253" s="1059" t="s">
        <v>1116</v>
      </c>
      <c r="AI253" s="1048">
        <f t="shared" si="66"/>
        <v>398</v>
      </c>
      <c r="AJ253" s="849">
        <v>1707333</v>
      </c>
      <c r="AK253" s="1292">
        <f t="shared" si="67"/>
        <v>1707333</v>
      </c>
      <c r="AL253" s="845"/>
      <c r="AM253" s="1518">
        <f t="shared" si="73"/>
        <v>1707333</v>
      </c>
    </row>
    <row r="254" spans="1:39" s="654" customFormat="1" ht="15">
      <c r="A254" s="661" t="s">
        <v>874</v>
      </c>
      <c r="B254" s="1969">
        <f t="shared" si="71"/>
        <v>9850000</v>
      </c>
      <c r="C254" s="259" t="s">
        <v>36</v>
      </c>
      <c r="D254" s="260" t="s">
        <v>830</v>
      </c>
      <c r="E254" s="260" t="s">
        <v>1651</v>
      </c>
      <c r="F254" s="260" t="s">
        <v>1652</v>
      </c>
      <c r="G254" s="260" t="s">
        <v>79</v>
      </c>
      <c r="H254" s="2157" t="s">
        <v>1643</v>
      </c>
      <c r="I254" s="1289">
        <v>473</v>
      </c>
      <c r="J254" s="1650"/>
      <c r="K254" s="1712"/>
      <c r="L254" s="1658">
        <v>539</v>
      </c>
      <c r="M254" s="1659">
        <v>9850000</v>
      </c>
      <c r="N254" s="1593">
        <v>653</v>
      </c>
      <c r="O254" s="1659">
        <v>9850000</v>
      </c>
      <c r="P254" s="1655">
        <v>394</v>
      </c>
      <c r="Q254" s="1851"/>
      <c r="R254" s="1659"/>
      <c r="S254" s="1852"/>
      <c r="T254" s="1852"/>
      <c r="U254" s="1852"/>
      <c r="V254" s="1852"/>
      <c r="W254" s="1852"/>
      <c r="X254" s="1852">
        <v>1838667</v>
      </c>
      <c r="Y254" s="1852">
        <v>1970000</v>
      </c>
      <c r="Z254" s="1852">
        <v>1970000</v>
      </c>
      <c r="AA254" s="1852">
        <v>1970000</v>
      </c>
      <c r="AB254" s="1949">
        <f>1970000+131333</f>
        <v>2101333</v>
      </c>
      <c r="AC254" s="1824">
        <f t="shared" si="69"/>
        <v>9850000</v>
      </c>
      <c r="AD254" s="1825">
        <f t="shared" si="70"/>
        <v>0</v>
      </c>
      <c r="AF254" s="848">
        <v>473</v>
      </c>
      <c r="AG254" s="1291" t="s">
        <v>224</v>
      </c>
      <c r="AH254" s="1059" t="s">
        <v>1117</v>
      </c>
      <c r="AI254" s="1048">
        <f t="shared" si="66"/>
        <v>394</v>
      </c>
      <c r="AJ254" s="849">
        <v>9850000</v>
      </c>
      <c r="AK254" s="1292">
        <f t="shared" si="67"/>
        <v>0</v>
      </c>
      <c r="AL254" s="845"/>
      <c r="AM254" s="1518">
        <f t="shared" si="73"/>
        <v>0</v>
      </c>
    </row>
    <row r="255" spans="1:39" s="654" customFormat="1">
      <c r="A255" s="661" t="s">
        <v>874</v>
      </c>
      <c r="B255" s="1969">
        <f t="shared" si="71"/>
        <v>1838667</v>
      </c>
      <c r="C255" s="259" t="s">
        <v>36</v>
      </c>
      <c r="D255" s="260" t="s">
        <v>830</v>
      </c>
      <c r="E255" s="260" t="s">
        <v>1651</v>
      </c>
      <c r="F255" s="260" t="s">
        <v>1652</v>
      </c>
      <c r="G255" s="260" t="s">
        <v>79</v>
      </c>
      <c r="H255" s="2157" t="s">
        <v>1643</v>
      </c>
      <c r="I255" s="2142" t="s">
        <v>325</v>
      </c>
      <c r="J255" s="1650">
        <v>740</v>
      </c>
      <c r="K255" s="1651">
        <v>1838667</v>
      </c>
      <c r="L255" s="1658">
        <v>850</v>
      </c>
      <c r="M255" s="1659">
        <v>1838667</v>
      </c>
      <c r="N255" s="1593">
        <v>1015</v>
      </c>
      <c r="O255" s="1659">
        <v>1838667</v>
      </c>
      <c r="P255" s="1655">
        <v>394</v>
      </c>
      <c r="Q255" s="1851"/>
      <c r="R255" s="1659"/>
      <c r="S255" s="1852"/>
      <c r="T255" s="1852"/>
      <c r="U255" s="1852"/>
      <c r="V255" s="1852"/>
      <c r="W255" s="1852"/>
      <c r="X255" s="1852"/>
      <c r="Y255" s="1852"/>
      <c r="Z255" s="1852"/>
      <c r="AA255" s="1852"/>
      <c r="AB255" s="1949">
        <v>1838667</v>
      </c>
      <c r="AC255" s="1824">
        <f t="shared" si="69"/>
        <v>1838667</v>
      </c>
      <c r="AD255" s="1825">
        <f t="shared" si="70"/>
        <v>0</v>
      </c>
      <c r="AF255" s="848" t="s">
        <v>325</v>
      </c>
      <c r="AG255" s="1291" t="s">
        <v>1514</v>
      </c>
      <c r="AH255" s="1059" t="s">
        <v>1117</v>
      </c>
      <c r="AI255" s="1048">
        <f t="shared" si="66"/>
        <v>394</v>
      </c>
      <c r="AJ255" s="849">
        <v>1838667</v>
      </c>
      <c r="AK255" s="1292">
        <f t="shared" si="67"/>
        <v>0</v>
      </c>
      <c r="AL255" s="845"/>
      <c r="AM255" s="1518">
        <f t="shared" si="73"/>
        <v>0</v>
      </c>
    </row>
    <row r="256" spans="1:39" s="654" customFormat="1">
      <c r="A256" s="661" t="s">
        <v>874</v>
      </c>
      <c r="B256" s="1969">
        <f t="shared" si="71"/>
        <v>9850000</v>
      </c>
      <c r="C256" s="259" t="s">
        <v>36</v>
      </c>
      <c r="D256" s="260" t="s">
        <v>830</v>
      </c>
      <c r="E256" s="260" t="s">
        <v>1651</v>
      </c>
      <c r="F256" s="260" t="s">
        <v>1652</v>
      </c>
      <c r="G256" s="260" t="s">
        <v>79</v>
      </c>
      <c r="H256" s="2157" t="s">
        <v>1643</v>
      </c>
      <c r="I256" s="1289">
        <v>474</v>
      </c>
      <c r="J256" s="1650"/>
      <c r="K256" s="1651"/>
      <c r="L256" s="1658">
        <v>585</v>
      </c>
      <c r="M256" s="1659">
        <v>9850000</v>
      </c>
      <c r="N256" s="1593">
        <v>680</v>
      </c>
      <c r="O256" s="1659">
        <v>9850000</v>
      </c>
      <c r="P256" s="1655">
        <v>423</v>
      </c>
      <c r="Q256" s="1851"/>
      <c r="R256" s="1659"/>
      <c r="S256" s="1852"/>
      <c r="T256" s="1852"/>
      <c r="U256" s="1852"/>
      <c r="V256" s="1852"/>
      <c r="W256" s="1852"/>
      <c r="X256" s="1852">
        <v>1050667</v>
      </c>
      <c r="Y256" s="1852">
        <v>1970000</v>
      </c>
      <c r="Z256" s="1852">
        <v>1970000</v>
      </c>
      <c r="AA256" s="1852">
        <v>1970000</v>
      </c>
      <c r="AB256" s="1949">
        <f>1970000+919333</f>
        <v>2889333</v>
      </c>
      <c r="AC256" s="1824">
        <f t="shared" si="69"/>
        <v>9850000</v>
      </c>
      <c r="AD256" s="1825">
        <f t="shared" si="70"/>
        <v>0</v>
      </c>
      <c r="AF256" s="848">
        <v>474</v>
      </c>
      <c r="AG256" s="1291" t="s">
        <v>224</v>
      </c>
      <c r="AH256" s="1059" t="s">
        <v>1119</v>
      </c>
      <c r="AI256" s="1048">
        <f t="shared" si="66"/>
        <v>423</v>
      </c>
      <c r="AJ256" s="849">
        <v>9850000</v>
      </c>
      <c r="AK256" s="1292">
        <f t="shared" si="67"/>
        <v>0</v>
      </c>
      <c r="AL256" s="845"/>
      <c r="AM256" s="1518">
        <f t="shared" si="73"/>
        <v>0</v>
      </c>
    </row>
    <row r="257" spans="1:39" s="654" customFormat="1">
      <c r="A257" s="661" t="s">
        <v>874</v>
      </c>
      <c r="B257" s="1969">
        <f t="shared" si="71"/>
        <v>1050667</v>
      </c>
      <c r="C257" s="259" t="s">
        <v>36</v>
      </c>
      <c r="D257" s="260" t="s">
        <v>830</v>
      </c>
      <c r="E257" s="260" t="s">
        <v>1651</v>
      </c>
      <c r="F257" s="260" t="s">
        <v>1652</v>
      </c>
      <c r="G257" s="260" t="s">
        <v>79</v>
      </c>
      <c r="H257" s="2157" t="s">
        <v>1643</v>
      </c>
      <c r="I257" s="2142" t="s">
        <v>325</v>
      </c>
      <c r="J257" s="1650">
        <v>756</v>
      </c>
      <c r="K257" s="1651">
        <v>1050667</v>
      </c>
      <c r="L257" s="1658">
        <v>876</v>
      </c>
      <c r="M257" s="1659">
        <v>1050667</v>
      </c>
      <c r="N257" s="1593">
        <v>1048</v>
      </c>
      <c r="O257" s="1659">
        <v>1050667</v>
      </c>
      <c r="P257" s="1655">
        <v>423</v>
      </c>
      <c r="Q257" s="1851"/>
      <c r="R257" s="1659"/>
      <c r="S257" s="1852"/>
      <c r="T257" s="1852"/>
      <c r="U257" s="1852"/>
      <c r="V257" s="1852"/>
      <c r="W257" s="1852"/>
      <c r="X257" s="1852"/>
      <c r="Y257" s="1852"/>
      <c r="Z257" s="1852"/>
      <c r="AA257" s="1852"/>
      <c r="AB257" s="1949">
        <v>1050667</v>
      </c>
      <c r="AC257" s="1824">
        <f t="shared" si="69"/>
        <v>1050667</v>
      </c>
      <c r="AD257" s="1825">
        <f t="shared" si="70"/>
        <v>0</v>
      </c>
      <c r="AF257" s="848" t="s">
        <v>325</v>
      </c>
      <c r="AG257" s="1291" t="s">
        <v>1518</v>
      </c>
      <c r="AH257" s="1059" t="s">
        <v>1119</v>
      </c>
      <c r="AI257" s="1048">
        <f t="shared" si="66"/>
        <v>423</v>
      </c>
      <c r="AJ257" s="849">
        <v>1050667</v>
      </c>
      <c r="AK257" s="1292">
        <f t="shared" si="67"/>
        <v>0</v>
      </c>
      <c r="AL257" s="845"/>
      <c r="AM257" s="1518">
        <f t="shared" si="73"/>
        <v>0</v>
      </c>
    </row>
    <row r="258" spans="1:39" s="654" customFormat="1">
      <c r="A258" s="661" t="s">
        <v>874</v>
      </c>
      <c r="B258" s="1969">
        <f t="shared" si="71"/>
        <v>9850000</v>
      </c>
      <c r="C258" s="259" t="s">
        <v>36</v>
      </c>
      <c r="D258" s="260" t="s">
        <v>830</v>
      </c>
      <c r="E258" s="260" t="s">
        <v>1651</v>
      </c>
      <c r="F258" s="260" t="s">
        <v>1652</v>
      </c>
      <c r="G258" s="260" t="s">
        <v>79</v>
      </c>
      <c r="H258" s="2157" t="s">
        <v>1643</v>
      </c>
      <c r="I258" s="1289">
        <v>475</v>
      </c>
      <c r="J258" s="1650"/>
      <c r="K258" s="1651"/>
      <c r="L258" s="1658">
        <v>586</v>
      </c>
      <c r="M258" s="1659">
        <v>9850000</v>
      </c>
      <c r="N258" s="1593">
        <v>688</v>
      </c>
      <c r="O258" s="1659">
        <v>9850000</v>
      </c>
      <c r="P258" s="1655">
        <v>421</v>
      </c>
      <c r="Q258" s="1851"/>
      <c r="R258" s="1659"/>
      <c r="S258" s="1852"/>
      <c r="T258" s="1852"/>
      <c r="U258" s="1852"/>
      <c r="V258" s="1852"/>
      <c r="W258" s="1852"/>
      <c r="X258" s="1852">
        <v>985000</v>
      </c>
      <c r="Y258" s="1852">
        <v>1970000</v>
      </c>
      <c r="Z258" s="1852">
        <v>1970000</v>
      </c>
      <c r="AA258" s="1852">
        <v>1970000</v>
      </c>
      <c r="AB258" s="1949">
        <v>1970000</v>
      </c>
      <c r="AC258" s="1824">
        <f t="shared" si="69"/>
        <v>8865000</v>
      </c>
      <c r="AD258" s="1825">
        <f t="shared" si="70"/>
        <v>985000</v>
      </c>
      <c r="AF258" s="848">
        <v>475</v>
      </c>
      <c r="AG258" s="1291" t="s">
        <v>224</v>
      </c>
      <c r="AH258" s="1059" t="s">
        <v>1120</v>
      </c>
      <c r="AI258" s="1048">
        <f t="shared" si="66"/>
        <v>421</v>
      </c>
      <c r="AJ258" s="849">
        <v>9850000</v>
      </c>
      <c r="AK258" s="1292">
        <f t="shared" si="67"/>
        <v>0</v>
      </c>
      <c r="AL258" s="845"/>
      <c r="AM258" s="1518">
        <f t="shared" si="73"/>
        <v>0</v>
      </c>
    </row>
    <row r="259" spans="1:39" s="654" customFormat="1">
      <c r="A259" s="661" t="s">
        <v>874</v>
      </c>
      <c r="B259" s="1969">
        <f t="shared" si="71"/>
        <v>9850000</v>
      </c>
      <c r="C259" s="259" t="s">
        <v>36</v>
      </c>
      <c r="D259" s="260" t="s">
        <v>830</v>
      </c>
      <c r="E259" s="260" t="s">
        <v>1651</v>
      </c>
      <c r="F259" s="260" t="s">
        <v>1652</v>
      </c>
      <c r="G259" s="260" t="s">
        <v>79</v>
      </c>
      <c r="H259" s="2157" t="s">
        <v>1643</v>
      </c>
      <c r="I259" s="1289">
        <v>476</v>
      </c>
      <c r="J259" s="1650"/>
      <c r="K259" s="1651"/>
      <c r="L259" s="1658">
        <v>587</v>
      </c>
      <c r="M259" s="1659">
        <v>9850000</v>
      </c>
      <c r="N259" s="1593">
        <v>689</v>
      </c>
      <c r="O259" s="1659">
        <v>9850000</v>
      </c>
      <c r="P259" s="1655">
        <v>422</v>
      </c>
      <c r="Q259" s="1851"/>
      <c r="R259" s="1659"/>
      <c r="S259" s="1852"/>
      <c r="T259" s="1852"/>
      <c r="U259" s="1852"/>
      <c r="V259" s="1852"/>
      <c r="W259" s="1852"/>
      <c r="X259" s="1852">
        <v>985000</v>
      </c>
      <c r="Y259" s="1852">
        <v>1970000</v>
      </c>
      <c r="Z259" s="1852">
        <v>1970000</v>
      </c>
      <c r="AA259" s="1852">
        <v>1970000</v>
      </c>
      <c r="AB259" s="1949">
        <v>1970000</v>
      </c>
      <c r="AC259" s="1824">
        <f t="shared" si="69"/>
        <v>8865000</v>
      </c>
      <c r="AD259" s="1825">
        <f t="shared" si="70"/>
        <v>985000</v>
      </c>
      <c r="AF259" s="848">
        <v>476</v>
      </c>
      <c r="AG259" s="1291" t="s">
        <v>224</v>
      </c>
      <c r="AH259" s="1059" t="s">
        <v>1121</v>
      </c>
      <c r="AI259" s="1048">
        <f t="shared" si="66"/>
        <v>422</v>
      </c>
      <c r="AJ259" s="849">
        <v>9850000</v>
      </c>
      <c r="AK259" s="1292">
        <f t="shared" si="67"/>
        <v>0</v>
      </c>
      <c r="AL259" s="845"/>
      <c r="AM259" s="1518">
        <f t="shared" si="73"/>
        <v>0</v>
      </c>
    </row>
    <row r="260" spans="1:39" s="654" customFormat="1">
      <c r="A260" s="661" t="s">
        <v>874</v>
      </c>
      <c r="B260" s="1969">
        <f t="shared" si="71"/>
        <v>56890947</v>
      </c>
      <c r="C260" s="259" t="s">
        <v>36</v>
      </c>
      <c r="D260" s="260" t="s">
        <v>830</v>
      </c>
      <c r="E260" s="260" t="s">
        <v>1651</v>
      </c>
      <c r="F260" s="260" t="s">
        <v>1652</v>
      </c>
      <c r="G260" s="260" t="s">
        <v>79</v>
      </c>
      <c r="H260" s="2157" t="s">
        <v>1643</v>
      </c>
      <c r="I260" s="1289">
        <v>477</v>
      </c>
      <c r="J260" s="1650"/>
      <c r="K260" s="1651"/>
      <c r="L260" s="1658">
        <v>527</v>
      </c>
      <c r="M260" s="1659">
        <v>56890947</v>
      </c>
      <c r="N260" s="1593">
        <v>686</v>
      </c>
      <c r="O260" s="1659">
        <v>56890947</v>
      </c>
      <c r="P260" s="1655">
        <v>417</v>
      </c>
      <c r="Q260" s="1851"/>
      <c r="R260" s="1659"/>
      <c r="S260" s="1852"/>
      <c r="T260" s="1852"/>
      <c r="U260" s="1852"/>
      <c r="V260" s="1852"/>
      <c r="W260" s="1852"/>
      <c r="X260" s="1852"/>
      <c r="Y260" s="1852">
        <v>28318550</v>
      </c>
      <c r="Z260" s="1852">
        <v>28121200</v>
      </c>
      <c r="AA260" s="1852"/>
      <c r="AB260" s="1949">
        <v>451197</v>
      </c>
      <c r="AC260" s="1824">
        <f t="shared" si="69"/>
        <v>56890947</v>
      </c>
      <c r="AD260" s="1825">
        <f t="shared" si="70"/>
        <v>0</v>
      </c>
      <c r="AF260" s="848">
        <v>477</v>
      </c>
      <c r="AG260" s="1291" t="s">
        <v>875</v>
      </c>
      <c r="AH260" s="1059" t="s">
        <v>1118</v>
      </c>
      <c r="AI260" s="1048">
        <f t="shared" si="66"/>
        <v>417</v>
      </c>
      <c r="AJ260" s="849">
        <v>56890947.213333331</v>
      </c>
      <c r="AK260" s="1292">
        <f t="shared" si="67"/>
        <v>0.21333333104848862</v>
      </c>
      <c r="AL260" s="845"/>
      <c r="AM260" s="1518">
        <f t="shared" si="73"/>
        <v>0.21333333104848862</v>
      </c>
    </row>
    <row r="261" spans="1:39" s="654" customFormat="1">
      <c r="A261" s="661" t="s">
        <v>874</v>
      </c>
      <c r="B261" s="1969">
        <f t="shared" si="71"/>
        <v>24756378</v>
      </c>
      <c r="C261" s="259" t="s">
        <v>36</v>
      </c>
      <c r="D261" s="260" t="s">
        <v>830</v>
      </c>
      <c r="E261" s="260" t="s">
        <v>1651</v>
      </c>
      <c r="F261" s="260" t="s">
        <v>1652</v>
      </c>
      <c r="G261" s="260" t="s">
        <v>79</v>
      </c>
      <c r="H261" s="2157" t="s">
        <v>1643</v>
      </c>
      <c r="I261" s="1289" t="s">
        <v>325</v>
      </c>
      <c r="J261" s="1650">
        <v>681</v>
      </c>
      <c r="K261" s="1651">
        <v>24756378</v>
      </c>
      <c r="L261" s="1658">
        <v>779</v>
      </c>
      <c r="M261" s="1651">
        <v>24756378</v>
      </c>
      <c r="N261" s="1593">
        <v>990</v>
      </c>
      <c r="O261" s="1651">
        <v>24756378</v>
      </c>
      <c r="P261" s="1655">
        <v>417</v>
      </c>
      <c r="Q261" s="1851"/>
      <c r="R261" s="1659"/>
      <c r="S261" s="1852"/>
      <c r="T261" s="1852"/>
      <c r="U261" s="1852"/>
      <c r="V261" s="1852"/>
      <c r="W261" s="1852"/>
      <c r="X261" s="1852"/>
      <c r="Y261" s="1852"/>
      <c r="Z261" s="1852"/>
      <c r="AA261" s="1852"/>
      <c r="AB261" s="1949">
        <f>18852830+4347989</f>
        <v>23200819</v>
      </c>
      <c r="AC261" s="1824">
        <f t="shared" si="69"/>
        <v>23200819</v>
      </c>
      <c r="AD261" s="1825">
        <f t="shared" si="70"/>
        <v>1555559</v>
      </c>
      <c r="AF261" s="848" t="s">
        <v>325</v>
      </c>
      <c r="AG261" s="1291" t="s">
        <v>1368</v>
      </c>
      <c r="AH261" s="1059" t="s">
        <v>1118</v>
      </c>
      <c r="AI261" s="1048"/>
      <c r="AJ261" s="849">
        <v>24756378</v>
      </c>
      <c r="AK261" s="1292">
        <f t="shared" si="67"/>
        <v>0</v>
      </c>
      <c r="AL261" s="845"/>
      <c r="AM261" s="1518">
        <f t="shared" si="73"/>
        <v>0</v>
      </c>
    </row>
    <row r="262" spans="1:39" s="654" customFormat="1">
      <c r="A262" s="661" t="s">
        <v>874</v>
      </c>
      <c r="B262" s="1969">
        <f t="shared" si="71"/>
        <v>5044666</v>
      </c>
      <c r="C262" s="259" t="s">
        <v>36</v>
      </c>
      <c r="D262" s="260" t="s">
        <v>830</v>
      </c>
      <c r="E262" s="260" t="s">
        <v>1651</v>
      </c>
      <c r="F262" s="260" t="s">
        <v>1652</v>
      </c>
      <c r="G262" s="260" t="s">
        <v>79</v>
      </c>
      <c r="H262" s="2157" t="s">
        <v>1643</v>
      </c>
      <c r="I262" s="1289">
        <v>570</v>
      </c>
      <c r="J262" s="1718" t="s">
        <v>1280</v>
      </c>
      <c r="K262" s="1659">
        <f>5483334-438668</f>
        <v>5044666</v>
      </c>
      <c r="L262" s="1658">
        <v>677</v>
      </c>
      <c r="M262" s="1659">
        <f>5483334-438668</f>
        <v>5044666</v>
      </c>
      <c r="N262" s="1593">
        <v>880</v>
      </c>
      <c r="O262" s="1659">
        <v>5044666</v>
      </c>
      <c r="P262" s="1655">
        <v>475</v>
      </c>
      <c r="Q262" s="1851"/>
      <c r="R262" s="1659"/>
      <c r="S262" s="1852"/>
      <c r="T262" s="1852"/>
      <c r="U262" s="1852"/>
      <c r="V262" s="1852"/>
      <c r="W262" s="1852"/>
      <c r="X262" s="1852"/>
      <c r="Y262" s="1852"/>
      <c r="Z262" s="1852"/>
      <c r="AA262" s="1852"/>
      <c r="AB262" s="1949"/>
      <c r="AC262" s="1824">
        <f t="shared" si="69"/>
        <v>0</v>
      </c>
      <c r="AD262" s="1825">
        <f t="shared" si="70"/>
        <v>5044666</v>
      </c>
      <c r="AF262" s="848">
        <v>570</v>
      </c>
      <c r="AG262" s="1291" t="s">
        <v>1235</v>
      </c>
      <c r="AH262" s="1059" t="s">
        <v>1349</v>
      </c>
      <c r="AI262" s="1048">
        <f t="shared" ref="AI262:AI269" si="74">P262</f>
        <v>475</v>
      </c>
      <c r="AJ262" s="849">
        <f>6000000-955334</f>
        <v>5044666</v>
      </c>
      <c r="AK262" s="1292">
        <f t="shared" si="67"/>
        <v>0</v>
      </c>
      <c r="AL262" s="845"/>
      <c r="AM262" s="1518">
        <f t="shared" si="73"/>
        <v>0</v>
      </c>
    </row>
    <row r="263" spans="1:39" s="654" customFormat="1">
      <c r="A263" s="661" t="s">
        <v>874</v>
      </c>
      <c r="B263" s="1969">
        <f t="shared" si="71"/>
        <v>5319000</v>
      </c>
      <c r="C263" s="259" t="s">
        <v>36</v>
      </c>
      <c r="D263" s="260" t="s">
        <v>830</v>
      </c>
      <c r="E263" s="260" t="s">
        <v>1651</v>
      </c>
      <c r="F263" s="260" t="s">
        <v>1652</v>
      </c>
      <c r="G263" s="260" t="s">
        <v>79</v>
      </c>
      <c r="H263" s="2157" t="s">
        <v>1643</v>
      </c>
      <c r="I263" s="1289">
        <v>587</v>
      </c>
      <c r="J263" s="1650" t="s">
        <v>1283</v>
      </c>
      <c r="K263" s="1651">
        <f>5910000-5910000+5910000</f>
        <v>5910000</v>
      </c>
      <c r="L263" s="1658">
        <v>719</v>
      </c>
      <c r="M263" s="1659">
        <f>5910000-591000</f>
        <v>5319000</v>
      </c>
      <c r="N263" s="1593">
        <v>899</v>
      </c>
      <c r="O263" s="1659">
        <v>5319000</v>
      </c>
      <c r="P263" s="1655">
        <v>478</v>
      </c>
      <c r="Q263" s="1851"/>
      <c r="R263" s="1659"/>
      <c r="S263" s="1852"/>
      <c r="T263" s="1852"/>
      <c r="U263" s="1852"/>
      <c r="V263" s="1852"/>
      <c r="W263" s="1852"/>
      <c r="X263" s="1852"/>
      <c r="Y263" s="1852"/>
      <c r="Z263" s="1852"/>
      <c r="AA263" s="1852">
        <v>656667</v>
      </c>
      <c r="AB263" s="1949">
        <f>1970000+1970000</f>
        <v>3940000</v>
      </c>
      <c r="AC263" s="1824">
        <f t="shared" si="69"/>
        <v>4596667</v>
      </c>
      <c r="AD263" s="1825">
        <f t="shared" si="70"/>
        <v>722333</v>
      </c>
      <c r="AF263" s="848">
        <v>587</v>
      </c>
      <c r="AG263" s="1291" t="s">
        <v>224</v>
      </c>
      <c r="AH263" s="1059" t="s">
        <v>1351</v>
      </c>
      <c r="AI263" s="1048">
        <f t="shared" si="74"/>
        <v>478</v>
      </c>
      <c r="AJ263" s="849">
        <f>9205000-3886000</f>
        <v>5319000</v>
      </c>
      <c r="AK263" s="1292">
        <f t="shared" si="67"/>
        <v>0</v>
      </c>
      <c r="AL263" s="845"/>
      <c r="AM263" s="1518">
        <f t="shared" si="73"/>
        <v>0</v>
      </c>
    </row>
    <row r="264" spans="1:39" s="654" customFormat="1">
      <c r="A264" s="661" t="s">
        <v>874</v>
      </c>
      <c r="B264" s="1969">
        <f t="shared" si="71"/>
        <v>5056333</v>
      </c>
      <c r="C264" s="259" t="s">
        <v>36</v>
      </c>
      <c r="D264" s="260" t="s">
        <v>830</v>
      </c>
      <c r="E264" s="260" t="s">
        <v>1651</v>
      </c>
      <c r="F264" s="260" t="s">
        <v>1652</v>
      </c>
      <c r="G264" s="260" t="s">
        <v>79</v>
      </c>
      <c r="H264" s="2157" t="s">
        <v>1643</v>
      </c>
      <c r="I264" s="1289">
        <v>588</v>
      </c>
      <c r="J264" s="1650" t="s">
        <v>1284</v>
      </c>
      <c r="K264" s="1651">
        <v>5910000</v>
      </c>
      <c r="L264" s="1658">
        <v>720</v>
      </c>
      <c r="M264" s="1659">
        <f>5910000-853667</f>
        <v>5056333</v>
      </c>
      <c r="N264" s="1593" t="s">
        <v>1353</v>
      </c>
      <c r="O264" s="1659">
        <f>5319000-5319000+5056333</f>
        <v>5056333</v>
      </c>
      <c r="P264" s="1655">
        <v>481</v>
      </c>
      <c r="Q264" s="1851"/>
      <c r="R264" s="1659"/>
      <c r="S264" s="1852"/>
      <c r="T264" s="1852"/>
      <c r="U264" s="1852"/>
      <c r="V264" s="1852"/>
      <c r="W264" s="1852"/>
      <c r="X264" s="1852"/>
      <c r="Y264" s="1852"/>
      <c r="Z264" s="1852"/>
      <c r="AA264" s="1852">
        <v>853667</v>
      </c>
      <c r="AB264" s="1949">
        <f>1970000+1970000</f>
        <v>3940000</v>
      </c>
      <c r="AC264" s="1824">
        <f t="shared" si="69"/>
        <v>4793667</v>
      </c>
      <c r="AD264" s="1825">
        <f t="shared" si="70"/>
        <v>262666</v>
      </c>
      <c r="AF264" s="848">
        <v>588</v>
      </c>
      <c r="AG264" s="1291" t="s">
        <v>224</v>
      </c>
      <c r="AH264" s="1059" t="s">
        <v>1354</v>
      </c>
      <c r="AI264" s="1048">
        <f t="shared" si="74"/>
        <v>481</v>
      </c>
      <c r="AJ264" s="849">
        <f>6895000-1838667</f>
        <v>5056333</v>
      </c>
      <c r="AK264" s="1292">
        <f t="shared" si="67"/>
        <v>0</v>
      </c>
      <c r="AL264" s="845"/>
      <c r="AM264" s="1518">
        <f t="shared" si="73"/>
        <v>0</v>
      </c>
    </row>
    <row r="265" spans="1:39" s="654" customFormat="1">
      <c r="A265" s="661" t="s">
        <v>874</v>
      </c>
      <c r="B265" s="1969">
        <f t="shared" si="71"/>
        <v>5319000</v>
      </c>
      <c r="C265" s="259" t="s">
        <v>36</v>
      </c>
      <c r="D265" s="260" t="s">
        <v>830</v>
      </c>
      <c r="E265" s="260" t="s">
        <v>1651</v>
      </c>
      <c r="F265" s="260" t="s">
        <v>1652</v>
      </c>
      <c r="G265" s="260" t="s">
        <v>79</v>
      </c>
      <c r="H265" s="2157" t="s">
        <v>1643</v>
      </c>
      <c r="I265" s="1289">
        <v>589</v>
      </c>
      <c r="J265" s="1650" t="s">
        <v>1285</v>
      </c>
      <c r="K265" s="1651">
        <v>5910000</v>
      </c>
      <c r="L265" s="1658">
        <v>721</v>
      </c>
      <c r="M265" s="1659">
        <f>5910000-591000</f>
        <v>5319000</v>
      </c>
      <c r="N265" s="1593">
        <v>882</v>
      </c>
      <c r="O265" s="1659">
        <v>5319000</v>
      </c>
      <c r="P265" s="1655">
        <v>474</v>
      </c>
      <c r="Q265" s="1851"/>
      <c r="R265" s="1659"/>
      <c r="S265" s="1852"/>
      <c r="T265" s="1852"/>
      <c r="U265" s="1852"/>
      <c r="V265" s="1852"/>
      <c r="W265" s="1852"/>
      <c r="X265" s="1852"/>
      <c r="Y265" s="1852"/>
      <c r="Z265" s="1852"/>
      <c r="AA265" s="1852">
        <v>1444667</v>
      </c>
      <c r="AB265" s="1949">
        <f>1970000+1904333</f>
        <v>3874333</v>
      </c>
      <c r="AC265" s="1824">
        <f t="shared" si="69"/>
        <v>5319000</v>
      </c>
      <c r="AD265" s="1825">
        <f t="shared" si="70"/>
        <v>0</v>
      </c>
      <c r="AF265" s="848">
        <v>589</v>
      </c>
      <c r="AG265" s="1291" t="s">
        <v>224</v>
      </c>
      <c r="AH265" s="1059" t="s">
        <v>1145</v>
      </c>
      <c r="AI265" s="1048">
        <f t="shared" si="74"/>
        <v>474</v>
      </c>
      <c r="AJ265" s="849">
        <f>6895000-1576000</f>
        <v>5319000</v>
      </c>
      <c r="AK265" s="1292">
        <f t="shared" si="67"/>
        <v>0</v>
      </c>
      <c r="AL265" s="845"/>
      <c r="AM265" s="1518">
        <f t="shared" si="73"/>
        <v>0</v>
      </c>
    </row>
    <row r="266" spans="1:39" s="654" customFormat="1">
      <c r="A266" s="661" t="s">
        <v>874</v>
      </c>
      <c r="B266" s="1969">
        <f t="shared" si="71"/>
        <v>5319000</v>
      </c>
      <c r="C266" s="259" t="s">
        <v>36</v>
      </c>
      <c r="D266" s="260" t="s">
        <v>830</v>
      </c>
      <c r="E266" s="260" t="s">
        <v>1651</v>
      </c>
      <c r="F266" s="260" t="s">
        <v>1652</v>
      </c>
      <c r="G266" s="260" t="s">
        <v>79</v>
      </c>
      <c r="H266" s="2157" t="s">
        <v>1643</v>
      </c>
      <c r="I266" s="1289">
        <v>590</v>
      </c>
      <c r="J266" s="1650" t="s">
        <v>1286</v>
      </c>
      <c r="K266" s="1651">
        <f>5910000-5910000+5910000</f>
        <v>5910000</v>
      </c>
      <c r="L266" s="1658">
        <v>722</v>
      </c>
      <c r="M266" s="1659">
        <f>5910000-591000</f>
        <v>5319000</v>
      </c>
      <c r="N266" s="1593" t="s">
        <v>1352</v>
      </c>
      <c r="O266" s="1659">
        <f>5319000-5319000+5319000</f>
        <v>5319000</v>
      </c>
      <c r="P266" s="1655">
        <v>480</v>
      </c>
      <c r="Q266" s="1851"/>
      <c r="R266" s="1659"/>
      <c r="S266" s="1852"/>
      <c r="T266" s="1852"/>
      <c r="U266" s="1852"/>
      <c r="V266" s="1852"/>
      <c r="W266" s="1852"/>
      <c r="X266" s="1852"/>
      <c r="Y266" s="1852"/>
      <c r="Z266" s="1852"/>
      <c r="AA266" s="1852">
        <v>853667</v>
      </c>
      <c r="AB266" s="1949">
        <f>1970000+1970000</f>
        <v>3940000</v>
      </c>
      <c r="AC266" s="1824">
        <f t="shared" si="69"/>
        <v>4793667</v>
      </c>
      <c r="AD266" s="1825">
        <f t="shared" si="70"/>
        <v>525333</v>
      </c>
      <c r="AF266" s="848">
        <v>590</v>
      </c>
      <c r="AG266" s="1291" t="s">
        <v>224</v>
      </c>
      <c r="AH266" s="1059" t="s">
        <v>1144</v>
      </c>
      <c r="AI266" s="1048">
        <f t="shared" si="74"/>
        <v>480</v>
      </c>
      <c r="AJ266" s="849">
        <f>6895000-1576000</f>
        <v>5319000</v>
      </c>
      <c r="AK266" s="1292">
        <f t="shared" si="67"/>
        <v>0</v>
      </c>
      <c r="AL266" s="845"/>
      <c r="AM266" s="1518">
        <f t="shared" si="73"/>
        <v>0</v>
      </c>
    </row>
    <row r="267" spans="1:39" s="654" customFormat="1">
      <c r="A267" s="661" t="s">
        <v>874</v>
      </c>
      <c r="B267" s="1969">
        <f t="shared" si="71"/>
        <v>0</v>
      </c>
      <c r="C267" s="259" t="s">
        <v>36</v>
      </c>
      <c r="D267" s="260" t="s">
        <v>830</v>
      </c>
      <c r="E267" s="260" t="s">
        <v>1651</v>
      </c>
      <c r="F267" s="260" t="s">
        <v>1652</v>
      </c>
      <c r="G267" s="260" t="s">
        <v>79</v>
      </c>
      <c r="H267" s="2157" t="s">
        <v>1643</v>
      </c>
      <c r="I267" s="1289" t="s">
        <v>173</v>
      </c>
      <c r="J267" s="1650"/>
      <c r="K267" s="1651"/>
      <c r="L267" s="1658"/>
      <c r="M267" s="1659"/>
      <c r="N267" s="1593"/>
      <c r="O267" s="1659"/>
      <c r="P267" s="1655"/>
      <c r="Q267" s="1851"/>
      <c r="R267" s="1659"/>
      <c r="S267" s="1852"/>
      <c r="T267" s="1852"/>
      <c r="U267" s="1852"/>
      <c r="V267" s="1852"/>
      <c r="W267" s="1852"/>
      <c r="X267" s="1852"/>
      <c r="Y267" s="1852"/>
      <c r="Z267" s="1852"/>
      <c r="AA267" s="1852"/>
      <c r="AB267" s="1853"/>
      <c r="AC267" s="1824">
        <f t="shared" si="69"/>
        <v>0</v>
      </c>
      <c r="AD267" s="1825">
        <f t="shared" si="70"/>
        <v>0</v>
      </c>
      <c r="AF267" s="848"/>
      <c r="AG267" s="1291"/>
      <c r="AH267" s="1059"/>
      <c r="AI267" s="1048">
        <f t="shared" si="74"/>
        <v>0</v>
      </c>
      <c r="AJ267" s="849"/>
      <c r="AK267" s="1292">
        <f t="shared" si="67"/>
        <v>0</v>
      </c>
      <c r="AL267" s="845"/>
      <c r="AM267" s="1518">
        <f t="shared" si="73"/>
        <v>0</v>
      </c>
    </row>
    <row r="268" spans="1:39" s="654" customFormat="1">
      <c r="A268" s="661" t="s">
        <v>874</v>
      </c>
      <c r="B268" s="1969">
        <f t="shared" si="71"/>
        <v>0</v>
      </c>
      <c r="C268" s="259" t="s">
        <v>36</v>
      </c>
      <c r="D268" s="260" t="s">
        <v>830</v>
      </c>
      <c r="E268" s="260" t="s">
        <v>1651</v>
      </c>
      <c r="F268" s="260" t="s">
        <v>1652</v>
      </c>
      <c r="G268" s="260" t="s">
        <v>79</v>
      </c>
      <c r="H268" s="2157" t="s">
        <v>1643</v>
      </c>
      <c r="I268" s="1289" t="s">
        <v>173</v>
      </c>
      <c r="J268" s="1650"/>
      <c r="K268" s="1651"/>
      <c r="L268" s="1658"/>
      <c r="M268" s="1659"/>
      <c r="N268" s="1593"/>
      <c r="O268" s="1659"/>
      <c r="P268" s="1655"/>
      <c r="Q268" s="1851"/>
      <c r="R268" s="1659"/>
      <c r="S268" s="1852"/>
      <c r="T268" s="1852"/>
      <c r="U268" s="1852"/>
      <c r="V268" s="1852"/>
      <c r="W268" s="1852"/>
      <c r="X268" s="1852"/>
      <c r="Y268" s="1852"/>
      <c r="Z268" s="1852"/>
      <c r="AA268" s="1852"/>
      <c r="AB268" s="1853"/>
      <c r="AC268" s="1824">
        <f t="shared" si="69"/>
        <v>0</v>
      </c>
      <c r="AD268" s="1825">
        <f t="shared" si="70"/>
        <v>0</v>
      </c>
      <c r="AF268" s="848"/>
      <c r="AG268" s="1291"/>
      <c r="AH268" s="1059"/>
      <c r="AI268" s="1048">
        <f t="shared" si="74"/>
        <v>0</v>
      </c>
      <c r="AJ268" s="849"/>
      <c r="AK268" s="1292">
        <f t="shared" si="67"/>
        <v>0</v>
      </c>
      <c r="AL268" s="845"/>
      <c r="AM268" s="1518">
        <f t="shared" si="73"/>
        <v>0</v>
      </c>
    </row>
    <row r="269" spans="1:39" s="654" customFormat="1">
      <c r="A269" s="661" t="s">
        <v>874</v>
      </c>
      <c r="B269" s="1969">
        <f t="shared" si="71"/>
        <v>0</v>
      </c>
      <c r="C269" s="259" t="s">
        <v>36</v>
      </c>
      <c r="D269" s="260" t="s">
        <v>830</v>
      </c>
      <c r="E269" s="260" t="s">
        <v>1651</v>
      </c>
      <c r="F269" s="260" t="s">
        <v>1652</v>
      </c>
      <c r="G269" s="260" t="s">
        <v>79</v>
      </c>
      <c r="H269" s="2157" t="s">
        <v>1643</v>
      </c>
      <c r="I269" s="1289" t="s">
        <v>173</v>
      </c>
      <c r="J269" s="1650"/>
      <c r="K269" s="1651"/>
      <c r="L269" s="1652"/>
      <c r="M269" s="1659"/>
      <c r="N269" s="1593"/>
      <c r="O269" s="1604"/>
      <c r="P269" s="1655"/>
      <c r="Q269" s="1851"/>
      <c r="R269" s="1852"/>
      <c r="S269" s="1852"/>
      <c r="T269" s="1852"/>
      <c r="U269" s="1852"/>
      <c r="V269" s="1852"/>
      <c r="W269" s="1852"/>
      <c r="X269" s="1852"/>
      <c r="Y269" s="1852"/>
      <c r="Z269" s="1852"/>
      <c r="AA269" s="1852"/>
      <c r="AB269" s="1853"/>
      <c r="AC269" s="1824">
        <f t="shared" ref="AC269" si="75">SUM(Q269:AB269)</f>
        <v>0</v>
      </c>
      <c r="AD269" s="1825">
        <f t="shared" ref="AD269" si="76">O269-AC269</f>
        <v>0</v>
      </c>
      <c r="AF269" s="848" t="s">
        <v>325</v>
      </c>
      <c r="AG269" s="1291" t="s">
        <v>493</v>
      </c>
      <c r="AH269" s="1059" t="s">
        <v>173</v>
      </c>
      <c r="AI269" s="1048">
        <f t="shared" si="74"/>
        <v>0</v>
      </c>
      <c r="AJ269" s="849">
        <f>206367591-29890000-150000000-26477591</f>
        <v>0</v>
      </c>
      <c r="AK269" s="1292">
        <f t="shared" si="67"/>
        <v>0</v>
      </c>
      <c r="AL269" s="845"/>
      <c r="AM269" s="1518">
        <f t="shared" si="73"/>
        <v>0</v>
      </c>
    </row>
    <row r="270" spans="1:39" s="633" customFormat="1" ht="15">
      <c r="A270" s="655" t="s">
        <v>80</v>
      </c>
      <c r="B270" s="1966">
        <f>B214-SUM(B215:B269)</f>
        <v>2144927</v>
      </c>
      <c r="C270" s="656"/>
      <c r="D270" s="657"/>
      <c r="E270" s="657"/>
      <c r="F270" s="657"/>
      <c r="G270" s="657"/>
      <c r="H270" s="2150"/>
      <c r="I270" s="1669"/>
      <c r="J270" s="1678"/>
      <c r="K270" s="1679"/>
      <c r="L270" s="1680"/>
      <c r="M270" s="1681">
        <f>SUM(M215:M269)</f>
        <v>1209809487</v>
      </c>
      <c r="N270" s="1589"/>
      <c r="O270" s="1681">
        <f>SUM(O215:O269)</f>
        <v>1209809487</v>
      </c>
      <c r="P270" s="1719"/>
      <c r="Q270" s="1681">
        <f t="shared" ref="Q270:AD270" si="77">SUM(Q215:Q269)</f>
        <v>0</v>
      </c>
      <c r="R270" s="1681">
        <f t="shared" si="77"/>
        <v>6209134</v>
      </c>
      <c r="S270" s="1681">
        <f t="shared" si="77"/>
        <v>57917600</v>
      </c>
      <c r="T270" s="1681">
        <f t="shared" si="77"/>
        <v>64129900</v>
      </c>
      <c r="U270" s="1681">
        <f t="shared" si="77"/>
        <v>64996600</v>
      </c>
      <c r="V270" s="1681">
        <f t="shared" si="77"/>
        <v>66459800</v>
      </c>
      <c r="W270" s="1681">
        <f t="shared" si="77"/>
        <v>65668100</v>
      </c>
      <c r="X270" s="1681">
        <f t="shared" si="77"/>
        <v>79512767</v>
      </c>
      <c r="Y270" s="1681">
        <f t="shared" si="77"/>
        <v>147987900</v>
      </c>
      <c r="Z270" s="1681">
        <f t="shared" si="77"/>
        <v>182997300</v>
      </c>
      <c r="AA270" s="1681">
        <f t="shared" si="77"/>
        <v>146224068</v>
      </c>
      <c r="AB270" s="1681">
        <f>SUM(AB215:AB269)</f>
        <v>211530216</v>
      </c>
      <c r="AC270" s="1681">
        <f t="shared" si="77"/>
        <v>1093633385</v>
      </c>
      <c r="AD270" s="1681">
        <f t="shared" si="77"/>
        <v>116176102</v>
      </c>
      <c r="AF270" s="852"/>
      <c r="AG270" s="14"/>
      <c r="AH270" s="14"/>
      <c r="AI270" s="1052"/>
      <c r="AJ270" s="1663">
        <f>SUM(AJ215:AJ269)</f>
        <v>1211954414.2133334</v>
      </c>
      <c r="AK270" s="181">
        <f>SUM(AK215:AK269)</f>
        <v>2144927.213333331</v>
      </c>
      <c r="AL270" s="1872">
        <f>B214-AJ270</f>
        <v>-0.2133333683013916</v>
      </c>
    </row>
    <row r="271" spans="1:39" s="633" customFormat="1" ht="46.5" customHeight="1">
      <c r="A271" s="758" t="s">
        <v>871</v>
      </c>
      <c r="B271" s="1970">
        <f>760000000-208990056-269758406-13992092</f>
        <v>267259446</v>
      </c>
      <c r="C271" s="1280" t="s">
        <v>36</v>
      </c>
      <c r="D271" s="1281" t="s">
        <v>830</v>
      </c>
      <c r="E271" s="1281" t="s">
        <v>1651</v>
      </c>
      <c r="F271" s="1281" t="s">
        <v>1652</v>
      </c>
      <c r="G271" s="1281" t="s">
        <v>79</v>
      </c>
      <c r="H271" s="2156" t="s">
        <v>1643</v>
      </c>
      <c r="I271" s="1705"/>
      <c r="J271" s="1706"/>
      <c r="K271" s="1707"/>
      <c r="L271" s="1708"/>
      <c r="M271" s="1709"/>
      <c r="N271" s="1708"/>
      <c r="O271" s="1710"/>
      <c r="P271" s="1711"/>
      <c r="Q271" s="1830"/>
      <c r="R271" s="1856"/>
      <c r="S271" s="1856"/>
      <c r="T271" s="1856"/>
      <c r="U271" s="1856"/>
      <c r="V271" s="1856"/>
      <c r="W271" s="1856"/>
      <c r="X271" s="1856"/>
      <c r="Y271" s="1856"/>
      <c r="Z271" s="1856"/>
      <c r="AA271" s="1856"/>
      <c r="AB271" s="1831"/>
      <c r="AC271" s="1830"/>
      <c r="AD271" s="1831"/>
      <c r="AF271" s="1185"/>
      <c r="AG271" s="659"/>
      <c r="AH271" s="659"/>
      <c r="AI271" s="659"/>
      <c r="AJ271" s="1856"/>
      <c r="AK271" s="660"/>
      <c r="AL271" s="845"/>
    </row>
    <row r="272" spans="1:39" s="633" customFormat="1" ht="15">
      <c r="A272" s="1288" t="s">
        <v>870</v>
      </c>
      <c r="B272" s="1968">
        <f>M272</f>
        <v>51251538</v>
      </c>
      <c r="C272" s="259" t="s">
        <v>36</v>
      </c>
      <c r="D272" s="260" t="s">
        <v>830</v>
      </c>
      <c r="E272" s="260" t="s">
        <v>1651</v>
      </c>
      <c r="F272" s="260" t="s">
        <v>1652</v>
      </c>
      <c r="G272" s="260" t="s">
        <v>79</v>
      </c>
      <c r="H272" s="2157" t="s">
        <v>1643</v>
      </c>
      <c r="I272" s="1525">
        <v>464</v>
      </c>
      <c r="J272" s="1720"/>
      <c r="K272" s="1721"/>
      <c r="L272" s="1914">
        <v>460</v>
      </c>
      <c r="M272" s="1915">
        <v>51251538</v>
      </c>
      <c r="N272" s="1583">
        <v>597</v>
      </c>
      <c r="O272" s="1915">
        <v>51251538</v>
      </c>
      <c r="P272" s="1724">
        <v>1</v>
      </c>
      <c r="Q272" s="1675"/>
      <c r="R272" s="1677"/>
      <c r="S272" s="1677"/>
      <c r="T272" s="1677"/>
      <c r="U272" s="1677"/>
      <c r="V272" s="1852"/>
      <c r="W272" s="1852">
        <v>15375461</v>
      </c>
      <c r="X272" s="1852"/>
      <c r="Y272" s="1852">
        <v>30750922</v>
      </c>
      <c r="Z272" s="1852"/>
      <c r="AA272" s="1852">
        <v>5125155</v>
      </c>
      <c r="AB272" s="1949"/>
      <c r="AC272" s="1824">
        <f>SUM(Q272:AB272)</f>
        <v>51251538</v>
      </c>
      <c r="AD272" s="1825">
        <f>O272-AC272</f>
        <v>0</v>
      </c>
      <c r="AF272" s="891">
        <v>464</v>
      </c>
      <c r="AG272" s="1286" t="s">
        <v>872</v>
      </c>
      <c r="AH272" s="1286" t="s">
        <v>1076</v>
      </c>
      <c r="AI272" s="1048">
        <f>P272</f>
        <v>1</v>
      </c>
      <c r="AJ272" s="1462">
        <v>51251538</v>
      </c>
      <c r="AK272" s="851">
        <f>AJ272-O272</f>
        <v>0</v>
      </c>
      <c r="AL272" s="845"/>
      <c r="AM272" s="1518">
        <f>AJ272-M272</f>
        <v>0</v>
      </c>
    </row>
    <row r="273" spans="1:39" s="633" customFormat="1" ht="15">
      <c r="A273" s="1288" t="s">
        <v>870</v>
      </c>
      <c r="B273" s="1968">
        <f>M273</f>
        <v>211634764</v>
      </c>
      <c r="C273" s="259" t="s">
        <v>36</v>
      </c>
      <c r="D273" s="260" t="s">
        <v>830</v>
      </c>
      <c r="E273" s="260" t="s">
        <v>1651</v>
      </c>
      <c r="F273" s="260" t="s">
        <v>1652</v>
      </c>
      <c r="G273" s="260" t="s">
        <v>79</v>
      </c>
      <c r="H273" s="2157" t="s">
        <v>1643</v>
      </c>
      <c r="I273" s="1525">
        <v>465</v>
      </c>
      <c r="J273" s="1861" t="s">
        <v>1302</v>
      </c>
      <c r="K273" s="1721">
        <f>230000000-230000000+216007908</f>
        <v>216007908</v>
      </c>
      <c r="L273" s="1896">
        <v>751</v>
      </c>
      <c r="M273" s="1915">
        <f>230000000-230000000+216007908-4373144</f>
        <v>211634764</v>
      </c>
      <c r="N273" s="1583">
        <v>1026</v>
      </c>
      <c r="O273" s="1915">
        <v>211634764</v>
      </c>
      <c r="P273" s="1724">
        <v>504</v>
      </c>
      <c r="Q273" s="1675"/>
      <c r="R273" s="1677"/>
      <c r="S273" s="1677"/>
      <c r="T273" s="1677"/>
      <c r="U273" s="1677"/>
      <c r="V273" s="1677"/>
      <c r="W273" s="1677"/>
      <c r="X273" s="1677"/>
      <c r="Y273" s="1677"/>
      <c r="Z273" s="1677"/>
      <c r="AA273" s="1677"/>
      <c r="AB273" s="1949"/>
      <c r="AC273" s="1824">
        <f>SUM(Q273:AB273)</f>
        <v>0</v>
      </c>
      <c r="AD273" s="1825">
        <f>O273-AC273</f>
        <v>211634764</v>
      </c>
      <c r="AF273" s="891">
        <v>465</v>
      </c>
      <c r="AG273" s="1286" t="s">
        <v>1234</v>
      </c>
      <c r="AH273" s="1286" t="s">
        <v>1018</v>
      </c>
      <c r="AI273" s="1048">
        <f>P273</f>
        <v>504</v>
      </c>
      <c r="AJ273" s="1462">
        <f>416465338-186465338-13992092</f>
        <v>216007908</v>
      </c>
      <c r="AK273" s="851">
        <f>AJ273-O273</f>
        <v>4373144</v>
      </c>
      <c r="AL273" s="845"/>
      <c r="AM273" s="1518">
        <f>AJ273-M273</f>
        <v>4373144</v>
      </c>
    </row>
    <row r="274" spans="1:39" s="633" customFormat="1" ht="15" customHeight="1">
      <c r="A274" s="1288" t="s">
        <v>870</v>
      </c>
      <c r="B274" s="1968">
        <f>M274</f>
        <v>0</v>
      </c>
      <c r="C274" s="259" t="s">
        <v>36</v>
      </c>
      <c r="D274" s="260" t="s">
        <v>830</v>
      </c>
      <c r="E274" s="260" t="s">
        <v>1651</v>
      </c>
      <c r="F274" s="260" t="s">
        <v>1652</v>
      </c>
      <c r="G274" s="260" t="s">
        <v>79</v>
      </c>
      <c r="H274" s="2157" t="s">
        <v>1643</v>
      </c>
      <c r="I274" s="1525">
        <v>466</v>
      </c>
      <c r="J274" s="1720"/>
      <c r="K274" s="1721"/>
      <c r="L274" s="1914"/>
      <c r="M274" s="1915"/>
      <c r="N274" s="1583"/>
      <c r="O274" s="1915"/>
      <c r="P274" s="1724"/>
      <c r="Q274" s="1675"/>
      <c r="R274" s="1677"/>
      <c r="S274" s="1677"/>
      <c r="T274" s="1677"/>
      <c r="U274" s="1677"/>
      <c r="V274" s="1677"/>
      <c r="W274" s="1677"/>
      <c r="X274" s="1677"/>
      <c r="Y274" s="1677"/>
      <c r="Z274" s="1677"/>
      <c r="AA274" s="1677"/>
      <c r="AB274" s="1853"/>
      <c r="AC274" s="1824">
        <f>SUM(Q274:AB274)</f>
        <v>0</v>
      </c>
      <c r="AD274" s="1825">
        <f>O274-AC274</f>
        <v>0</v>
      </c>
      <c r="AF274" s="891">
        <v>466</v>
      </c>
      <c r="AG274" s="1286" t="s">
        <v>873</v>
      </c>
      <c r="AH274" s="7" t="s">
        <v>173</v>
      </c>
      <c r="AI274" s="1048">
        <f>P274</f>
        <v>0</v>
      </c>
      <c r="AJ274" s="1462">
        <f>83293068-83293068</f>
        <v>0</v>
      </c>
      <c r="AK274" s="851">
        <f>AJ274-O274</f>
        <v>0</v>
      </c>
      <c r="AL274" s="845"/>
      <c r="AM274" s="1518">
        <f>AJ274-M274</f>
        <v>0</v>
      </c>
    </row>
    <row r="275" spans="1:39" s="633" customFormat="1" ht="15">
      <c r="A275" s="655" t="s">
        <v>80</v>
      </c>
      <c r="B275" s="1966">
        <f>B271-SUM(B272:B274)</f>
        <v>4373144</v>
      </c>
      <c r="C275" s="656"/>
      <c r="D275" s="657"/>
      <c r="E275" s="657"/>
      <c r="F275" s="657"/>
      <c r="G275" s="657"/>
      <c r="H275" s="2150"/>
      <c r="I275" s="1669"/>
      <c r="J275" s="1678"/>
      <c r="K275" s="1679"/>
      <c r="L275" s="1680"/>
      <c r="M275" s="1681">
        <f>SUM(M272:M274)</f>
        <v>262886302</v>
      </c>
      <c r="N275" s="1589"/>
      <c r="O275" s="1681">
        <f>SUM(O272:O274)</f>
        <v>262886302</v>
      </c>
      <c r="P275" s="1719"/>
      <c r="Q275" s="1681">
        <f t="shared" ref="Q275:AD275" si="78">SUM(Q272:Q274)</f>
        <v>0</v>
      </c>
      <c r="R275" s="1681">
        <f t="shared" si="78"/>
        <v>0</v>
      </c>
      <c r="S275" s="1681">
        <f t="shared" si="78"/>
        <v>0</v>
      </c>
      <c r="T275" s="1681">
        <f t="shared" si="78"/>
        <v>0</v>
      </c>
      <c r="U275" s="1681">
        <f t="shared" si="78"/>
        <v>0</v>
      </c>
      <c r="V275" s="1681">
        <f t="shared" si="78"/>
        <v>0</v>
      </c>
      <c r="W275" s="1681">
        <f t="shared" si="78"/>
        <v>15375461</v>
      </c>
      <c r="X275" s="1681">
        <f t="shared" si="78"/>
        <v>0</v>
      </c>
      <c r="Y275" s="1681">
        <f t="shared" si="78"/>
        <v>30750922</v>
      </c>
      <c r="Z275" s="1681">
        <f t="shared" si="78"/>
        <v>0</v>
      </c>
      <c r="AA275" s="1681">
        <f t="shared" si="78"/>
        <v>5125155</v>
      </c>
      <c r="AB275" s="1681">
        <f t="shared" si="78"/>
        <v>0</v>
      </c>
      <c r="AC275" s="1681">
        <f t="shared" si="78"/>
        <v>51251538</v>
      </c>
      <c r="AD275" s="1681">
        <f t="shared" si="78"/>
        <v>211634764</v>
      </c>
      <c r="AF275" s="852"/>
      <c r="AG275" s="14"/>
      <c r="AH275" s="14"/>
      <c r="AI275" s="1052"/>
      <c r="AJ275" s="1681">
        <f>SUM(AJ272:AJ274)</f>
        <v>267259446</v>
      </c>
      <c r="AK275" s="648">
        <f>SUM(AK272:AK274)</f>
        <v>4373144</v>
      </c>
      <c r="AL275" s="845">
        <f>B271-AJ275</f>
        <v>0</v>
      </c>
    </row>
    <row r="276" spans="1:39" s="654" customFormat="1" ht="27.75" customHeight="1">
      <c r="A276" s="1282" t="s">
        <v>169</v>
      </c>
      <c r="B276" s="1970">
        <f>760000000-760000000</f>
        <v>0</v>
      </c>
      <c r="C276" s="1280" t="s">
        <v>36</v>
      </c>
      <c r="D276" s="1281" t="s">
        <v>830</v>
      </c>
      <c r="E276" s="1281" t="s">
        <v>1651</v>
      </c>
      <c r="F276" s="1281" t="s">
        <v>1652</v>
      </c>
      <c r="G276" s="1281" t="s">
        <v>79</v>
      </c>
      <c r="H276" s="2156" t="s">
        <v>1643</v>
      </c>
      <c r="I276" s="1705"/>
      <c r="J276" s="1706"/>
      <c r="K276" s="1707"/>
      <c r="L276" s="1708"/>
      <c r="M276" s="1709"/>
      <c r="N276" s="1708"/>
      <c r="O276" s="1710"/>
      <c r="P276" s="1711"/>
      <c r="Q276" s="1830"/>
      <c r="R276" s="1856"/>
      <c r="S276" s="1856"/>
      <c r="T276" s="1856"/>
      <c r="U276" s="1856"/>
      <c r="V276" s="1856"/>
      <c r="W276" s="1856"/>
      <c r="X276" s="1856"/>
      <c r="Y276" s="1856"/>
      <c r="Z276" s="1856"/>
      <c r="AA276" s="1856"/>
      <c r="AB276" s="1831"/>
      <c r="AC276" s="1830"/>
      <c r="AD276" s="1831"/>
      <c r="AF276" s="1185"/>
      <c r="AG276" s="659"/>
      <c r="AH276" s="659"/>
      <c r="AI276" s="659"/>
      <c r="AJ276" s="1856"/>
      <c r="AK276" s="660"/>
      <c r="AL276" s="845"/>
      <c r="AM276" s="1517"/>
    </row>
    <row r="277" spans="1:39" s="654" customFormat="1" ht="15" customHeight="1">
      <c r="A277" s="661" t="s">
        <v>169</v>
      </c>
      <c r="B277" s="1969">
        <f>M277</f>
        <v>0</v>
      </c>
      <c r="C277" s="259" t="s">
        <v>36</v>
      </c>
      <c r="D277" s="260" t="s">
        <v>830</v>
      </c>
      <c r="E277" s="260" t="s">
        <v>1651</v>
      </c>
      <c r="F277" s="260" t="s">
        <v>1652</v>
      </c>
      <c r="G277" s="260" t="s">
        <v>79</v>
      </c>
      <c r="H277" s="2157" t="s">
        <v>1643</v>
      </c>
      <c r="I277" s="2142">
        <v>326</v>
      </c>
      <c r="J277" s="1650">
        <v>0</v>
      </c>
      <c r="K277" s="1712"/>
      <c r="L277" s="1586"/>
      <c r="M277" s="1653"/>
      <c r="N277" s="1586"/>
      <c r="O277" s="1654"/>
      <c r="P277" s="1655"/>
      <c r="Q277" s="1851"/>
      <c r="R277" s="1852"/>
      <c r="S277" s="1852"/>
      <c r="T277" s="1852"/>
      <c r="U277" s="1852"/>
      <c r="V277" s="1852"/>
      <c r="W277" s="1852"/>
      <c r="X277" s="1852"/>
      <c r="Y277" s="1852"/>
      <c r="Z277" s="1852"/>
      <c r="AA277" s="1852"/>
      <c r="AB277" s="1853"/>
      <c r="AC277" s="1824">
        <f>SUM(Q277:AB277)</f>
        <v>0</v>
      </c>
      <c r="AD277" s="1825">
        <f>O277-AC277</f>
        <v>0</v>
      </c>
      <c r="AF277" s="848">
        <v>326</v>
      </c>
      <c r="AG277" s="1291" t="s">
        <v>483</v>
      </c>
      <c r="AH277" s="1060" t="s">
        <v>173</v>
      </c>
      <c r="AI277" s="1048">
        <f>P277</f>
        <v>0</v>
      </c>
      <c r="AJ277" s="849">
        <f>600000000-600000000</f>
        <v>0</v>
      </c>
      <c r="AK277" s="851">
        <f>AJ277-O277</f>
        <v>0</v>
      </c>
      <c r="AL277" s="845"/>
      <c r="AM277" s="1518">
        <f>AJ277-M277</f>
        <v>0</v>
      </c>
    </row>
    <row r="278" spans="1:39" s="654" customFormat="1" ht="15" customHeight="1">
      <c r="A278" s="661" t="s">
        <v>169</v>
      </c>
      <c r="B278" s="1969">
        <f>M278</f>
        <v>0</v>
      </c>
      <c r="C278" s="259" t="s">
        <v>36</v>
      </c>
      <c r="D278" s="260" t="s">
        <v>830</v>
      </c>
      <c r="E278" s="260" t="s">
        <v>1651</v>
      </c>
      <c r="F278" s="260" t="s">
        <v>1652</v>
      </c>
      <c r="G278" s="260" t="s">
        <v>79</v>
      </c>
      <c r="H278" s="2157" t="s">
        <v>1643</v>
      </c>
      <c r="I278" s="2142">
        <v>327</v>
      </c>
      <c r="J278" s="1650">
        <v>0</v>
      </c>
      <c r="K278" s="1651"/>
      <c r="L278" s="1593"/>
      <c r="M278" s="1659"/>
      <c r="N278" s="1593"/>
      <c r="O278" s="1604"/>
      <c r="P278" s="1655"/>
      <c r="Q278" s="1851"/>
      <c r="R278" s="1852"/>
      <c r="S278" s="1852"/>
      <c r="T278" s="1852"/>
      <c r="U278" s="1852"/>
      <c r="V278" s="1852"/>
      <c r="W278" s="1852"/>
      <c r="X278" s="1852"/>
      <c r="Y278" s="1852"/>
      <c r="Z278" s="1852"/>
      <c r="AA278" s="1852"/>
      <c r="AB278" s="1853"/>
      <c r="AC278" s="1824">
        <f>SUM(Q278:AB278)</f>
        <v>0</v>
      </c>
      <c r="AD278" s="1825">
        <f>O278-AC278</f>
        <v>0</v>
      </c>
      <c r="AF278" s="848">
        <v>327</v>
      </c>
      <c r="AG278" s="1291" t="s">
        <v>484</v>
      </c>
      <c r="AH278" s="1060" t="s">
        <v>173</v>
      </c>
      <c r="AI278" s="1048">
        <f>P278</f>
        <v>0</v>
      </c>
      <c r="AJ278" s="849">
        <f>160000000-160000000</f>
        <v>0</v>
      </c>
      <c r="AK278" s="851">
        <f>AJ278-O278</f>
        <v>0</v>
      </c>
      <c r="AL278" s="845"/>
      <c r="AM278" s="1518">
        <f>AJ278-M278</f>
        <v>0</v>
      </c>
    </row>
    <row r="279" spans="1:39" s="633" customFormat="1" ht="15" customHeight="1">
      <c r="A279" s="655" t="s">
        <v>80</v>
      </c>
      <c r="B279" s="1966">
        <f>B276-SUM(B277:B278)</f>
        <v>0</v>
      </c>
      <c r="C279" s="656"/>
      <c r="D279" s="657"/>
      <c r="E279" s="657"/>
      <c r="F279" s="657"/>
      <c r="G279" s="657"/>
      <c r="H279" s="2150"/>
      <c r="I279" s="1669"/>
      <c r="J279" s="1678"/>
      <c r="K279" s="1679"/>
      <c r="L279" s="1680"/>
      <c r="M279" s="1681">
        <f>SUM(M277:M278)</f>
        <v>0</v>
      </c>
      <c r="N279" s="1589"/>
      <c r="O279" s="1681">
        <f>SUM(O277:O278)</f>
        <v>0</v>
      </c>
      <c r="P279" s="1719"/>
      <c r="Q279" s="1681">
        <f t="shared" ref="Q279:AD279" si="79">SUM(Q277:Q278)</f>
        <v>0</v>
      </c>
      <c r="R279" s="1681">
        <f t="shared" si="79"/>
        <v>0</v>
      </c>
      <c r="S279" s="1681">
        <f t="shared" si="79"/>
        <v>0</v>
      </c>
      <c r="T279" s="1681">
        <f t="shared" si="79"/>
        <v>0</v>
      </c>
      <c r="U279" s="1681">
        <f t="shared" si="79"/>
        <v>0</v>
      </c>
      <c r="V279" s="1681">
        <f t="shared" si="79"/>
        <v>0</v>
      </c>
      <c r="W279" s="1681">
        <f t="shared" si="79"/>
        <v>0</v>
      </c>
      <c r="X279" s="1681">
        <f t="shared" si="79"/>
        <v>0</v>
      </c>
      <c r="Y279" s="1681">
        <f t="shared" si="79"/>
        <v>0</v>
      </c>
      <c r="Z279" s="1681">
        <f t="shared" si="79"/>
        <v>0</v>
      </c>
      <c r="AA279" s="1681">
        <f t="shared" si="79"/>
        <v>0</v>
      </c>
      <c r="AB279" s="1681">
        <f t="shared" si="79"/>
        <v>0</v>
      </c>
      <c r="AC279" s="1681">
        <f t="shared" si="79"/>
        <v>0</v>
      </c>
      <c r="AD279" s="1681">
        <f t="shared" si="79"/>
        <v>0</v>
      </c>
      <c r="AF279" s="852"/>
      <c r="AG279" s="14"/>
      <c r="AH279" s="14"/>
      <c r="AI279" s="1052"/>
      <c r="AJ279" s="1663">
        <f>SUM(AJ277:AJ278)</f>
        <v>0</v>
      </c>
      <c r="AK279" s="181">
        <f>SUM(AK277:AK278)</f>
        <v>0</v>
      </c>
      <c r="AL279" s="845">
        <f>B276-AJ279</f>
        <v>0</v>
      </c>
    </row>
    <row r="280" spans="1:39" s="633" customFormat="1" ht="24.75" customHeight="1">
      <c r="A280" s="763" t="s">
        <v>1344</v>
      </c>
      <c r="B280" s="1963">
        <f>B281+B285+B334+B340+B349+B352+B356</f>
        <v>4197647768</v>
      </c>
      <c r="C280" s="761"/>
      <c r="D280" s="762"/>
      <c r="E280" s="762"/>
      <c r="F280" s="762"/>
      <c r="G280" s="762"/>
      <c r="H280" s="2159"/>
      <c r="I280" s="1725"/>
      <c r="J280" s="1726"/>
      <c r="K280" s="1727"/>
      <c r="L280" s="1728"/>
      <c r="M280" s="1729"/>
      <c r="N280" s="1730"/>
      <c r="O280" s="1731"/>
      <c r="P280" s="1732"/>
      <c r="Q280" s="1832"/>
      <c r="R280" s="1857"/>
      <c r="S280" s="1857"/>
      <c r="T280" s="1857"/>
      <c r="U280" s="1857"/>
      <c r="V280" s="1857"/>
      <c r="W280" s="1857"/>
      <c r="X280" s="1857"/>
      <c r="Y280" s="1857"/>
      <c r="Z280" s="1857"/>
      <c r="AA280" s="1857"/>
      <c r="AB280" s="1833"/>
      <c r="AC280" s="1832"/>
      <c r="AD280" s="1833"/>
      <c r="AF280" s="1186"/>
      <c r="AG280" s="663"/>
      <c r="AH280" s="663"/>
      <c r="AI280" s="663"/>
      <c r="AJ280" s="1857"/>
      <c r="AK280" s="664"/>
      <c r="AL280" s="845"/>
    </row>
    <row r="281" spans="1:39" s="633" customFormat="1" ht="74.25" customHeight="1">
      <c r="A281" s="763" t="s">
        <v>165</v>
      </c>
      <c r="B281" s="1970">
        <f>100000000-100000000</f>
        <v>0</v>
      </c>
      <c r="C281" s="1283" t="s">
        <v>36</v>
      </c>
      <c r="D281" s="1284" t="s">
        <v>831</v>
      </c>
      <c r="E281" s="1284" t="s">
        <v>1651</v>
      </c>
      <c r="F281" s="1284" t="s">
        <v>1653</v>
      </c>
      <c r="G281" s="1284" t="s">
        <v>79</v>
      </c>
      <c r="H281" s="2160" t="s">
        <v>1644</v>
      </c>
      <c r="I281" s="1725"/>
      <c r="J281" s="1726"/>
      <c r="K281" s="1727"/>
      <c r="L281" s="1733"/>
      <c r="M281" s="1729"/>
      <c r="N281" s="1734"/>
      <c r="O281" s="1731"/>
      <c r="P281" s="1732"/>
      <c r="Q281" s="1832"/>
      <c r="R281" s="1857"/>
      <c r="S281" s="1857"/>
      <c r="T281" s="1857"/>
      <c r="U281" s="1857"/>
      <c r="V281" s="1857"/>
      <c r="W281" s="1857"/>
      <c r="X281" s="1857"/>
      <c r="Y281" s="1857"/>
      <c r="Z281" s="1857"/>
      <c r="AA281" s="1857"/>
      <c r="AB281" s="1833"/>
      <c r="AC281" s="1832"/>
      <c r="AD281" s="1833"/>
      <c r="AF281" s="1186"/>
      <c r="AG281" s="663"/>
      <c r="AH281" s="663"/>
      <c r="AI281" s="663"/>
      <c r="AJ281" s="1857"/>
      <c r="AK281" s="664"/>
      <c r="AL281" s="845"/>
    </row>
    <row r="282" spans="1:39" s="654" customFormat="1" ht="15" customHeight="1">
      <c r="A282" s="665" t="s">
        <v>161</v>
      </c>
      <c r="B282" s="1971">
        <f>M282</f>
        <v>0</v>
      </c>
      <c r="C282" s="261" t="s">
        <v>36</v>
      </c>
      <c r="D282" s="262" t="s">
        <v>831</v>
      </c>
      <c r="E282" s="262" t="s">
        <v>1651</v>
      </c>
      <c r="F282" s="262" t="s">
        <v>1652</v>
      </c>
      <c r="G282" s="262" t="s">
        <v>79</v>
      </c>
      <c r="H282" s="2161" t="s">
        <v>1644</v>
      </c>
      <c r="I282" s="2142" t="s">
        <v>173</v>
      </c>
      <c r="J282" s="1650"/>
      <c r="K282" s="1651"/>
      <c r="L282" s="1658"/>
      <c r="M282" s="1659"/>
      <c r="N282" s="1658"/>
      <c r="O282" s="1604"/>
      <c r="P282" s="1655"/>
      <c r="Q282" s="1851"/>
      <c r="R282" s="1852"/>
      <c r="S282" s="1852"/>
      <c r="T282" s="1852"/>
      <c r="U282" s="1852"/>
      <c r="V282" s="1852"/>
      <c r="W282" s="1852"/>
      <c r="X282" s="1852"/>
      <c r="Y282" s="1852"/>
      <c r="Z282" s="1852"/>
      <c r="AA282" s="1852"/>
      <c r="AB282" s="1853"/>
      <c r="AC282" s="1824">
        <f>SUM(Q282:AB282)</f>
        <v>0</v>
      </c>
      <c r="AD282" s="1825">
        <f>O282-AC282</f>
        <v>0</v>
      </c>
      <c r="AF282" s="848">
        <v>324</v>
      </c>
      <c r="AG282" s="1291" t="s">
        <v>469</v>
      </c>
      <c r="AH282" s="1060" t="s">
        <v>173</v>
      </c>
      <c r="AI282" s="1048">
        <f>P282</f>
        <v>0</v>
      </c>
      <c r="AJ282" s="849">
        <f>100000000-100000000</f>
        <v>0</v>
      </c>
      <c r="AK282" s="851">
        <f>AJ282-O282</f>
        <v>0</v>
      </c>
      <c r="AL282" s="845"/>
      <c r="AM282" s="1518">
        <f>AJ282-M282</f>
        <v>0</v>
      </c>
    </row>
    <row r="283" spans="1:39" s="654" customFormat="1" ht="15" customHeight="1">
      <c r="A283" s="665" t="s">
        <v>161</v>
      </c>
      <c r="B283" s="1971">
        <f>M283</f>
        <v>0</v>
      </c>
      <c r="C283" s="261" t="s">
        <v>36</v>
      </c>
      <c r="D283" s="262" t="s">
        <v>831</v>
      </c>
      <c r="E283" s="262" t="s">
        <v>1651</v>
      </c>
      <c r="F283" s="262" t="s">
        <v>1652</v>
      </c>
      <c r="G283" s="262" t="s">
        <v>79</v>
      </c>
      <c r="H283" s="2161" t="s">
        <v>1644</v>
      </c>
      <c r="I283" s="2142">
        <v>324</v>
      </c>
      <c r="J283" s="1650">
        <v>0</v>
      </c>
      <c r="K283" s="1651"/>
      <c r="L283" s="1658">
        <v>405</v>
      </c>
      <c r="M283" s="1659">
        <f>100000000-100000000</f>
        <v>0</v>
      </c>
      <c r="N283" s="1658"/>
      <c r="O283" s="1735"/>
      <c r="P283" s="1655"/>
      <c r="Q283" s="1838"/>
      <c r="R283" s="1858"/>
      <c r="S283" s="1858"/>
      <c r="T283" s="1858"/>
      <c r="U283" s="1858"/>
      <c r="V283" s="1858"/>
      <c r="W283" s="1858"/>
      <c r="X283" s="1858"/>
      <c r="Y283" s="1858"/>
      <c r="Z283" s="1858"/>
      <c r="AA283" s="1858"/>
      <c r="AB283" s="1839"/>
      <c r="AC283" s="1824">
        <f>SUM(Q283:AB283)</f>
        <v>0</v>
      </c>
      <c r="AD283" s="1825">
        <f>O283-AC283</f>
        <v>0</v>
      </c>
      <c r="AF283" s="848" t="s">
        <v>325</v>
      </c>
      <c r="AG283" s="1291" t="s">
        <v>882</v>
      </c>
      <c r="AH283" s="1060"/>
      <c r="AI283" s="1048"/>
      <c r="AJ283" s="849">
        <f>100000000-100000000</f>
        <v>0</v>
      </c>
      <c r="AK283" s="851">
        <f>AJ283-O283</f>
        <v>0</v>
      </c>
      <c r="AL283" s="845"/>
      <c r="AM283" s="1518">
        <f>AJ283-M283</f>
        <v>0</v>
      </c>
    </row>
    <row r="284" spans="1:39" s="633" customFormat="1" ht="15">
      <c r="A284" s="655" t="s">
        <v>80</v>
      </c>
      <c r="B284" s="1966">
        <f>B281-B282-B283</f>
        <v>0</v>
      </c>
      <c r="C284" s="656"/>
      <c r="D284" s="657"/>
      <c r="E284" s="657"/>
      <c r="F284" s="657"/>
      <c r="G284" s="657"/>
      <c r="H284" s="2150"/>
      <c r="I284" s="1669"/>
      <c r="J284" s="1678"/>
      <c r="K284" s="1679"/>
      <c r="L284" s="1680"/>
      <c r="M284" s="1681">
        <f>SUM(M282:M283)</f>
        <v>0</v>
      </c>
      <c r="N284" s="1589"/>
      <c r="O284" s="1681">
        <f>SUM(O282:O283)</f>
        <v>0</v>
      </c>
      <c r="P284" s="1664"/>
      <c r="Q284" s="1681">
        <f t="shared" ref="Q284:AD284" si="80">SUM(Q282:Q283)</f>
        <v>0</v>
      </c>
      <c r="R284" s="1681">
        <f t="shared" si="80"/>
        <v>0</v>
      </c>
      <c r="S284" s="1681">
        <f t="shared" si="80"/>
        <v>0</v>
      </c>
      <c r="T284" s="1681">
        <f t="shared" si="80"/>
        <v>0</v>
      </c>
      <c r="U284" s="1681">
        <f t="shared" si="80"/>
        <v>0</v>
      </c>
      <c r="V284" s="1681">
        <f t="shared" si="80"/>
        <v>0</v>
      </c>
      <c r="W284" s="1681">
        <f t="shared" si="80"/>
        <v>0</v>
      </c>
      <c r="X284" s="1681">
        <f t="shared" si="80"/>
        <v>0</v>
      </c>
      <c r="Y284" s="1681">
        <f t="shared" si="80"/>
        <v>0</v>
      </c>
      <c r="Z284" s="1681">
        <f t="shared" si="80"/>
        <v>0</v>
      </c>
      <c r="AA284" s="1681">
        <f t="shared" si="80"/>
        <v>0</v>
      </c>
      <c r="AB284" s="1681">
        <f t="shared" si="80"/>
        <v>0</v>
      </c>
      <c r="AC284" s="1681">
        <f t="shared" si="80"/>
        <v>0</v>
      </c>
      <c r="AD284" s="1681">
        <f t="shared" si="80"/>
        <v>0</v>
      </c>
      <c r="AF284" s="852">
        <f>SUM(AF282:AF282)</f>
        <v>324</v>
      </c>
      <c r="AG284" s="14">
        <f>SUM(AG282:AG282)</f>
        <v>0</v>
      </c>
      <c r="AH284" s="14">
        <f>SUM(AH282:AH282)</f>
        <v>0</v>
      </c>
      <c r="AI284" s="1052">
        <f>SUM(AI282:AI282)</f>
        <v>0</v>
      </c>
      <c r="AJ284" s="1681">
        <f>SUM(AJ282:AJ283)</f>
        <v>0</v>
      </c>
      <c r="AK284" s="648">
        <f>SUM(AK282:AK283)</f>
        <v>0</v>
      </c>
      <c r="AL284" s="845">
        <f>B281-AJ284</f>
        <v>0</v>
      </c>
    </row>
    <row r="285" spans="1:39" s="633" customFormat="1" ht="28.5" customHeight="1">
      <c r="A285" s="763" t="s">
        <v>1395</v>
      </c>
      <c r="B285" s="1970">
        <f>1003000000+55320000+8584767-25434001+20000000-8478615+5691774</f>
        <v>1058683925</v>
      </c>
      <c r="C285" s="1283" t="s">
        <v>36</v>
      </c>
      <c r="D285" s="1284" t="s">
        <v>831</v>
      </c>
      <c r="E285" s="1284" t="s">
        <v>1651</v>
      </c>
      <c r="F285" s="1284" t="s">
        <v>1653</v>
      </c>
      <c r="G285" s="1284" t="s">
        <v>79</v>
      </c>
      <c r="H285" s="2160" t="s">
        <v>1644</v>
      </c>
      <c r="I285" s="1725"/>
      <c r="J285" s="1726"/>
      <c r="K285" s="1727"/>
      <c r="L285" s="1733"/>
      <c r="M285" s="1729"/>
      <c r="N285" s="1734"/>
      <c r="O285" s="1731"/>
      <c r="P285" s="1732"/>
      <c r="Q285" s="1832"/>
      <c r="R285" s="1857"/>
      <c r="S285" s="1857"/>
      <c r="T285" s="1857"/>
      <c r="U285" s="1857"/>
      <c r="V285" s="1857"/>
      <c r="W285" s="1857"/>
      <c r="X285" s="1857"/>
      <c r="Y285" s="1857"/>
      <c r="Z285" s="1857"/>
      <c r="AA285" s="1857"/>
      <c r="AB285" s="1833"/>
      <c r="AC285" s="1832"/>
      <c r="AD285" s="1833"/>
      <c r="AF285" s="1186"/>
      <c r="AG285" s="663"/>
      <c r="AH285" s="663"/>
      <c r="AI285" s="663"/>
      <c r="AJ285" s="1857"/>
      <c r="AK285" s="664"/>
      <c r="AL285" s="845"/>
    </row>
    <row r="286" spans="1:39" s="633" customFormat="1" ht="15" customHeight="1">
      <c r="A286" s="665" t="s">
        <v>162</v>
      </c>
      <c r="B286" s="1971">
        <f>M286</f>
        <v>73069800</v>
      </c>
      <c r="C286" s="261" t="s">
        <v>36</v>
      </c>
      <c r="D286" s="262" t="s">
        <v>831</v>
      </c>
      <c r="E286" s="262" t="s">
        <v>1651</v>
      </c>
      <c r="F286" s="262" t="s">
        <v>1652</v>
      </c>
      <c r="G286" s="262" t="s">
        <v>79</v>
      </c>
      <c r="H286" s="2161" t="s">
        <v>1644</v>
      </c>
      <c r="I286" s="2142">
        <v>328</v>
      </c>
      <c r="J286" s="1720">
        <v>0</v>
      </c>
      <c r="K286" s="1675"/>
      <c r="L286" s="1652">
        <v>516</v>
      </c>
      <c r="M286" s="1915">
        <v>73069800</v>
      </c>
      <c r="N286" s="1703">
        <v>698</v>
      </c>
      <c r="O286" s="1604">
        <v>73069800</v>
      </c>
      <c r="P286" s="1704">
        <v>416</v>
      </c>
      <c r="Q286" s="1851"/>
      <c r="R286" s="1852"/>
      <c r="S286" s="1852"/>
      <c r="T286" s="1852"/>
      <c r="U286" s="1852"/>
      <c r="V286" s="1852"/>
      <c r="W286" s="1852"/>
      <c r="X286" s="1852"/>
      <c r="Y286" s="1852">
        <v>8700000</v>
      </c>
      <c r="Z286" s="1852">
        <v>6380000</v>
      </c>
      <c r="AA286" s="1852">
        <v>0</v>
      </c>
      <c r="AB286" s="1949">
        <v>7600000</v>
      </c>
      <c r="AC286" s="1824">
        <f t="shared" ref="AC286" si="81">SUM(Q286:AB286)</f>
        <v>22680000</v>
      </c>
      <c r="AD286" s="1825">
        <f t="shared" ref="AD286" si="82">O286-AC286</f>
        <v>50389800</v>
      </c>
      <c r="AF286" s="848">
        <v>328</v>
      </c>
      <c r="AG286" s="1291" t="s">
        <v>945</v>
      </c>
      <c r="AH286" s="1059" t="s">
        <v>1020</v>
      </c>
      <c r="AI286" s="1048">
        <f t="shared" ref="AI286:AI332" si="83">P286</f>
        <v>416</v>
      </c>
      <c r="AJ286" s="849">
        <f>83309800-10240000</f>
        <v>73069800</v>
      </c>
      <c r="AK286" s="851">
        <f t="shared" ref="AK286:AK332" si="84">AJ286-O286</f>
        <v>0</v>
      </c>
      <c r="AL286" s="845"/>
      <c r="AM286" s="1518">
        <f t="shared" ref="AM286:AM332" si="85">AJ286-M286</f>
        <v>0</v>
      </c>
    </row>
    <row r="287" spans="1:39" s="633" customFormat="1" ht="15">
      <c r="A287" s="665" t="s">
        <v>162</v>
      </c>
      <c r="B287" s="1971">
        <f>M287</f>
        <v>148051325</v>
      </c>
      <c r="C287" s="261" t="s">
        <v>36</v>
      </c>
      <c r="D287" s="262" t="s">
        <v>831</v>
      </c>
      <c r="E287" s="262" t="s">
        <v>1651</v>
      </c>
      <c r="F287" s="262" t="s">
        <v>1652</v>
      </c>
      <c r="G287" s="262" t="s">
        <v>79</v>
      </c>
      <c r="H287" s="2162" t="s">
        <v>1644</v>
      </c>
      <c r="I287" s="2142">
        <v>329</v>
      </c>
      <c r="J287" s="1720">
        <v>0</v>
      </c>
      <c r="K287" s="1675"/>
      <c r="L287" s="1652">
        <v>493</v>
      </c>
      <c r="M287" s="1915">
        <v>148051325</v>
      </c>
      <c r="N287" s="1703">
        <v>723</v>
      </c>
      <c r="O287" s="1915">
        <v>148051325</v>
      </c>
      <c r="P287" s="1655">
        <v>429</v>
      </c>
      <c r="Q287" s="1851"/>
      <c r="R287" s="1852"/>
      <c r="S287" s="1852"/>
      <c r="T287" s="1852"/>
      <c r="U287" s="1852"/>
      <c r="V287" s="1852"/>
      <c r="W287" s="1852"/>
      <c r="X287" s="1852"/>
      <c r="Y287" s="1852">
        <v>17756800</v>
      </c>
      <c r="Z287" s="1852">
        <v>0</v>
      </c>
      <c r="AA287" s="1852">
        <v>27416400</v>
      </c>
      <c r="AB287" s="1949"/>
      <c r="AC287" s="1824">
        <f t="shared" ref="AC287:AC332" si="86">SUM(Q287:AB287)</f>
        <v>45173200</v>
      </c>
      <c r="AD287" s="1825">
        <f t="shared" ref="AD287:AD332" si="87">O287-AC287</f>
        <v>102878125</v>
      </c>
      <c r="AF287" s="848">
        <v>329</v>
      </c>
      <c r="AG287" s="1291" t="s">
        <v>220</v>
      </c>
      <c r="AH287" s="1059" t="s">
        <v>1163</v>
      </c>
      <c r="AI287" s="1048">
        <f t="shared" si="83"/>
        <v>429</v>
      </c>
      <c r="AJ287" s="849">
        <f>211081567+30000000-64600000-26945001-1485241</f>
        <v>148051325</v>
      </c>
      <c r="AK287" s="851">
        <f t="shared" si="84"/>
        <v>0</v>
      </c>
      <c r="AL287" s="845"/>
      <c r="AM287" s="1518">
        <f t="shared" si="85"/>
        <v>0</v>
      </c>
    </row>
    <row r="288" spans="1:39" s="633" customFormat="1" ht="15">
      <c r="A288" s="665" t="s">
        <v>162</v>
      </c>
      <c r="B288" s="1971">
        <f>M288</f>
        <v>26300000</v>
      </c>
      <c r="C288" s="261" t="s">
        <v>36</v>
      </c>
      <c r="D288" s="262" t="s">
        <v>831</v>
      </c>
      <c r="E288" s="262" t="s">
        <v>1651</v>
      </c>
      <c r="F288" s="262" t="s">
        <v>1652</v>
      </c>
      <c r="G288" s="262" t="s">
        <v>79</v>
      </c>
      <c r="H288" s="2162" t="s">
        <v>1644</v>
      </c>
      <c r="I288" s="2142">
        <v>349</v>
      </c>
      <c r="J288" s="1720">
        <v>0</v>
      </c>
      <c r="K288" s="1675"/>
      <c r="L288" s="1652">
        <v>207</v>
      </c>
      <c r="M288" s="1659">
        <v>26300000</v>
      </c>
      <c r="N288" s="1593">
        <v>237</v>
      </c>
      <c r="O288" s="1604">
        <v>26300000</v>
      </c>
      <c r="P288" s="1655">
        <v>221</v>
      </c>
      <c r="Q288" s="1851"/>
      <c r="R288" s="1852"/>
      <c r="S288" s="1852">
        <f>VLOOKUP(N288,[9]Hoja2!N$2:T$77,7,0)</f>
        <v>2104000</v>
      </c>
      <c r="T288" s="1852">
        <v>2630000</v>
      </c>
      <c r="U288" s="1852">
        <v>2630000</v>
      </c>
      <c r="V288" s="1852">
        <v>2630000</v>
      </c>
      <c r="W288" s="1852">
        <v>2630000</v>
      </c>
      <c r="X288" s="1852">
        <v>2630000</v>
      </c>
      <c r="Y288" s="1852">
        <v>2630000</v>
      </c>
      <c r="Z288" s="1852">
        <v>2630000</v>
      </c>
      <c r="AA288" s="1852">
        <v>2630000</v>
      </c>
      <c r="AB288" s="1949">
        <f>2630000+526000</f>
        <v>3156000</v>
      </c>
      <c r="AC288" s="1824">
        <f t="shared" si="86"/>
        <v>26300000</v>
      </c>
      <c r="AD288" s="1825">
        <f t="shared" si="87"/>
        <v>0</v>
      </c>
      <c r="AF288" s="848">
        <v>349</v>
      </c>
      <c r="AG288" s="1291" t="s">
        <v>473</v>
      </c>
      <c r="AH288" s="1059" t="s">
        <v>729</v>
      </c>
      <c r="AI288" s="1048">
        <f t="shared" si="83"/>
        <v>221</v>
      </c>
      <c r="AJ288" s="849">
        <v>26300000</v>
      </c>
      <c r="AK288" s="851">
        <f t="shared" si="84"/>
        <v>0</v>
      </c>
      <c r="AL288" s="845"/>
      <c r="AM288" s="1518">
        <f t="shared" si="85"/>
        <v>0</v>
      </c>
    </row>
    <row r="289" spans="1:39" s="633" customFormat="1">
      <c r="A289" s="665" t="s">
        <v>162</v>
      </c>
      <c r="B289" s="1971">
        <f t="shared" ref="B289:B332" si="88">M289</f>
        <v>2104000</v>
      </c>
      <c r="C289" s="261" t="s">
        <v>36</v>
      </c>
      <c r="D289" s="262" t="s">
        <v>831</v>
      </c>
      <c r="E289" s="262" t="s">
        <v>1651</v>
      </c>
      <c r="F289" s="262" t="s">
        <v>1652</v>
      </c>
      <c r="G289" s="262" t="s">
        <v>79</v>
      </c>
      <c r="H289" s="2162" t="s">
        <v>1644</v>
      </c>
      <c r="I289" s="2142" t="s">
        <v>325</v>
      </c>
      <c r="J289" s="1720">
        <v>742</v>
      </c>
      <c r="K289" s="1721">
        <v>2191667</v>
      </c>
      <c r="L289" s="1652">
        <v>848</v>
      </c>
      <c r="M289" s="1659">
        <f>2191667-87667</f>
        <v>2104000</v>
      </c>
      <c r="N289" s="1593">
        <v>1024</v>
      </c>
      <c r="O289" s="1604">
        <v>2104000</v>
      </c>
      <c r="P289" s="1655">
        <v>221</v>
      </c>
      <c r="Q289" s="1851"/>
      <c r="R289" s="1852"/>
      <c r="S289" s="1852"/>
      <c r="T289" s="1852"/>
      <c r="U289" s="1852"/>
      <c r="V289" s="1852"/>
      <c r="W289" s="1852"/>
      <c r="X289" s="1852"/>
      <c r="Y289" s="1852"/>
      <c r="Z289" s="1852"/>
      <c r="AA289" s="1852"/>
      <c r="AB289" s="1949">
        <v>2104000</v>
      </c>
      <c r="AC289" s="1824">
        <f t="shared" si="86"/>
        <v>2104000</v>
      </c>
      <c r="AD289" s="1825">
        <f t="shared" si="87"/>
        <v>0</v>
      </c>
      <c r="AF289" s="848" t="s">
        <v>325</v>
      </c>
      <c r="AG289" s="1291" t="s">
        <v>1524</v>
      </c>
      <c r="AH289" s="1059" t="s">
        <v>729</v>
      </c>
      <c r="AI289" s="1048">
        <f t="shared" si="83"/>
        <v>221</v>
      </c>
      <c r="AJ289" s="849">
        <v>2191667</v>
      </c>
      <c r="AK289" s="851">
        <f t="shared" si="84"/>
        <v>87667</v>
      </c>
      <c r="AL289" s="845"/>
      <c r="AM289" s="1518">
        <f t="shared" si="85"/>
        <v>87667</v>
      </c>
    </row>
    <row r="290" spans="1:39" s="633" customFormat="1" ht="15">
      <c r="A290" s="665" t="s">
        <v>162</v>
      </c>
      <c r="B290" s="1971">
        <f t="shared" si="88"/>
        <v>26300000</v>
      </c>
      <c r="C290" s="261" t="s">
        <v>36</v>
      </c>
      <c r="D290" s="262" t="s">
        <v>831</v>
      </c>
      <c r="E290" s="262" t="s">
        <v>1651</v>
      </c>
      <c r="F290" s="262" t="s">
        <v>1652</v>
      </c>
      <c r="G290" s="262" t="s">
        <v>79</v>
      </c>
      <c r="H290" s="2162" t="s">
        <v>1644</v>
      </c>
      <c r="I290" s="2142">
        <v>350</v>
      </c>
      <c r="J290" s="1720">
        <v>0</v>
      </c>
      <c r="K290" s="1675"/>
      <c r="L290" s="1652">
        <v>46</v>
      </c>
      <c r="M290" s="1659">
        <v>26300000</v>
      </c>
      <c r="N290" s="1593">
        <v>48</v>
      </c>
      <c r="O290" s="1604">
        <v>26300000</v>
      </c>
      <c r="P290" s="1655">
        <v>65</v>
      </c>
      <c r="Q290" s="1851"/>
      <c r="R290" s="1852">
        <v>1139667</v>
      </c>
      <c r="S290" s="1852">
        <f>VLOOKUP(N290,[9]Hoja2!N$2:T$77,7,0)</f>
        <v>2630000</v>
      </c>
      <c r="T290" s="1852">
        <v>2630000</v>
      </c>
      <c r="U290" s="1852">
        <v>2630000</v>
      </c>
      <c r="V290" s="1852">
        <v>2630000</v>
      </c>
      <c r="W290" s="1852">
        <v>2630000</v>
      </c>
      <c r="X290" s="1852">
        <v>2630000</v>
      </c>
      <c r="Y290" s="1852">
        <v>2630000</v>
      </c>
      <c r="Z290" s="1852">
        <v>2630000</v>
      </c>
      <c r="AA290" s="1852">
        <v>2630000</v>
      </c>
      <c r="AB290" s="1949">
        <v>1490333</v>
      </c>
      <c r="AC290" s="1824">
        <f t="shared" si="86"/>
        <v>26300000</v>
      </c>
      <c r="AD290" s="1825">
        <f t="shared" si="87"/>
        <v>0</v>
      </c>
      <c r="AF290" s="848">
        <v>350</v>
      </c>
      <c r="AG290" s="1291" t="s">
        <v>474</v>
      </c>
      <c r="AH290" s="1059" t="s">
        <v>519</v>
      </c>
      <c r="AI290" s="1048">
        <f t="shared" si="83"/>
        <v>65</v>
      </c>
      <c r="AJ290" s="849">
        <v>26300000</v>
      </c>
      <c r="AK290" s="851">
        <f t="shared" si="84"/>
        <v>0</v>
      </c>
      <c r="AL290" s="845"/>
      <c r="AM290" s="1518">
        <f t="shared" si="85"/>
        <v>0</v>
      </c>
    </row>
    <row r="291" spans="1:39" s="633" customFormat="1">
      <c r="A291" s="665" t="s">
        <v>162</v>
      </c>
      <c r="B291" s="1971">
        <f t="shared" si="88"/>
        <v>3769667</v>
      </c>
      <c r="C291" s="261" t="s">
        <v>36</v>
      </c>
      <c r="D291" s="262" t="s">
        <v>831</v>
      </c>
      <c r="E291" s="262" t="s">
        <v>1651</v>
      </c>
      <c r="F291" s="262" t="s">
        <v>1652</v>
      </c>
      <c r="G291" s="262" t="s">
        <v>79</v>
      </c>
      <c r="H291" s="2162" t="s">
        <v>1644</v>
      </c>
      <c r="I291" s="2142" t="s">
        <v>325</v>
      </c>
      <c r="J291" s="1720">
        <v>698</v>
      </c>
      <c r="K291" s="1721">
        <v>3769667</v>
      </c>
      <c r="L291" s="1652">
        <v>799</v>
      </c>
      <c r="M291" s="1659">
        <v>3769667</v>
      </c>
      <c r="N291" s="1593">
        <v>964</v>
      </c>
      <c r="O291" s="1659">
        <v>3769667</v>
      </c>
      <c r="P291" s="1655">
        <v>65</v>
      </c>
      <c r="Q291" s="1851"/>
      <c r="R291" s="1852"/>
      <c r="S291" s="1852"/>
      <c r="T291" s="1852"/>
      <c r="U291" s="1852"/>
      <c r="V291" s="1852"/>
      <c r="W291" s="1852"/>
      <c r="X291" s="1852"/>
      <c r="Y291" s="1852"/>
      <c r="Z291" s="1852"/>
      <c r="AA291" s="1852"/>
      <c r="AB291" s="1949">
        <f>1139667+2630000</f>
        <v>3769667</v>
      </c>
      <c r="AC291" s="1824">
        <f t="shared" si="86"/>
        <v>3769667</v>
      </c>
      <c r="AD291" s="1825">
        <f t="shared" si="87"/>
        <v>0</v>
      </c>
      <c r="AF291" s="848" t="s">
        <v>325</v>
      </c>
      <c r="AG291" s="1291" t="s">
        <v>1410</v>
      </c>
      <c r="AH291" s="1059" t="s">
        <v>519</v>
      </c>
      <c r="AI291" s="1048">
        <f t="shared" si="83"/>
        <v>65</v>
      </c>
      <c r="AJ291" s="849">
        <v>3769667</v>
      </c>
      <c r="AK291" s="851">
        <f t="shared" si="84"/>
        <v>0</v>
      </c>
      <c r="AL291" s="845"/>
      <c r="AM291" s="1518">
        <f t="shared" si="85"/>
        <v>0</v>
      </c>
    </row>
    <row r="292" spans="1:39" s="633" customFormat="1" ht="15">
      <c r="A292" s="665" t="s">
        <v>162</v>
      </c>
      <c r="B292" s="1971">
        <f t="shared" si="88"/>
        <v>26300000</v>
      </c>
      <c r="C292" s="261" t="s">
        <v>36</v>
      </c>
      <c r="D292" s="262" t="s">
        <v>831</v>
      </c>
      <c r="E292" s="262" t="s">
        <v>1651</v>
      </c>
      <c r="F292" s="262" t="s">
        <v>1652</v>
      </c>
      <c r="G292" s="262" t="s">
        <v>79</v>
      </c>
      <c r="H292" s="2162" t="s">
        <v>1644</v>
      </c>
      <c r="I292" s="2142">
        <v>351</v>
      </c>
      <c r="J292" s="1720">
        <v>0</v>
      </c>
      <c r="K292" s="1675"/>
      <c r="L292" s="1652">
        <v>44</v>
      </c>
      <c r="M292" s="1659">
        <v>26300000</v>
      </c>
      <c r="N292" s="1593">
        <v>62</v>
      </c>
      <c r="O292" s="1604">
        <v>26300000</v>
      </c>
      <c r="P292" s="1655">
        <v>66</v>
      </c>
      <c r="Q292" s="1851"/>
      <c r="R292" s="1852">
        <v>876667</v>
      </c>
      <c r="S292" s="1852">
        <f>VLOOKUP(N292,[9]Hoja2!N$2:T$77,7,0)</f>
        <v>2630000</v>
      </c>
      <c r="T292" s="1852">
        <v>2630000</v>
      </c>
      <c r="U292" s="1852">
        <v>2630000</v>
      </c>
      <c r="V292" s="1852">
        <v>2630000</v>
      </c>
      <c r="W292" s="1852">
        <v>2630000</v>
      </c>
      <c r="X292" s="1852">
        <v>2630000</v>
      </c>
      <c r="Y292" s="1852">
        <v>2630000</v>
      </c>
      <c r="Z292" s="1852">
        <v>2630000</v>
      </c>
      <c r="AA292" s="1852">
        <v>2630000</v>
      </c>
      <c r="AB292" s="1949">
        <v>1753333</v>
      </c>
      <c r="AC292" s="1824">
        <f t="shared" si="86"/>
        <v>26300000</v>
      </c>
      <c r="AD292" s="1825">
        <f t="shared" si="87"/>
        <v>0</v>
      </c>
      <c r="AF292" s="848">
        <v>351</v>
      </c>
      <c r="AG292" s="1291" t="s">
        <v>474</v>
      </c>
      <c r="AH292" s="1059" t="s">
        <v>520</v>
      </c>
      <c r="AI292" s="1048">
        <f t="shared" si="83"/>
        <v>66</v>
      </c>
      <c r="AJ292" s="849">
        <v>26300000</v>
      </c>
      <c r="AK292" s="851">
        <f t="shared" si="84"/>
        <v>0</v>
      </c>
      <c r="AL292" s="845"/>
      <c r="AM292" s="1518">
        <f t="shared" si="85"/>
        <v>0</v>
      </c>
    </row>
    <row r="293" spans="1:39" s="633" customFormat="1">
      <c r="A293" s="665" t="s">
        <v>162</v>
      </c>
      <c r="B293" s="1971">
        <f t="shared" si="88"/>
        <v>3506667</v>
      </c>
      <c r="C293" s="261" t="s">
        <v>36</v>
      </c>
      <c r="D293" s="262" t="s">
        <v>831</v>
      </c>
      <c r="E293" s="262" t="s">
        <v>1651</v>
      </c>
      <c r="F293" s="262" t="s">
        <v>1652</v>
      </c>
      <c r="G293" s="262" t="s">
        <v>79</v>
      </c>
      <c r="H293" s="2162" t="s">
        <v>1644</v>
      </c>
      <c r="I293" s="2142" t="s">
        <v>325</v>
      </c>
      <c r="J293" s="1720">
        <v>709</v>
      </c>
      <c r="K293" s="1721">
        <v>3506667</v>
      </c>
      <c r="L293" s="1652">
        <v>809</v>
      </c>
      <c r="M293" s="1659">
        <v>3506667</v>
      </c>
      <c r="N293" s="1593">
        <v>979</v>
      </c>
      <c r="O293" s="1604">
        <v>3506667</v>
      </c>
      <c r="P293" s="1655">
        <v>66</v>
      </c>
      <c r="Q293" s="1851"/>
      <c r="R293" s="1852"/>
      <c r="S293" s="1852"/>
      <c r="T293" s="1852"/>
      <c r="U293" s="1852"/>
      <c r="V293" s="1852"/>
      <c r="W293" s="1852"/>
      <c r="X293" s="1852"/>
      <c r="Y293" s="1852"/>
      <c r="Z293" s="1852"/>
      <c r="AA293" s="1852"/>
      <c r="AB293" s="1949">
        <f>876667+2630000</f>
        <v>3506667</v>
      </c>
      <c r="AC293" s="1824">
        <f t="shared" si="86"/>
        <v>3506667</v>
      </c>
      <c r="AD293" s="1825">
        <f t="shared" si="87"/>
        <v>0</v>
      </c>
      <c r="AF293" s="848" t="s">
        <v>325</v>
      </c>
      <c r="AG293" s="1291" t="s">
        <v>1411</v>
      </c>
      <c r="AH293" s="1059" t="s">
        <v>520</v>
      </c>
      <c r="AI293" s="1048">
        <f t="shared" si="83"/>
        <v>66</v>
      </c>
      <c r="AJ293" s="849">
        <v>3506667</v>
      </c>
      <c r="AK293" s="851">
        <f t="shared" si="84"/>
        <v>0</v>
      </c>
      <c r="AL293" s="845"/>
      <c r="AM293" s="1518">
        <f t="shared" si="85"/>
        <v>0</v>
      </c>
    </row>
    <row r="294" spans="1:39" s="633" customFormat="1">
      <c r="A294" s="665" t="s">
        <v>162</v>
      </c>
      <c r="B294" s="1971">
        <f t="shared" si="88"/>
        <v>26300000</v>
      </c>
      <c r="C294" s="261" t="s">
        <v>36</v>
      </c>
      <c r="D294" s="262" t="s">
        <v>831</v>
      </c>
      <c r="E294" s="262" t="s">
        <v>1651</v>
      </c>
      <c r="F294" s="262" t="s">
        <v>1652</v>
      </c>
      <c r="G294" s="262" t="s">
        <v>79</v>
      </c>
      <c r="H294" s="2162" t="s">
        <v>1644</v>
      </c>
      <c r="I294" s="2142">
        <v>352</v>
      </c>
      <c r="J294" s="1720">
        <v>0</v>
      </c>
      <c r="K294" s="1721"/>
      <c r="L294" s="1652">
        <v>43</v>
      </c>
      <c r="M294" s="1659">
        <v>26300000</v>
      </c>
      <c r="N294" s="1593">
        <v>50</v>
      </c>
      <c r="O294" s="1604">
        <v>26300000</v>
      </c>
      <c r="P294" s="1655">
        <v>30</v>
      </c>
      <c r="Q294" s="1851"/>
      <c r="R294" s="1852">
        <v>526000</v>
      </c>
      <c r="S294" s="1852">
        <f>VLOOKUP(N294,[9]Hoja2!N$2:T$77,7,0)</f>
        <v>2630000</v>
      </c>
      <c r="T294" s="1852">
        <v>2630000</v>
      </c>
      <c r="U294" s="1852">
        <v>2630000</v>
      </c>
      <c r="V294" s="1852">
        <v>2630000</v>
      </c>
      <c r="W294" s="1852">
        <v>2630000</v>
      </c>
      <c r="X294" s="1852">
        <v>2630000</v>
      </c>
      <c r="Y294" s="1852">
        <v>2630000</v>
      </c>
      <c r="Z294" s="1852">
        <v>2630000</v>
      </c>
      <c r="AA294" s="1852">
        <v>2630000</v>
      </c>
      <c r="AB294" s="1949">
        <v>2104000</v>
      </c>
      <c r="AC294" s="1824">
        <f t="shared" si="86"/>
        <v>26300000</v>
      </c>
      <c r="AD294" s="1825">
        <f t="shared" si="87"/>
        <v>0</v>
      </c>
      <c r="AF294" s="848">
        <v>352</v>
      </c>
      <c r="AG294" s="1291" t="s">
        <v>474</v>
      </c>
      <c r="AH294" s="1059" t="s">
        <v>521</v>
      </c>
      <c r="AI294" s="1048">
        <f t="shared" si="83"/>
        <v>30</v>
      </c>
      <c r="AJ294" s="849">
        <v>26300000</v>
      </c>
      <c r="AK294" s="851">
        <f t="shared" si="84"/>
        <v>0</v>
      </c>
      <c r="AL294" s="845"/>
      <c r="AM294" s="1518">
        <f t="shared" si="85"/>
        <v>0</v>
      </c>
    </row>
    <row r="295" spans="1:39" s="633" customFormat="1">
      <c r="A295" s="665" t="s">
        <v>162</v>
      </c>
      <c r="B295" s="1971">
        <f t="shared" si="88"/>
        <v>3156000</v>
      </c>
      <c r="C295" s="261" t="s">
        <v>36</v>
      </c>
      <c r="D295" s="262" t="s">
        <v>831</v>
      </c>
      <c r="E295" s="262" t="s">
        <v>1651</v>
      </c>
      <c r="F295" s="262" t="s">
        <v>1652</v>
      </c>
      <c r="G295" s="262" t="s">
        <v>79</v>
      </c>
      <c r="H295" s="2162" t="s">
        <v>1644</v>
      </c>
      <c r="I295" s="2142" t="s">
        <v>325</v>
      </c>
      <c r="J295" s="1720">
        <v>699</v>
      </c>
      <c r="K295" s="1721">
        <v>3156000</v>
      </c>
      <c r="L295" s="1652">
        <v>802</v>
      </c>
      <c r="M295" s="1659">
        <v>3156000</v>
      </c>
      <c r="N295" s="1593">
        <v>965</v>
      </c>
      <c r="O295" s="1604">
        <v>3156000</v>
      </c>
      <c r="P295" s="1655">
        <v>30</v>
      </c>
      <c r="Q295" s="1851"/>
      <c r="R295" s="1852"/>
      <c r="S295" s="1852"/>
      <c r="T295" s="1852"/>
      <c r="U295" s="1852"/>
      <c r="V295" s="1852"/>
      <c r="W295" s="1852"/>
      <c r="X295" s="1852"/>
      <c r="Y295" s="1852"/>
      <c r="Z295" s="1852"/>
      <c r="AA295" s="1852"/>
      <c r="AB295" s="1949">
        <f>526000+2630000</f>
        <v>3156000</v>
      </c>
      <c r="AC295" s="1824">
        <f t="shared" si="86"/>
        <v>3156000</v>
      </c>
      <c r="AD295" s="1825">
        <f t="shared" si="87"/>
        <v>0</v>
      </c>
      <c r="AF295" s="848" t="s">
        <v>325</v>
      </c>
      <c r="AG295" s="1291" t="s">
        <v>1409</v>
      </c>
      <c r="AH295" s="1059" t="s">
        <v>521</v>
      </c>
      <c r="AI295" s="1048">
        <f t="shared" si="83"/>
        <v>30</v>
      </c>
      <c r="AJ295" s="849">
        <v>3156000</v>
      </c>
      <c r="AK295" s="851">
        <f t="shared" si="84"/>
        <v>0</v>
      </c>
      <c r="AL295" s="845"/>
      <c r="AM295" s="1518">
        <f t="shared" si="85"/>
        <v>0</v>
      </c>
    </row>
    <row r="296" spans="1:39" s="633" customFormat="1">
      <c r="A296" s="665" t="s">
        <v>162</v>
      </c>
      <c r="B296" s="1971">
        <f t="shared" si="88"/>
        <v>26300000</v>
      </c>
      <c r="C296" s="261" t="s">
        <v>36</v>
      </c>
      <c r="D296" s="262" t="s">
        <v>831</v>
      </c>
      <c r="E296" s="262" t="s">
        <v>1651</v>
      </c>
      <c r="F296" s="262" t="s">
        <v>1652</v>
      </c>
      <c r="G296" s="262" t="s">
        <v>79</v>
      </c>
      <c r="H296" s="2162" t="s">
        <v>1644</v>
      </c>
      <c r="I296" s="2142">
        <v>353</v>
      </c>
      <c r="J296" s="1720">
        <v>0</v>
      </c>
      <c r="K296" s="1721"/>
      <c r="L296" s="1652">
        <v>48</v>
      </c>
      <c r="M296" s="1659">
        <v>26300000</v>
      </c>
      <c r="N296" s="1593">
        <v>64</v>
      </c>
      <c r="O296" s="1604">
        <v>26300000</v>
      </c>
      <c r="P296" s="1655">
        <v>71</v>
      </c>
      <c r="Q296" s="1851"/>
      <c r="R296" s="1852">
        <v>876667</v>
      </c>
      <c r="S296" s="1852">
        <f>VLOOKUP(N296,[9]Hoja2!N$2:T$77,7,0)</f>
        <v>2630000</v>
      </c>
      <c r="T296" s="1852">
        <v>2630000</v>
      </c>
      <c r="U296" s="1852">
        <v>2630000</v>
      </c>
      <c r="V296" s="1852">
        <v>2630000</v>
      </c>
      <c r="W296" s="1852">
        <v>2630000</v>
      </c>
      <c r="X296" s="1852">
        <v>2630000</v>
      </c>
      <c r="Y296" s="1852">
        <v>2630000</v>
      </c>
      <c r="Z296" s="1852">
        <v>2630000</v>
      </c>
      <c r="AA296" s="1852">
        <v>2630000</v>
      </c>
      <c r="AB296" s="1949">
        <v>1753333</v>
      </c>
      <c r="AC296" s="1824">
        <f t="shared" si="86"/>
        <v>26300000</v>
      </c>
      <c r="AD296" s="1825">
        <f t="shared" si="87"/>
        <v>0</v>
      </c>
      <c r="AF296" s="848">
        <v>353</v>
      </c>
      <c r="AG296" s="1291" t="s">
        <v>474</v>
      </c>
      <c r="AH296" s="1059" t="s">
        <v>522</v>
      </c>
      <c r="AI296" s="1048">
        <f t="shared" si="83"/>
        <v>71</v>
      </c>
      <c r="AJ296" s="849">
        <v>26300000</v>
      </c>
      <c r="AK296" s="851">
        <f t="shared" si="84"/>
        <v>0</v>
      </c>
      <c r="AL296" s="845"/>
      <c r="AM296" s="1518">
        <f t="shared" si="85"/>
        <v>0</v>
      </c>
    </row>
    <row r="297" spans="1:39" s="633" customFormat="1">
      <c r="A297" s="665" t="s">
        <v>162</v>
      </c>
      <c r="B297" s="1971">
        <f t="shared" si="88"/>
        <v>3506667</v>
      </c>
      <c r="C297" s="261" t="s">
        <v>36</v>
      </c>
      <c r="D297" s="262" t="s">
        <v>831</v>
      </c>
      <c r="E297" s="262" t="s">
        <v>1651</v>
      </c>
      <c r="F297" s="262" t="s">
        <v>1652</v>
      </c>
      <c r="G297" s="262" t="s">
        <v>79</v>
      </c>
      <c r="H297" s="2162" t="s">
        <v>1644</v>
      </c>
      <c r="I297" s="2142" t="s">
        <v>173</v>
      </c>
      <c r="J297" s="1720">
        <v>706</v>
      </c>
      <c r="K297" s="1721">
        <v>3506667</v>
      </c>
      <c r="L297" s="1652">
        <v>816</v>
      </c>
      <c r="M297" s="1721">
        <v>3506667</v>
      </c>
      <c r="N297" s="1593">
        <v>983</v>
      </c>
      <c r="O297" s="1604">
        <v>3506667</v>
      </c>
      <c r="P297" s="1655">
        <v>71</v>
      </c>
      <c r="Q297" s="1851"/>
      <c r="R297" s="1852"/>
      <c r="S297" s="1852"/>
      <c r="T297" s="1852"/>
      <c r="U297" s="1852"/>
      <c r="V297" s="1852"/>
      <c r="W297" s="1852"/>
      <c r="X297" s="1852"/>
      <c r="Y297" s="1852"/>
      <c r="Z297" s="1852"/>
      <c r="AA297" s="1852"/>
      <c r="AB297" s="1949">
        <f>876667+2630000</f>
        <v>3506667</v>
      </c>
      <c r="AC297" s="1824">
        <f t="shared" si="86"/>
        <v>3506667</v>
      </c>
      <c r="AD297" s="1825">
        <f t="shared" si="87"/>
        <v>0</v>
      </c>
      <c r="AF297" s="848" t="s">
        <v>325</v>
      </c>
      <c r="AG297" s="1291" t="s">
        <v>1415</v>
      </c>
      <c r="AH297" s="1059" t="s">
        <v>522</v>
      </c>
      <c r="AI297" s="1048">
        <f t="shared" si="83"/>
        <v>71</v>
      </c>
      <c r="AJ297" s="849">
        <v>3506667</v>
      </c>
      <c r="AK297" s="851">
        <f t="shared" si="84"/>
        <v>0</v>
      </c>
      <c r="AL297" s="845"/>
      <c r="AM297" s="1518">
        <f t="shared" si="85"/>
        <v>0</v>
      </c>
    </row>
    <row r="298" spans="1:39" s="633" customFormat="1">
      <c r="A298" s="665" t="s">
        <v>162</v>
      </c>
      <c r="B298" s="1971">
        <f t="shared" si="88"/>
        <v>26300000</v>
      </c>
      <c r="C298" s="261" t="s">
        <v>36</v>
      </c>
      <c r="D298" s="262" t="s">
        <v>831</v>
      </c>
      <c r="E298" s="262" t="s">
        <v>1651</v>
      </c>
      <c r="F298" s="262" t="s">
        <v>1652</v>
      </c>
      <c r="G298" s="262" t="s">
        <v>79</v>
      </c>
      <c r="H298" s="2162" t="s">
        <v>1644</v>
      </c>
      <c r="I298" s="2142">
        <v>354</v>
      </c>
      <c r="J298" s="1720">
        <v>0</v>
      </c>
      <c r="K298" s="1721"/>
      <c r="L298" s="1652">
        <v>99</v>
      </c>
      <c r="M298" s="1659">
        <v>26300000</v>
      </c>
      <c r="N298" s="1593">
        <v>109</v>
      </c>
      <c r="O298" s="1604">
        <v>26300000</v>
      </c>
      <c r="P298" s="1655">
        <v>78</v>
      </c>
      <c r="Q298" s="1851"/>
      <c r="R298" s="1852">
        <v>789000</v>
      </c>
      <c r="S298" s="1852">
        <f>VLOOKUP(N298,[9]Hoja2!N$2:T$77,7,0)</f>
        <v>2630000</v>
      </c>
      <c r="T298" s="1852">
        <v>2630000</v>
      </c>
      <c r="U298" s="1852">
        <v>2630000</v>
      </c>
      <c r="V298" s="1852">
        <v>2630000</v>
      </c>
      <c r="W298" s="1852">
        <v>2630000</v>
      </c>
      <c r="X298" s="1852">
        <v>2630000</v>
      </c>
      <c r="Y298" s="1852">
        <v>2630000</v>
      </c>
      <c r="Z298" s="1852">
        <v>2630000</v>
      </c>
      <c r="AA298" s="1852">
        <v>2630000</v>
      </c>
      <c r="AB298" s="1949">
        <v>1841000</v>
      </c>
      <c r="AC298" s="1824">
        <f t="shared" si="86"/>
        <v>26300000</v>
      </c>
      <c r="AD298" s="1825">
        <f t="shared" si="87"/>
        <v>0</v>
      </c>
      <c r="AF298" s="848">
        <v>354</v>
      </c>
      <c r="AG298" s="1291" t="s">
        <v>474</v>
      </c>
      <c r="AH298" s="1059" t="s">
        <v>523</v>
      </c>
      <c r="AI298" s="1048">
        <f t="shared" si="83"/>
        <v>78</v>
      </c>
      <c r="AJ298" s="849">
        <v>26300000</v>
      </c>
      <c r="AK298" s="851">
        <f t="shared" si="84"/>
        <v>0</v>
      </c>
      <c r="AL298" s="845"/>
      <c r="AM298" s="1518">
        <f t="shared" si="85"/>
        <v>0</v>
      </c>
    </row>
    <row r="299" spans="1:39" s="633" customFormat="1">
      <c r="A299" s="665" t="s">
        <v>162</v>
      </c>
      <c r="B299" s="1971">
        <f t="shared" si="88"/>
        <v>3419000</v>
      </c>
      <c r="C299" s="261" t="s">
        <v>36</v>
      </c>
      <c r="D299" s="262" t="s">
        <v>831</v>
      </c>
      <c r="E299" s="262" t="s">
        <v>1651</v>
      </c>
      <c r="F299" s="262" t="s">
        <v>1652</v>
      </c>
      <c r="G299" s="262" t="s">
        <v>79</v>
      </c>
      <c r="H299" s="2162" t="s">
        <v>1644</v>
      </c>
      <c r="I299" s="2142" t="s">
        <v>325</v>
      </c>
      <c r="J299" s="1720">
        <v>705</v>
      </c>
      <c r="K299" s="1721">
        <v>3419000</v>
      </c>
      <c r="L299" s="1652">
        <v>815</v>
      </c>
      <c r="M299" s="1659">
        <v>3419000</v>
      </c>
      <c r="N299" s="1652">
        <v>978</v>
      </c>
      <c r="O299" s="1604">
        <v>3419000</v>
      </c>
      <c r="P299" s="1655">
        <v>78</v>
      </c>
      <c r="Q299" s="1851"/>
      <c r="R299" s="1852"/>
      <c r="S299" s="1852"/>
      <c r="T299" s="1852"/>
      <c r="U299" s="1852"/>
      <c r="V299" s="1852"/>
      <c r="W299" s="1852"/>
      <c r="X299" s="1852"/>
      <c r="Y299" s="1852"/>
      <c r="Z299" s="1852"/>
      <c r="AA299" s="1852"/>
      <c r="AB299" s="1949">
        <f>789000+2630000</f>
        <v>3419000</v>
      </c>
      <c r="AC299" s="1824">
        <f t="shared" si="86"/>
        <v>3419000</v>
      </c>
      <c r="AD299" s="1825">
        <f t="shared" si="87"/>
        <v>0</v>
      </c>
      <c r="AF299" s="848" t="s">
        <v>325</v>
      </c>
      <c r="AG299" s="1291" t="s">
        <v>1414</v>
      </c>
      <c r="AH299" s="1059" t="s">
        <v>523</v>
      </c>
      <c r="AI299" s="1048">
        <f t="shared" si="83"/>
        <v>78</v>
      </c>
      <c r="AJ299" s="849">
        <v>3419000</v>
      </c>
      <c r="AK299" s="851">
        <f t="shared" si="84"/>
        <v>0</v>
      </c>
      <c r="AL299" s="845"/>
      <c r="AM299" s="1518">
        <f t="shared" si="85"/>
        <v>0</v>
      </c>
    </row>
    <row r="300" spans="1:39" s="633" customFormat="1">
      <c r="A300" s="665" t="s">
        <v>162</v>
      </c>
      <c r="B300" s="1971">
        <f t="shared" si="88"/>
        <v>63800000</v>
      </c>
      <c r="C300" s="261" t="s">
        <v>36</v>
      </c>
      <c r="D300" s="262" t="s">
        <v>831</v>
      </c>
      <c r="E300" s="262" t="s">
        <v>1651</v>
      </c>
      <c r="F300" s="262" t="s">
        <v>1652</v>
      </c>
      <c r="G300" s="262" t="s">
        <v>79</v>
      </c>
      <c r="H300" s="2162" t="s">
        <v>1644</v>
      </c>
      <c r="I300" s="2142">
        <v>355</v>
      </c>
      <c r="J300" s="1720">
        <v>0</v>
      </c>
      <c r="K300" s="1721"/>
      <c r="L300" s="1652">
        <v>340</v>
      </c>
      <c r="M300" s="1659">
        <v>63800000</v>
      </c>
      <c r="N300" s="1703">
        <v>348</v>
      </c>
      <c r="O300" s="1604">
        <v>63800000</v>
      </c>
      <c r="P300" s="1655">
        <v>282</v>
      </c>
      <c r="Q300" s="1851"/>
      <c r="R300" s="1852"/>
      <c r="S300" s="1852"/>
      <c r="T300" s="1852">
        <v>5060000</v>
      </c>
      <c r="U300" s="1852">
        <v>6600000</v>
      </c>
      <c r="V300" s="1852">
        <v>6600000</v>
      </c>
      <c r="W300" s="1852">
        <v>6600000</v>
      </c>
      <c r="X300" s="1852">
        <v>6600000</v>
      </c>
      <c r="Y300" s="1852">
        <v>6600000</v>
      </c>
      <c r="Z300" s="1852">
        <v>6600000</v>
      </c>
      <c r="AA300" s="1852">
        <v>6600000</v>
      </c>
      <c r="AB300" s="1949">
        <f>6600000+5940000</f>
        <v>12540000</v>
      </c>
      <c r="AC300" s="1824">
        <f t="shared" si="86"/>
        <v>63800000</v>
      </c>
      <c r="AD300" s="1825">
        <f t="shared" si="87"/>
        <v>0</v>
      </c>
      <c r="AF300" s="848">
        <v>355</v>
      </c>
      <c r="AG300" s="1291" t="s">
        <v>475</v>
      </c>
      <c r="AH300" s="1059" t="s">
        <v>796</v>
      </c>
      <c r="AI300" s="1048">
        <f t="shared" si="83"/>
        <v>282</v>
      </c>
      <c r="AJ300" s="849">
        <f>48200000+17800000-2200000</f>
        <v>63800000</v>
      </c>
      <c r="AK300" s="851">
        <f t="shared" si="84"/>
        <v>0</v>
      </c>
      <c r="AL300" s="845"/>
      <c r="AM300" s="1518">
        <f t="shared" si="85"/>
        <v>0</v>
      </c>
    </row>
    <row r="301" spans="1:39" s="633" customFormat="1">
      <c r="A301" s="665" t="s">
        <v>162</v>
      </c>
      <c r="B301" s="1971">
        <f t="shared" si="88"/>
        <v>48200000</v>
      </c>
      <c r="C301" s="261" t="s">
        <v>36</v>
      </c>
      <c r="D301" s="262" t="s">
        <v>831</v>
      </c>
      <c r="E301" s="262" t="s">
        <v>1651</v>
      </c>
      <c r="F301" s="262" t="s">
        <v>1652</v>
      </c>
      <c r="G301" s="262" t="s">
        <v>79</v>
      </c>
      <c r="H301" s="2162" t="s">
        <v>1644</v>
      </c>
      <c r="I301" s="2142">
        <v>356</v>
      </c>
      <c r="J301" s="1720">
        <v>0</v>
      </c>
      <c r="K301" s="1721"/>
      <c r="L301" s="1652">
        <v>208</v>
      </c>
      <c r="M301" s="1659">
        <v>48200000</v>
      </c>
      <c r="N301" s="1593">
        <v>257</v>
      </c>
      <c r="O301" s="1604">
        <v>48200000</v>
      </c>
      <c r="P301" s="1655">
        <v>220</v>
      </c>
      <c r="Q301" s="1851"/>
      <c r="R301" s="1852"/>
      <c r="S301" s="1852">
        <f>VLOOKUP(N301,[9]Hoja2!N$2:T$77,7,0)</f>
        <v>3534667</v>
      </c>
      <c r="T301" s="1852">
        <v>4820000</v>
      </c>
      <c r="U301" s="1852">
        <v>4820000</v>
      </c>
      <c r="V301" s="1852">
        <f>3213333+1606667</f>
        <v>4820000</v>
      </c>
      <c r="W301" s="1852">
        <v>4820000</v>
      </c>
      <c r="X301" s="1852">
        <v>4820000</v>
      </c>
      <c r="Y301" s="1852">
        <v>4820000</v>
      </c>
      <c r="Z301" s="1852">
        <v>4820000</v>
      </c>
      <c r="AA301" s="1852">
        <v>4016667</v>
      </c>
      <c r="AB301" s="1949">
        <f>4820000+2088666</f>
        <v>6908666</v>
      </c>
      <c r="AC301" s="1824">
        <f t="shared" si="86"/>
        <v>48200000</v>
      </c>
      <c r="AD301" s="1825">
        <f t="shared" si="87"/>
        <v>0</v>
      </c>
      <c r="AF301" s="848">
        <v>356</v>
      </c>
      <c r="AG301" s="1291" t="s">
        <v>476</v>
      </c>
      <c r="AH301" s="1059" t="s">
        <v>730</v>
      </c>
      <c r="AI301" s="1048">
        <f t="shared" si="83"/>
        <v>220</v>
      </c>
      <c r="AJ301" s="849">
        <v>48200000</v>
      </c>
      <c r="AK301" s="851">
        <f t="shared" si="84"/>
        <v>0</v>
      </c>
      <c r="AL301" s="845"/>
      <c r="AM301" s="1518">
        <f t="shared" si="85"/>
        <v>0</v>
      </c>
    </row>
    <row r="302" spans="1:39" s="633" customFormat="1">
      <c r="A302" s="665" t="s">
        <v>162</v>
      </c>
      <c r="B302" s="1971">
        <f t="shared" si="88"/>
        <v>2410000</v>
      </c>
      <c r="C302" s="261" t="s">
        <v>36</v>
      </c>
      <c r="D302" s="262" t="s">
        <v>831</v>
      </c>
      <c r="E302" s="262" t="s">
        <v>1651</v>
      </c>
      <c r="F302" s="262" t="s">
        <v>1652</v>
      </c>
      <c r="G302" s="262" t="s">
        <v>79</v>
      </c>
      <c r="H302" s="2162" t="s">
        <v>1644</v>
      </c>
      <c r="I302" s="2142" t="s">
        <v>325</v>
      </c>
      <c r="J302" s="1720">
        <v>793</v>
      </c>
      <c r="K302" s="1721">
        <v>2410000</v>
      </c>
      <c r="L302" s="1652">
        <v>931</v>
      </c>
      <c r="M302" s="1659">
        <v>2410000</v>
      </c>
      <c r="N302" s="1593">
        <v>1060</v>
      </c>
      <c r="O302" s="1604">
        <v>2410000</v>
      </c>
      <c r="P302" s="1655">
        <v>220</v>
      </c>
      <c r="Q302" s="1851"/>
      <c r="R302" s="1852"/>
      <c r="S302" s="1852"/>
      <c r="T302" s="1852"/>
      <c r="U302" s="1852"/>
      <c r="V302" s="1852"/>
      <c r="W302" s="1852"/>
      <c r="X302" s="1852"/>
      <c r="Y302" s="1852"/>
      <c r="Z302" s="1852"/>
      <c r="AA302" s="1852"/>
      <c r="AB302" s="1949">
        <v>2410000</v>
      </c>
      <c r="AC302" s="1824">
        <f t="shared" si="86"/>
        <v>2410000</v>
      </c>
      <c r="AD302" s="1825">
        <f t="shared" si="87"/>
        <v>0</v>
      </c>
      <c r="AF302" s="848" t="s">
        <v>325</v>
      </c>
      <c r="AG302" s="1291" t="s">
        <v>1523</v>
      </c>
      <c r="AH302" s="1059" t="s">
        <v>730</v>
      </c>
      <c r="AI302" s="1048">
        <f t="shared" si="83"/>
        <v>220</v>
      </c>
      <c r="AJ302" s="849">
        <v>2410000</v>
      </c>
      <c r="AK302" s="851">
        <f t="shared" si="84"/>
        <v>0</v>
      </c>
      <c r="AL302" s="845"/>
      <c r="AM302" s="1518">
        <f t="shared" si="85"/>
        <v>0</v>
      </c>
    </row>
    <row r="303" spans="1:39" s="633" customFormat="1">
      <c r="A303" s="665" t="s">
        <v>162</v>
      </c>
      <c r="B303" s="1971">
        <f t="shared" si="88"/>
        <v>48200000</v>
      </c>
      <c r="C303" s="261" t="s">
        <v>36</v>
      </c>
      <c r="D303" s="262" t="s">
        <v>831</v>
      </c>
      <c r="E303" s="262" t="s">
        <v>1651</v>
      </c>
      <c r="F303" s="262" t="s">
        <v>1652</v>
      </c>
      <c r="G303" s="262" t="s">
        <v>79</v>
      </c>
      <c r="H303" s="2162" t="s">
        <v>1644</v>
      </c>
      <c r="I303" s="2142">
        <v>357</v>
      </c>
      <c r="J303" s="1720">
        <v>0</v>
      </c>
      <c r="K303" s="1721"/>
      <c r="L303" s="1652">
        <v>47</v>
      </c>
      <c r="M303" s="1659">
        <v>48200000</v>
      </c>
      <c r="N303" s="1593">
        <v>49</v>
      </c>
      <c r="O303" s="1604">
        <v>48200000</v>
      </c>
      <c r="P303" s="1655">
        <v>70</v>
      </c>
      <c r="Q303" s="1851"/>
      <c r="R303" s="1852">
        <v>964000</v>
      </c>
      <c r="S303" s="1852">
        <f>VLOOKUP(N303,[9]Hoja2!N$2:T$77,7,0)</f>
        <v>4820000</v>
      </c>
      <c r="T303" s="1852">
        <v>4820000</v>
      </c>
      <c r="U303" s="1852">
        <v>4820000</v>
      </c>
      <c r="V303" s="1852">
        <v>4820000</v>
      </c>
      <c r="W303" s="1852">
        <v>4820000</v>
      </c>
      <c r="X303" s="1852">
        <v>4820000</v>
      </c>
      <c r="Y303" s="1852">
        <v>4820000</v>
      </c>
      <c r="Z303" s="1852">
        <v>4820000</v>
      </c>
      <c r="AA303" s="1852">
        <v>4820000</v>
      </c>
      <c r="AB303" s="1949">
        <v>3856000</v>
      </c>
      <c r="AC303" s="1824">
        <f t="shared" si="86"/>
        <v>48200000</v>
      </c>
      <c r="AD303" s="1825">
        <f t="shared" si="87"/>
        <v>0</v>
      </c>
      <c r="AF303" s="848">
        <v>357</v>
      </c>
      <c r="AG303" s="1291" t="s">
        <v>476</v>
      </c>
      <c r="AH303" s="1059" t="s">
        <v>524</v>
      </c>
      <c r="AI303" s="1048">
        <f t="shared" si="83"/>
        <v>70</v>
      </c>
      <c r="AJ303" s="849">
        <v>48200000</v>
      </c>
      <c r="AK303" s="851">
        <f t="shared" si="84"/>
        <v>0</v>
      </c>
      <c r="AL303" s="845"/>
      <c r="AM303" s="1518">
        <f t="shared" si="85"/>
        <v>0</v>
      </c>
    </row>
    <row r="304" spans="1:39" s="633" customFormat="1">
      <c r="A304" s="665" t="s">
        <v>162</v>
      </c>
      <c r="B304" s="1971">
        <f t="shared" si="88"/>
        <v>0</v>
      </c>
      <c r="C304" s="261" t="s">
        <v>36</v>
      </c>
      <c r="D304" s="262" t="s">
        <v>831</v>
      </c>
      <c r="E304" s="262" t="s">
        <v>1651</v>
      </c>
      <c r="F304" s="262" t="s">
        <v>1652</v>
      </c>
      <c r="G304" s="262" t="s">
        <v>79</v>
      </c>
      <c r="H304" s="2162" t="s">
        <v>1644</v>
      </c>
      <c r="I304" s="2142" t="s">
        <v>325</v>
      </c>
      <c r="J304" s="1720">
        <v>707</v>
      </c>
      <c r="K304" s="1721">
        <v>2892000</v>
      </c>
      <c r="L304" s="1652">
        <v>807</v>
      </c>
      <c r="M304" s="1659">
        <f>2892000-2892000</f>
        <v>0</v>
      </c>
      <c r="N304" s="1652"/>
      <c r="O304" s="1604"/>
      <c r="P304" s="1655">
        <v>70</v>
      </c>
      <c r="Q304" s="1851"/>
      <c r="R304" s="1852"/>
      <c r="S304" s="1852"/>
      <c r="T304" s="1852"/>
      <c r="U304" s="1852"/>
      <c r="V304" s="1852"/>
      <c r="W304" s="1852"/>
      <c r="X304" s="1852"/>
      <c r="Y304" s="1852"/>
      <c r="Z304" s="1852"/>
      <c r="AA304" s="1852"/>
      <c r="AB304" s="1949"/>
      <c r="AC304" s="1824">
        <f t="shared" si="86"/>
        <v>0</v>
      </c>
      <c r="AD304" s="1825">
        <f t="shared" si="87"/>
        <v>0</v>
      </c>
      <c r="AF304" s="848" t="s">
        <v>325</v>
      </c>
      <c r="AG304" s="1291" t="s">
        <v>1413</v>
      </c>
      <c r="AH304" s="1059" t="s">
        <v>524</v>
      </c>
      <c r="AI304" s="1048">
        <f t="shared" si="83"/>
        <v>70</v>
      </c>
      <c r="AJ304" s="849">
        <f>2892000-2892000</f>
        <v>0</v>
      </c>
      <c r="AK304" s="851">
        <f t="shared" si="84"/>
        <v>0</v>
      </c>
      <c r="AL304" s="845"/>
      <c r="AM304" s="1518">
        <f t="shared" si="85"/>
        <v>0</v>
      </c>
    </row>
    <row r="305" spans="1:39" s="633" customFormat="1">
      <c r="A305" s="665" t="s">
        <v>162</v>
      </c>
      <c r="B305" s="1971">
        <f t="shared" si="88"/>
        <v>30666666</v>
      </c>
      <c r="C305" s="261" t="s">
        <v>36</v>
      </c>
      <c r="D305" s="262" t="s">
        <v>831</v>
      </c>
      <c r="E305" s="262" t="s">
        <v>1651</v>
      </c>
      <c r="F305" s="262" t="s">
        <v>1652</v>
      </c>
      <c r="G305" s="262" t="s">
        <v>79</v>
      </c>
      <c r="H305" s="2162" t="s">
        <v>1644</v>
      </c>
      <c r="I305" s="2142">
        <v>358</v>
      </c>
      <c r="J305" s="1720">
        <v>0</v>
      </c>
      <c r="K305" s="1721"/>
      <c r="L305" s="1652">
        <v>434</v>
      </c>
      <c r="M305" s="1659">
        <f>32310000-1643334</f>
        <v>30666666</v>
      </c>
      <c r="N305" s="1703">
        <v>450</v>
      </c>
      <c r="O305" s="1604">
        <v>30666666</v>
      </c>
      <c r="P305" s="1655">
        <v>331</v>
      </c>
      <c r="Q305" s="1851"/>
      <c r="R305" s="1852"/>
      <c r="S305" s="1852"/>
      <c r="T305" s="1852"/>
      <c r="U305" s="1852"/>
      <c r="V305" s="1852">
        <v>3733333</v>
      </c>
      <c r="W305" s="1852">
        <v>4000000</v>
      </c>
      <c r="X305" s="1852">
        <v>4000000</v>
      </c>
      <c r="Y305" s="1852">
        <v>4000000</v>
      </c>
      <c r="Z305" s="1852">
        <v>4000000</v>
      </c>
      <c r="AA305" s="1852">
        <v>4000000</v>
      </c>
      <c r="AB305" s="1949">
        <f>4000000+2933333</f>
        <v>6933333</v>
      </c>
      <c r="AC305" s="1824">
        <f t="shared" si="86"/>
        <v>30666666</v>
      </c>
      <c r="AD305" s="1825">
        <f t="shared" si="87"/>
        <v>0</v>
      </c>
      <c r="AF305" s="848">
        <v>358</v>
      </c>
      <c r="AG305" s="1291" t="s">
        <v>759</v>
      </c>
      <c r="AH305" s="1059" t="s">
        <v>916</v>
      </c>
      <c r="AI305" s="1048">
        <f t="shared" si="83"/>
        <v>331</v>
      </c>
      <c r="AJ305" s="849">
        <f>38560000-6250000-1643334</f>
        <v>30666666</v>
      </c>
      <c r="AK305" s="851">
        <f t="shared" si="84"/>
        <v>0</v>
      </c>
      <c r="AL305" s="845"/>
      <c r="AM305" s="1518">
        <f t="shared" si="85"/>
        <v>0</v>
      </c>
    </row>
    <row r="306" spans="1:39" s="633" customFormat="1">
      <c r="A306" s="665" t="s">
        <v>162</v>
      </c>
      <c r="B306" s="1971">
        <f t="shared" si="88"/>
        <v>5333333</v>
      </c>
      <c r="C306" s="261" t="s">
        <v>36</v>
      </c>
      <c r="D306" s="262" t="s">
        <v>831</v>
      </c>
      <c r="E306" s="262" t="s">
        <v>1651</v>
      </c>
      <c r="F306" s="262" t="s">
        <v>1652</v>
      </c>
      <c r="G306" s="262" t="s">
        <v>79</v>
      </c>
      <c r="H306" s="2162" t="s">
        <v>1644</v>
      </c>
      <c r="I306" s="2142" t="s">
        <v>325</v>
      </c>
      <c r="J306" s="1720">
        <v>857</v>
      </c>
      <c r="K306" s="1721">
        <v>5333333</v>
      </c>
      <c r="L306" s="1652">
        <v>978</v>
      </c>
      <c r="M306" s="1659">
        <v>5333333</v>
      </c>
      <c r="N306" s="1703">
        <v>1143</v>
      </c>
      <c r="O306" s="1604">
        <v>5333333</v>
      </c>
      <c r="P306" s="1655">
        <v>331</v>
      </c>
      <c r="Q306" s="1851"/>
      <c r="R306" s="1852"/>
      <c r="S306" s="1852"/>
      <c r="T306" s="1852"/>
      <c r="U306" s="1852"/>
      <c r="V306" s="1852"/>
      <c r="W306" s="1852"/>
      <c r="X306" s="1852"/>
      <c r="Y306" s="1852"/>
      <c r="Z306" s="1852"/>
      <c r="AA306" s="1852"/>
      <c r="AB306" s="1949">
        <v>1066667</v>
      </c>
      <c r="AC306" s="1824">
        <f t="shared" si="86"/>
        <v>1066667</v>
      </c>
      <c r="AD306" s="1825">
        <f t="shared" si="87"/>
        <v>4266666</v>
      </c>
      <c r="AF306" s="848" t="s">
        <v>325</v>
      </c>
      <c r="AG306" s="1291" t="s">
        <v>1574</v>
      </c>
      <c r="AH306" s="1059" t="s">
        <v>916</v>
      </c>
      <c r="AI306" s="1048">
        <f t="shared" si="83"/>
        <v>331</v>
      </c>
      <c r="AJ306" s="849">
        <v>5333333</v>
      </c>
      <c r="AK306" s="851">
        <f t="shared" si="84"/>
        <v>0</v>
      </c>
      <c r="AL306" s="845"/>
      <c r="AM306" s="1518">
        <f t="shared" si="85"/>
        <v>0</v>
      </c>
    </row>
    <row r="307" spans="1:39" s="633" customFormat="1">
      <c r="A307" s="665" t="s">
        <v>162</v>
      </c>
      <c r="B307" s="1971">
        <f t="shared" si="88"/>
        <v>19680000</v>
      </c>
      <c r="C307" s="261" t="s">
        <v>36</v>
      </c>
      <c r="D307" s="262" t="s">
        <v>831</v>
      </c>
      <c r="E307" s="262" t="s">
        <v>1651</v>
      </c>
      <c r="F307" s="262" t="s">
        <v>1652</v>
      </c>
      <c r="G307" s="262" t="s">
        <v>79</v>
      </c>
      <c r="H307" s="2162" t="s">
        <v>1644</v>
      </c>
      <c r="I307" s="2142">
        <v>359</v>
      </c>
      <c r="J307" s="1720">
        <v>0</v>
      </c>
      <c r="K307" s="1721"/>
      <c r="L307" s="1652">
        <v>45</v>
      </c>
      <c r="M307" s="1659">
        <f>48000000-28320000</f>
        <v>19680000</v>
      </c>
      <c r="N307" s="1593">
        <v>54</v>
      </c>
      <c r="O307" s="1659">
        <f>48000000-28320000</f>
        <v>19680000</v>
      </c>
      <c r="P307" s="1655">
        <v>31</v>
      </c>
      <c r="Q307" s="1851"/>
      <c r="R307" s="1852">
        <v>2080000</v>
      </c>
      <c r="S307" s="1852">
        <f>VLOOKUP(N307,[9]Hoja2!N$2:T$77,7,0)</f>
        <v>4800000</v>
      </c>
      <c r="T307" s="1852">
        <v>4800000</v>
      </c>
      <c r="U307" s="1852">
        <v>4800000</v>
      </c>
      <c r="V307" s="1852">
        <v>3200000</v>
      </c>
      <c r="W307" s="1852"/>
      <c r="X307" s="1852"/>
      <c r="Y307" s="1852"/>
      <c r="Z307" s="1852"/>
      <c r="AA307" s="1852"/>
      <c r="AB307" s="1949"/>
      <c r="AC307" s="1824">
        <f t="shared" si="86"/>
        <v>19680000</v>
      </c>
      <c r="AD307" s="1825">
        <f t="shared" si="87"/>
        <v>0</v>
      </c>
      <c r="AF307" s="848">
        <v>359</v>
      </c>
      <c r="AG307" s="1291" t="s">
        <v>477</v>
      </c>
      <c r="AH307" s="1059" t="s">
        <v>525</v>
      </c>
      <c r="AI307" s="1048">
        <f t="shared" si="83"/>
        <v>31</v>
      </c>
      <c r="AJ307" s="849">
        <f>48000000-28320000</f>
        <v>19680000</v>
      </c>
      <c r="AK307" s="851">
        <f t="shared" si="84"/>
        <v>0</v>
      </c>
      <c r="AL307" s="845"/>
      <c r="AM307" s="1518">
        <f t="shared" si="85"/>
        <v>0</v>
      </c>
    </row>
    <row r="308" spans="1:39" s="633" customFormat="1" ht="15">
      <c r="A308" s="665" t="s">
        <v>162</v>
      </c>
      <c r="B308" s="1971">
        <f t="shared" si="88"/>
        <v>32960000</v>
      </c>
      <c r="C308" s="261" t="s">
        <v>36</v>
      </c>
      <c r="D308" s="262" t="s">
        <v>831</v>
      </c>
      <c r="E308" s="262" t="s">
        <v>1651</v>
      </c>
      <c r="F308" s="262" t="s">
        <v>1652</v>
      </c>
      <c r="G308" s="262" t="s">
        <v>79</v>
      </c>
      <c r="H308" s="2162" t="s">
        <v>1644</v>
      </c>
      <c r="I308" s="2142">
        <v>360</v>
      </c>
      <c r="J308" s="1720">
        <v>0</v>
      </c>
      <c r="K308" s="1675"/>
      <c r="L308" s="1652">
        <v>355</v>
      </c>
      <c r="M308" s="1659">
        <v>32960000</v>
      </c>
      <c r="N308" s="1703">
        <v>351</v>
      </c>
      <c r="O308" s="1604">
        <v>32960000</v>
      </c>
      <c r="P308" s="1655">
        <v>285</v>
      </c>
      <c r="Q308" s="1851"/>
      <c r="R308" s="1852"/>
      <c r="S308" s="1852"/>
      <c r="T308" s="1852">
        <v>2609333</v>
      </c>
      <c r="U308" s="1852">
        <v>4120000</v>
      </c>
      <c r="V308" s="1852">
        <v>4120000</v>
      </c>
      <c r="W308" s="1852">
        <v>4120000</v>
      </c>
      <c r="X308" s="1852">
        <v>4120000</v>
      </c>
      <c r="Y308" s="1852">
        <v>4120000</v>
      </c>
      <c r="Z308" s="1852">
        <v>4120000</v>
      </c>
      <c r="AA308" s="1852">
        <v>4120000</v>
      </c>
      <c r="AB308" s="1949">
        <v>1510667</v>
      </c>
      <c r="AC308" s="1824">
        <f t="shared" si="86"/>
        <v>32960000</v>
      </c>
      <c r="AD308" s="1825">
        <f t="shared" si="87"/>
        <v>0</v>
      </c>
      <c r="AF308" s="848">
        <v>360</v>
      </c>
      <c r="AG308" s="1291" t="s">
        <v>478</v>
      </c>
      <c r="AH308" s="1059" t="s">
        <v>798</v>
      </c>
      <c r="AI308" s="1048">
        <f t="shared" si="83"/>
        <v>285</v>
      </c>
      <c r="AJ308" s="849">
        <v>32960000</v>
      </c>
      <c r="AK308" s="851">
        <f t="shared" si="84"/>
        <v>0</v>
      </c>
      <c r="AL308" s="845"/>
      <c r="AM308" s="1518">
        <f t="shared" si="85"/>
        <v>0</v>
      </c>
    </row>
    <row r="309" spans="1:39" s="633" customFormat="1">
      <c r="A309" s="665" t="s">
        <v>162</v>
      </c>
      <c r="B309" s="1971">
        <f t="shared" si="88"/>
        <v>0</v>
      </c>
      <c r="C309" s="261" t="s">
        <v>36</v>
      </c>
      <c r="D309" s="262" t="s">
        <v>831</v>
      </c>
      <c r="E309" s="262" t="s">
        <v>1651</v>
      </c>
      <c r="F309" s="262" t="s">
        <v>1652</v>
      </c>
      <c r="G309" s="262" t="s">
        <v>79</v>
      </c>
      <c r="H309" s="2162" t="s">
        <v>1644</v>
      </c>
      <c r="I309" s="2142" t="s">
        <v>325</v>
      </c>
      <c r="J309" s="1720">
        <v>672</v>
      </c>
      <c r="K309" s="1721">
        <v>6729333</v>
      </c>
      <c r="L309" s="1652">
        <v>766</v>
      </c>
      <c r="M309" s="1659">
        <f>6729333-6729333</f>
        <v>0</v>
      </c>
      <c r="N309" s="1703"/>
      <c r="O309" s="1604"/>
      <c r="P309" s="1655">
        <v>285</v>
      </c>
      <c r="Q309" s="1851"/>
      <c r="R309" s="1852"/>
      <c r="S309" s="1852"/>
      <c r="T309" s="1852"/>
      <c r="U309" s="1852"/>
      <c r="V309" s="1852"/>
      <c r="W309" s="1852"/>
      <c r="X309" s="1852"/>
      <c r="Y309" s="1852"/>
      <c r="Z309" s="1852"/>
      <c r="AA309" s="1852"/>
      <c r="AB309" s="1949"/>
      <c r="AC309" s="1824">
        <f t="shared" si="86"/>
        <v>0</v>
      </c>
      <c r="AD309" s="1825">
        <f t="shared" si="87"/>
        <v>0</v>
      </c>
      <c r="AF309" s="848" t="s">
        <v>325</v>
      </c>
      <c r="AG309" s="1291" t="s">
        <v>1323</v>
      </c>
      <c r="AH309" s="1059" t="s">
        <v>798</v>
      </c>
      <c r="AI309" s="1048">
        <f t="shared" si="83"/>
        <v>285</v>
      </c>
      <c r="AJ309" s="849">
        <f>6729333-6729333</f>
        <v>0</v>
      </c>
      <c r="AK309" s="851">
        <f t="shared" si="84"/>
        <v>0</v>
      </c>
      <c r="AL309" s="845"/>
      <c r="AM309" s="1518">
        <f t="shared" si="85"/>
        <v>0</v>
      </c>
    </row>
    <row r="310" spans="1:39" s="633" customFormat="1" ht="15">
      <c r="A310" s="665" t="s">
        <v>162</v>
      </c>
      <c r="B310" s="1971">
        <f t="shared" si="88"/>
        <v>84700000</v>
      </c>
      <c r="C310" s="261" t="s">
        <v>36</v>
      </c>
      <c r="D310" s="262" t="s">
        <v>831</v>
      </c>
      <c r="E310" s="262" t="s">
        <v>1651</v>
      </c>
      <c r="F310" s="262" t="s">
        <v>1652</v>
      </c>
      <c r="G310" s="262" t="s">
        <v>79</v>
      </c>
      <c r="H310" s="2162" t="s">
        <v>1644</v>
      </c>
      <c r="I310" s="2142">
        <v>361</v>
      </c>
      <c r="J310" s="1720">
        <v>0</v>
      </c>
      <c r="K310" s="1675"/>
      <c r="L310" s="1652">
        <v>209</v>
      </c>
      <c r="M310" s="1659">
        <f>96250000-11550000</f>
        <v>84700000</v>
      </c>
      <c r="N310" s="1593">
        <v>203</v>
      </c>
      <c r="O310" s="1604">
        <v>84700000</v>
      </c>
      <c r="P310" s="1655">
        <v>205</v>
      </c>
      <c r="Q310" s="1851"/>
      <c r="R310" s="1852"/>
      <c r="S310" s="1852">
        <f>VLOOKUP(N310,[9]Hoja2!N$2:T$77,7,0)</f>
        <v>7700000</v>
      </c>
      <c r="T310" s="1852">
        <v>7700000</v>
      </c>
      <c r="U310" s="1852">
        <v>7700000</v>
      </c>
      <c r="V310" s="1852">
        <v>7700000</v>
      </c>
      <c r="W310" s="1852">
        <v>7700000</v>
      </c>
      <c r="X310" s="1852">
        <v>7700000</v>
      </c>
      <c r="Y310" s="1852">
        <v>7700000</v>
      </c>
      <c r="Z310" s="1852">
        <v>7700000</v>
      </c>
      <c r="AA310" s="1852">
        <v>7700000</v>
      </c>
      <c r="AB310" s="1949"/>
      <c r="AC310" s="1824">
        <f t="shared" si="86"/>
        <v>69300000</v>
      </c>
      <c r="AD310" s="1825">
        <f t="shared" si="87"/>
        <v>15400000</v>
      </c>
      <c r="AF310" s="848">
        <v>361</v>
      </c>
      <c r="AG310" s="1291" t="s">
        <v>479</v>
      </c>
      <c r="AH310" s="1059" t="s">
        <v>526</v>
      </c>
      <c r="AI310" s="1048">
        <f t="shared" si="83"/>
        <v>205</v>
      </c>
      <c r="AJ310" s="849">
        <f>96250000-11550000</f>
        <v>84700000</v>
      </c>
      <c r="AK310" s="851">
        <f t="shared" si="84"/>
        <v>0</v>
      </c>
      <c r="AL310" s="845"/>
      <c r="AM310" s="1518">
        <f t="shared" si="85"/>
        <v>0</v>
      </c>
    </row>
    <row r="311" spans="1:39" s="633" customFormat="1" ht="15">
      <c r="A311" s="665" t="s">
        <v>162</v>
      </c>
      <c r="B311" s="1971">
        <f t="shared" si="88"/>
        <v>51500000</v>
      </c>
      <c r="C311" s="261" t="s">
        <v>36</v>
      </c>
      <c r="D311" s="262" t="s">
        <v>831</v>
      </c>
      <c r="E311" s="262" t="s">
        <v>1651</v>
      </c>
      <c r="F311" s="262" t="s">
        <v>1652</v>
      </c>
      <c r="G311" s="262" t="s">
        <v>79</v>
      </c>
      <c r="H311" s="2162" t="s">
        <v>1644</v>
      </c>
      <c r="I311" s="2142">
        <v>362</v>
      </c>
      <c r="J311" s="1720">
        <v>0</v>
      </c>
      <c r="K311" s="1675"/>
      <c r="L311" s="1652">
        <v>52</v>
      </c>
      <c r="M311" s="1659">
        <v>51500000</v>
      </c>
      <c r="N311" s="1593">
        <v>97</v>
      </c>
      <c r="O311" s="1604">
        <v>51500000</v>
      </c>
      <c r="P311" s="1655">
        <v>67</v>
      </c>
      <c r="Q311" s="1851"/>
      <c r="R311" s="1852">
        <v>1545000</v>
      </c>
      <c r="S311" s="1852">
        <f>VLOOKUP(N311,[9]Hoja2!N$2:T$77,7,0)</f>
        <v>5150000</v>
      </c>
      <c r="T311" s="1852">
        <v>5150000</v>
      </c>
      <c r="U311" s="1852">
        <v>5150000</v>
      </c>
      <c r="V311" s="1852">
        <v>5150000</v>
      </c>
      <c r="W311" s="1852">
        <v>5150000</v>
      </c>
      <c r="X311" s="1852">
        <v>5150000</v>
      </c>
      <c r="Y311" s="1852">
        <v>5150000</v>
      </c>
      <c r="Z311" s="1852">
        <v>5150000</v>
      </c>
      <c r="AA311" s="1852">
        <v>5150000</v>
      </c>
      <c r="AB311" s="1949">
        <v>3605000</v>
      </c>
      <c r="AC311" s="1824">
        <f t="shared" si="86"/>
        <v>51500000</v>
      </c>
      <c r="AD311" s="1825">
        <f t="shared" si="87"/>
        <v>0</v>
      </c>
      <c r="AF311" s="848">
        <v>362</v>
      </c>
      <c r="AG311" s="1291" t="s">
        <v>480</v>
      </c>
      <c r="AH311" s="1059" t="s">
        <v>527</v>
      </c>
      <c r="AI311" s="1048">
        <f t="shared" si="83"/>
        <v>67</v>
      </c>
      <c r="AJ311" s="849">
        <v>51500000</v>
      </c>
      <c r="AK311" s="851">
        <f t="shared" si="84"/>
        <v>0</v>
      </c>
      <c r="AL311" s="845"/>
      <c r="AM311" s="1518">
        <f t="shared" si="85"/>
        <v>0</v>
      </c>
    </row>
    <row r="312" spans="1:39" s="633" customFormat="1">
      <c r="A312" s="665" t="s">
        <v>162</v>
      </c>
      <c r="B312" s="1971">
        <f t="shared" si="88"/>
        <v>6695000</v>
      </c>
      <c r="C312" s="261" t="s">
        <v>36</v>
      </c>
      <c r="D312" s="262" t="s">
        <v>831</v>
      </c>
      <c r="E312" s="262" t="s">
        <v>1651</v>
      </c>
      <c r="F312" s="262" t="s">
        <v>1652</v>
      </c>
      <c r="G312" s="262" t="s">
        <v>79</v>
      </c>
      <c r="H312" s="2162" t="s">
        <v>1644</v>
      </c>
      <c r="I312" s="2142" t="s">
        <v>325</v>
      </c>
      <c r="J312" s="1720">
        <v>708</v>
      </c>
      <c r="K312" s="1721">
        <v>6695000</v>
      </c>
      <c r="L312" s="1652">
        <v>808</v>
      </c>
      <c r="M312" s="1659">
        <v>6695000</v>
      </c>
      <c r="N312" s="1593">
        <v>984</v>
      </c>
      <c r="O312" s="1604">
        <v>6695000</v>
      </c>
      <c r="P312" s="1655">
        <v>67</v>
      </c>
      <c r="Q312" s="1851"/>
      <c r="R312" s="1852"/>
      <c r="S312" s="1852"/>
      <c r="T312" s="1852"/>
      <c r="U312" s="1852"/>
      <c r="V312" s="1852"/>
      <c r="W312" s="1852"/>
      <c r="X312" s="1852"/>
      <c r="Y312" s="1852"/>
      <c r="Z312" s="1852"/>
      <c r="AA312" s="1852"/>
      <c r="AB312" s="1949">
        <f>1545000+5150000</f>
        <v>6695000</v>
      </c>
      <c r="AC312" s="1824">
        <f t="shared" si="86"/>
        <v>6695000</v>
      </c>
      <c r="AD312" s="1825">
        <f t="shared" si="87"/>
        <v>0</v>
      </c>
      <c r="AF312" s="848" t="s">
        <v>325</v>
      </c>
      <c r="AG312" s="1291" t="s">
        <v>1412</v>
      </c>
      <c r="AH312" s="1059" t="s">
        <v>527</v>
      </c>
      <c r="AI312" s="1048">
        <f t="shared" si="83"/>
        <v>67</v>
      </c>
      <c r="AJ312" s="849">
        <v>6695000</v>
      </c>
      <c r="AK312" s="851">
        <f t="shared" si="84"/>
        <v>0</v>
      </c>
      <c r="AL312" s="845"/>
      <c r="AM312" s="1518">
        <f t="shared" si="85"/>
        <v>0</v>
      </c>
    </row>
    <row r="313" spans="1:39" s="633" customFormat="1">
      <c r="A313" s="665" t="s">
        <v>162</v>
      </c>
      <c r="B313" s="1971">
        <f t="shared" si="88"/>
        <v>66000000</v>
      </c>
      <c r="C313" s="261" t="s">
        <v>36</v>
      </c>
      <c r="D313" s="262" t="s">
        <v>831</v>
      </c>
      <c r="E313" s="262" t="s">
        <v>1651</v>
      </c>
      <c r="F313" s="262" t="s">
        <v>1652</v>
      </c>
      <c r="G313" s="262" t="s">
        <v>79</v>
      </c>
      <c r="H313" s="2162" t="s">
        <v>1644</v>
      </c>
      <c r="I313" s="2142">
        <v>363</v>
      </c>
      <c r="J313" s="1720">
        <v>0</v>
      </c>
      <c r="K313" s="1721"/>
      <c r="L313" s="1652">
        <v>210</v>
      </c>
      <c r="M313" s="1659">
        <v>66000000</v>
      </c>
      <c r="N313" s="1593">
        <v>238</v>
      </c>
      <c r="O313" s="1604">
        <v>66000000</v>
      </c>
      <c r="P313" s="1655">
        <v>224</v>
      </c>
      <c r="Q313" s="1851"/>
      <c r="R313" s="1852"/>
      <c r="S313" s="1852">
        <f>VLOOKUP(N313,[9]Hoja2!N$2:T$77,7,0)</f>
        <v>5500000</v>
      </c>
      <c r="T313" s="1852">
        <v>6600000</v>
      </c>
      <c r="U313" s="1852">
        <v>6600000</v>
      </c>
      <c r="V313" s="1852">
        <v>6600000</v>
      </c>
      <c r="W313" s="1852">
        <v>6600000</v>
      </c>
      <c r="X313" s="1852">
        <v>6600000</v>
      </c>
      <c r="Y313" s="1852">
        <v>6600000</v>
      </c>
      <c r="Z313" s="1852">
        <v>6600000</v>
      </c>
      <c r="AA313" s="1852">
        <v>6600000</v>
      </c>
      <c r="AB313" s="1949">
        <f>5940000+1760000</f>
        <v>7700000</v>
      </c>
      <c r="AC313" s="1824">
        <f t="shared" si="86"/>
        <v>66000000</v>
      </c>
      <c r="AD313" s="1825">
        <f t="shared" si="87"/>
        <v>0</v>
      </c>
      <c r="AF313" s="848">
        <v>363</v>
      </c>
      <c r="AG313" s="1291" t="s">
        <v>481</v>
      </c>
      <c r="AH313" s="1059" t="s">
        <v>731</v>
      </c>
      <c r="AI313" s="1048">
        <f t="shared" si="83"/>
        <v>224</v>
      </c>
      <c r="AJ313" s="849">
        <v>66000000</v>
      </c>
      <c r="AK313" s="851">
        <f t="shared" si="84"/>
        <v>0</v>
      </c>
      <c r="AL313" s="845"/>
      <c r="AM313" s="1518">
        <f t="shared" si="85"/>
        <v>0</v>
      </c>
    </row>
    <row r="314" spans="1:39" s="633" customFormat="1">
      <c r="A314" s="665" t="s">
        <v>162</v>
      </c>
      <c r="B314" s="1971">
        <f t="shared" si="88"/>
        <v>4840000</v>
      </c>
      <c r="C314" s="261" t="s">
        <v>36</v>
      </c>
      <c r="D314" s="262" t="s">
        <v>831</v>
      </c>
      <c r="E314" s="262" t="s">
        <v>1651</v>
      </c>
      <c r="F314" s="262" t="s">
        <v>1652</v>
      </c>
      <c r="G314" s="262" t="s">
        <v>79</v>
      </c>
      <c r="H314" s="2162" t="s">
        <v>1644</v>
      </c>
      <c r="I314" s="2142" t="s">
        <v>325</v>
      </c>
      <c r="J314" s="1720">
        <v>741</v>
      </c>
      <c r="K314" s="1721">
        <v>4840000</v>
      </c>
      <c r="L314" s="1652">
        <v>849</v>
      </c>
      <c r="M314" s="1742">
        <v>4840000</v>
      </c>
      <c r="N314" s="1652">
        <v>1025</v>
      </c>
      <c r="O314" s="1604">
        <v>4840000</v>
      </c>
      <c r="P314" s="1655">
        <v>224</v>
      </c>
      <c r="Q314" s="1851"/>
      <c r="R314" s="1852"/>
      <c r="S314" s="1852"/>
      <c r="T314" s="1852"/>
      <c r="U314" s="1852"/>
      <c r="V314" s="1852"/>
      <c r="W314" s="1852"/>
      <c r="X314" s="1852"/>
      <c r="Y314" s="1852"/>
      <c r="Z314" s="1852"/>
      <c r="AA314" s="1852"/>
      <c r="AB314" s="1949">
        <v>4840000</v>
      </c>
      <c r="AC314" s="1824">
        <f t="shared" si="86"/>
        <v>4840000</v>
      </c>
      <c r="AD314" s="1825">
        <f t="shared" si="87"/>
        <v>0</v>
      </c>
      <c r="AF314" s="848" t="s">
        <v>325</v>
      </c>
      <c r="AG314" s="1291" t="s">
        <v>1525</v>
      </c>
      <c r="AH314" s="1059" t="s">
        <v>731</v>
      </c>
      <c r="AI314" s="1048">
        <f t="shared" si="83"/>
        <v>224</v>
      </c>
      <c r="AJ314" s="849">
        <v>4840000</v>
      </c>
      <c r="AK314" s="851">
        <f t="shared" si="84"/>
        <v>0</v>
      </c>
      <c r="AL314" s="845"/>
      <c r="AM314" s="1518">
        <f t="shared" si="85"/>
        <v>0</v>
      </c>
    </row>
    <row r="315" spans="1:39" s="633" customFormat="1">
      <c r="A315" s="665" t="s">
        <v>162</v>
      </c>
      <c r="B315" s="1971">
        <f t="shared" si="88"/>
        <v>40636970</v>
      </c>
      <c r="C315" s="261" t="s">
        <v>36</v>
      </c>
      <c r="D315" s="262" t="s">
        <v>831</v>
      </c>
      <c r="E315" s="262" t="s">
        <v>1651</v>
      </c>
      <c r="F315" s="262" t="s">
        <v>1652</v>
      </c>
      <c r="G315" s="262" t="s">
        <v>79</v>
      </c>
      <c r="H315" s="2162" t="s">
        <v>1644</v>
      </c>
      <c r="I315" s="1893">
        <v>364</v>
      </c>
      <c r="J315" s="1720">
        <v>0</v>
      </c>
      <c r="K315" s="1721"/>
      <c r="L315" s="1652">
        <v>555</v>
      </c>
      <c r="M315" s="1915">
        <v>40636970</v>
      </c>
      <c r="N315" s="1703">
        <v>764</v>
      </c>
      <c r="O315" s="1604">
        <v>40636970</v>
      </c>
      <c r="P315" s="1655">
        <v>437</v>
      </c>
      <c r="Q315" s="1851"/>
      <c r="R315" s="1852"/>
      <c r="S315" s="1852"/>
      <c r="T315" s="1852"/>
      <c r="U315" s="1852"/>
      <c r="V315" s="1852"/>
      <c r="W315" s="1852"/>
      <c r="X315" s="1852"/>
      <c r="Y315" s="1852"/>
      <c r="Z315" s="1852">
        <v>40635780</v>
      </c>
      <c r="AA315" s="1852"/>
      <c r="AB315" s="1949"/>
      <c r="AC315" s="1824">
        <f t="shared" si="86"/>
        <v>40635780</v>
      </c>
      <c r="AD315" s="1825">
        <f t="shared" si="87"/>
        <v>1190</v>
      </c>
      <c r="AF315" s="848">
        <v>364</v>
      </c>
      <c r="AG315" s="1291" t="s">
        <v>482</v>
      </c>
      <c r="AH315" s="1059" t="s">
        <v>1213</v>
      </c>
      <c r="AI315" s="1048">
        <f t="shared" si="83"/>
        <v>437</v>
      </c>
      <c r="AJ315" s="849">
        <f>60636970-20000000</f>
        <v>40636970</v>
      </c>
      <c r="AK315" s="851">
        <f t="shared" si="84"/>
        <v>0</v>
      </c>
      <c r="AL315" s="845"/>
      <c r="AM315" s="1518">
        <f t="shared" si="85"/>
        <v>0</v>
      </c>
    </row>
    <row r="316" spans="1:39" s="633" customFormat="1">
      <c r="A316" s="665" t="s">
        <v>162</v>
      </c>
      <c r="B316" s="1971">
        <f t="shared" si="88"/>
        <v>17773200</v>
      </c>
      <c r="C316" s="261" t="s">
        <v>36</v>
      </c>
      <c r="D316" s="262" t="s">
        <v>831</v>
      </c>
      <c r="E316" s="262" t="s">
        <v>1651</v>
      </c>
      <c r="F316" s="262" t="s">
        <v>1652</v>
      </c>
      <c r="G316" s="262" t="s">
        <v>79</v>
      </c>
      <c r="H316" s="2162" t="s">
        <v>1644</v>
      </c>
      <c r="I316" s="2142" t="s">
        <v>739</v>
      </c>
      <c r="J316" s="1314" t="s">
        <v>1588</v>
      </c>
      <c r="K316" s="1610">
        <f>409200+1301600+1666800+1682100+1874200+1785100+1548400+1663800+1663800+1861500+1250100+1066600</f>
        <v>17773200</v>
      </c>
      <c r="L316" s="1658" t="s">
        <v>1570</v>
      </c>
      <c r="M316" s="1610">
        <f>409200+1301600+1666800+1682100+1874200+1785100+1548400+1663800+1663800+1861500+1250100+1066600</f>
        <v>17773200</v>
      </c>
      <c r="N316" s="1671" t="s">
        <v>1602</v>
      </c>
      <c r="O316" s="1610">
        <f>409200+1301600+1666800+1682100+1874200+1785100+1548400+1663800+1663800+1861500+1250100+1066600</f>
        <v>17773200</v>
      </c>
      <c r="P316" s="1655" t="s">
        <v>739</v>
      </c>
      <c r="Q316" s="1851"/>
      <c r="R316" s="1915">
        <v>409200</v>
      </c>
      <c r="S316" s="1852">
        <v>1301600</v>
      </c>
      <c r="T316" s="1852">
        <v>1666800</v>
      </c>
      <c r="U316" s="1852">
        <v>1682100</v>
      </c>
      <c r="V316" s="1852">
        <v>1874200</v>
      </c>
      <c r="W316" s="1852">
        <v>1785100</v>
      </c>
      <c r="X316" s="1852">
        <v>1548400</v>
      </c>
      <c r="Y316" s="1852">
        <v>1663800</v>
      </c>
      <c r="Z316" s="1852">
        <v>1663800</v>
      </c>
      <c r="AA316" s="1852">
        <v>1861500</v>
      </c>
      <c r="AB316" s="1949">
        <f>1250100+1066600</f>
        <v>2316700</v>
      </c>
      <c r="AC316" s="1824">
        <f t="shared" si="86"/>
        <v>17773200</v>
      </c>
      <c r="AD316" s="1825">
        <f t="shared" si="87"/>
        <v>0</v>
      </c>
      <c r="AF316" s="848" t="s">
        <v>148</v>
      </c>
      <c r="AG316" s="1291" t="s">
        <v>180</v>
      </c>
      <c r="AH316" s="1059" t="s">
        <v>173</v>
      </c>
      <c r="AI316" s="1048" t="str">
        <f t="shared" si="83"/>
        <v>ARL</v>
      </c>
      <c r="AJ316" s="849">
        <f>12301663+3482000+1534337+1861500</f>
        <v>19179500</v>
      </c>
      <c r="AK316" s="851">
        <f t="shared" si="84"/>
        <v>1406300</v>
      </c>
      <c r="AL316" s="845"/>
      <c r="AM316" s="1518">
        <f t="shared" si="85"/>
        <v>1406300</v>
      </c>
    </row>
    <row r="317" spans="1:39" s="633" customFormat="1" ht="15">
      <c r="A317" s="665" t="s">
        <v>162</v>
      </c>
      <c r="B317" s="1971">
        <f t="shared" si="88"/>
        <v>5000000</v>
      </c>
      <c r="C317" s="261" t="s">
        <v>36</v>
      </c>
      <c r="D317" s="262" t="s">
        <v>831</v>
      </c>
      <c r="E317" s="262" t="s">
        <v>1651</v>
      </c>
      <c r="F317" s="262" t="s">
        <v>1652</v>
      </c>
      <c r="G317" s="262" t="s">
        <v>79</v>
      </c>
      <c r="H317" s="2162" t="s">
        <v>1644</v>
      </c>
      <c r="I317" s="1736">
        <v>503</v>
      </c>
      <c r="J317" s="1737">
        <v>0</v>
      </c>
      <c r="K317" s="1738"/>
      <c r="L317" s="1739">
        <v>569</v>
      </c>
      <c r="M317" s="1915">
        <v>5000000</v>
      </c>
      <c r="N317" s="1703">
        <v>685</v>
      </c>
      <c r="O317" s="1604">
        <v>5000000</v>
      </c>
      <c r="P317" s="1655">
        <v>417</v>
      </c>
      <c r="Q317" s="1851"/>
      <c r="R317" s="1852"/>
      <c r="S317" s="1852"/>
      <c r="T317" s="1852"/>
      <c r="U317" s="1852"/>
      <c r="V317" s="1852"/>
      <c r="W317" s="1852"/>
      <c r="X317" s="1852"/>
      <c r="Y317" s="1852"/>
      <c r="Z317" s="1852">
        <v>5000000</v>
      </c>
      <c r="AA317" s="1852"/>
      <c r="AB317" s="1949"/>
      <c r="AC317" s="1824">
        <f t="shared" si="86"/>
        <v>5000000</v>
      </c>
      <c r="AD317" s="1825">
        <f t="shared" si="87"/>
        <v>0</v>
      </c>
      <c r="AF317" s="848">
        <v>503</v>
      </c>
      <c r="AG317" s="1291" t="s">
        <v>886</v>
      </c>
      <c r="AH317" s="1059" t="s">
        <v>1118</v>
      </c>
      <c r="AI317" s="1048">
        <f t="shared" si="83"/>
        <v>417</v>
      </c>
      <c r="AJ317" s="849">
        <v>5000000</v>
      </c>
      <c r="AK317" s="851">
        <f t="shared" si="84"/>
        <v>0</v>
      </c>
      <c r="AL317" s="845"/>
      <c r="AM317" s="1518">
        <f t="shared" si="85"/>
        <v>0</v>
      </c>
    </row>
    <row r="318" spans="1:39" s="633" customFormat="1" ht="15">
      <c r="A318" s="665" t="s">
        <v>162</v>
      </c>
      <c r="B318" s="1971">
        <f t="shared" si="88"/>
        <v>3240000</v>
      </c>
      <c r="C318" s="261" t="s">
        <v>36</v>
      </c>
      <c r="D318" s="262" t="s">
        <v>831</v>
      </c>
      <c r="E318" s="262" t="s">
        <v>1651</v>
      </c>
      <c r="F318" s="262" t="s">
        <v>1652</v>
      </c>
      <c r="G318" s="262" t="s">
        <v>79</v>
      </c>
      <c r="H318" s="2162" t="s">
        <v>1644</v>
      </c>
      <c r="I318" s="1656">
        <v>504</v>
      </c>
      <c r="J318" s="1720"/>
      <c r="K318" s="1675"/>
      <c r="L318" s="1739">
        <v>622</v>
      </c>
      <c r="M318" s="1723">
        <v>3240000</v>
      </c>
      <c r="N318" s="1703">
        <v>738</v>
      </c>
      <c r="O318" s="1604">
        <v>3240000</v>
      </c>
      <c r="P318" s="1655">
        <v>439</v>
      </c>
      <c r="Q318" s="1851"/>
      <c r="R318" s="1852"/>
      <c r="S318" s="1852"/>
      <c r="T318" s="1852"/>
      <c r="U318" s="1852"/>
      <c r="V318" s="1852"/>
      <c r="W318" s="1852"/>
      <c r="X318" s="1852"/>
      <c r="Y318" s="1852"/>
      <c r="Z318" s="1852"/>
      <c r="AA318" s="1852"/>
      <c r="AB318" s="1949">
        <f>216000+3024000</f>
        <v>3240000</v>
      </c>
      <c r="AC318" s="1824">
        <f t="shared" si="86"/>
        <v>3240000</v>
      </c>
      <c r="AD318" s="1825">
        <f t="shared" si="87"/>
        <v>0</v>
      </c>
      <c r="AF318" s="848">
        <v>504</v>
      </c>
      <c r="AG318" s="1291" t="s">
        <v>1087</v>
      </c>
      <c r="AH318" s="1059" t="s">
        <v>1204</v>
      </c>
      <c r="AI318" s="1048">
        <f t="shared" si="83"/>
        <v>439</v>
      </c>
      <c r="AJ318" s="849">
        <v>3240000</v>
      </c>
      <c r="AK318" s="851">
        <f t="shared" si="84"/>
        <v>0</v>
      </c>
      <c r="AL318" s="845"/>
      <c r="AM318" s="1518">
        <f t="shared" si="85"/>
        <v>0</v>
      </c>
    </row>
    <row r="319" spans="1:39" s="633" customFormat="1" ht="15">
      <c r="A319" s="665" t="s">
        <v>162</v>
      </c>
      <c r="B319" s="1971">
        <f t="shared" si="88"/>
        <v>0</v>
      </c>
      <c r="C319" s="261" t="s">
        <v>36</v>
      </c>
      <c r="D319" s="262" t="s">
        <v>831</v>
      </c>
      <c r="E319" s="262" t="s">
        <v>1651</v>
      </c>
      <c r="F319" s="262" t="s">
        <v>1652</v>
      </c>
      <c r="G319" s="262" t="s">
        <v>79</v>
      </c>
      <c r="H319" s="2162" t="s">
        <v>1644</v>
      </c>
      <c r="I319" s="1656">
        <v>506</v>
      </c>
      <c r="J319" s="1720"/>
      <c r="K319" s="1675"/>
      <c r="L319" s="1739"/>
      <c r="M319" s="1723"/>
      <c r="N319" s="1703"/>
      <c r="O319" s="1604"/>
      <c r="P319" s="1655"/>
      <c r="Q319" s="1851"/>
      <c r="R319" s="1852"/>
      <c r="S319" s="1852"/>
      <c r="T319" s="1852"/>
      <c r="U319" s="1852"/>
      <c r="V319" s="1852"/>
      <c r="W319" s="1852"/>
      <c r="X319" s="1852"/>
      <c r="Y319" s="1852"/>
      <c r="Z319" s="1852"/>
      <c r="AA319" s="1852"/>
      <c r="AB319" s="1949"/>
      <c r="AC319" s="1824">
        <f t="shared" si="86"/>
        <v>0</v>
      </c>
      <c r="AD319" s="1825">
        <f t="shared" si="87"/>
        <v>0</v>
      </c>
      <c r="AF319" s="848">
        <v>506</v>
      </c>
      <c r="AG319" s="1291" t="s">
        <v>957</v>
      </c>
      <c r="AH319" s="1059" t="s">
        <v>173</v>
      </c>
      <c r="AI319" s="1048">
        <f t="shared" si="83"/>
        <v>0</v>
      </c>
      <c r="AJ319" s="849">
        <f>2630000+2630000-2020000-3240000</f>
        <v>0</v>
      </c>
      <c r="AK319" s="851">
        <f t="shared" si="84"/>
        <v>0</v>
      </c>
      <c r="AL319" s="845"/>
      <c r="AM319" s="1518">
        <f t="shared" si="85"/>
        <v>0</v>
      </c>
    </row>
    <row r="320" spans="1:39" s="633" customFormat="1" ht="15">
      <c r="A320" s="665" t="s">
        <v>162</v>
      </c>
      <c r="B320" s="1971">
        <f t="shared" si="88"/>
        <v>3940000</v>
      </c>
      <c r="C320" s="261" t="s">
        <v>36</v>
      </c>
      <c r="D320" s="262" t="s">
        <v>831</v>
      </c>
      <c r="E320" s="262" t="s">
        <v>1651</v>
      </c>
      <c r="F320" s="262" t="s">
        <v>1652</v>
      </c>
      <c r="G320" s="262" t="s">
        <v>79</v>
      </c>
      <c r="H320" s="2162" t="s">
        <v>1644</v>
      </c>
      <c r="I320" s="1656">
        <v>507</v>
      </c>
      <c r="J320" s="1720"/>
      <c r="K320" s="1675"/>
      <c r="L320" s="1739">
        <v>540</v>
      </c>
      <c r="M320" s="1723">
        <v>3940000</v>
      </c>
      <c r="N320" s="1703">
        <v>716</v>
      </c>
      <c r="O320" s="1604">
        <v>3940000</v>
      </c>
      <c r="P320" s="1655">
        <v>405</v>
      </c>
      <c r="Q320" s="1851"/>
      <c r="R320" s="1852"/>
      <c r="S320" s="1852"/>
      <c r="T320" s="1852"/>
      <c r="U320" s="1852"/>
      <c r="V320" s="1852"/>
      <c r="W320" s="1852"/>
      <c r="X320" s="1852"/>
      <c r="Y320" s="1852">
        <v>2364000</v>
      </c>
      <c r="Z320" s="1852">
        <v>1576000</v>
      </c>
      <c r="AA320" s="1852"/>
      <c r="AB320" s="1949"/>
      <c r="AC320" s="1824">
        <f t="shared" si="86"/>
        <v>3940000</v>
      </c>
      <c r="AD320" s="1825">
        <f t="shared" si="87"/>
        <v>0</v>
      </c>
      <c r="AF320" s="848">
        <v>507</v>
      </c>
      <c r="AG320" s="1291" t="s">
        <v>473</v>
      </c>
      <c r="AH320" s="1059" t="s">
        <v>1145</v>
      </c>
      <c r="AI320" s="1048">
        <f t="shared" si="83"/>
        <v>405</v>
      </c>
      <c r="AJ320" s="849">
        <f>1970000+1970000</f>
        <v>3940000</v>
      </c>
      <c r="AK320" s="851">
        <f t="shared" si="84"/>
        <v>0</v>
      </c>
      <c r="AL320" s="845"/>
      <c r="AM320" s="1518">
        <f t="shared" si="85"/>
        <v>0</v>
      </c>
    </row>
    <row r="321" spans="1:39" s="633" customFormat="1" ht="15">
      <c r="A321" s="665" t="s">
        <v>162</v>
      </c>
      <c r="B321" s="1971">
        <f t="shared" si="88"/>
        <v>3940000</v>
      </c>
      <c r="C321" s="261" t="s">
        <v>36</v>
      </c>
      <c r="D321" s="262" t="s">
        <v>831</v>
      </c>
      <c r="E321" s="262" t="s">
        <v>1651</v>
      </c>
      <c r="F321" s="262" t="s">
        <v>1652</v>
      </c>
      <c r="G321" s="262" t="s">
        <v>79</v>
      </c>
      <c r="H321" s="2162" t="s">
        <v>1644</v>
      </c>
      <c r="I321" s="1656">
        <v>508</v>
      </c>
      <c r="J321" s="1720"/>
      <c r="K321" s="1675"/>
      <c r="L321" s="1739">
        <v>565</v>
      </c>
      <c r="M321" s="1723">
        <v>3940000</v>
      </c>
      <c r="N321" s="1703">
        <v>729</v>
      </c>
      <c r="O321" s="1604">
        <v>3940000</v>
      </c>
      <c r="P321" s="1655">
        <v>408</v>
      </c>
      <c r="Q321" s="1851"/>
      <c r="R321" s="1852"/>
      <c r="S321" s="1852"/>
      <c r="T321" s="1852"/>
      <c r="U321" s="1852"/>
      <c r="V321" s="1852"/>
      <c r="W321" s="1852"/>
      <c r="X321" s="1852"/>
      <c r="Y321" s="1852">
        <v>1970000</v>
      </c>
      <c r="Z321" s="1852">
        <v>1970000</v>
      </c>
      <c r="AA321" s="1852"/>
      <c r="AB321" s="1949"/>
      <c r="AC321" s="1824">
        <f t="shared" si="86"/>
        <v>3940000</v>
      </c>
      <c r="AD321" s="1825">
        <f t="shared" si="87"/>
        <v>0</v>
      </c>
      <c r="AF321" s="848">
        <v>508</v>
      </c>
      <c r="AG321" s="1291" t="s">
        <v>473</v>
      </c>
      <c r="AH321" s="1059" t="s">
        <v>1144</v>
      </c>
      <c r="AI321" s="1048">
        <f t="shared" si="83"/>
        <v>408</v>
      </c>
      <c r="AJ321" s="849">
        <f>1970000+1970000</f>
        <v>3940000</v>
      </c>
      <c r="AK321" s="851">
        <f t="shared" si="84"/>
        <v>0</v>
      </c>
      <c r="AL321" s="845"/>
      <c r="AM321" s="1518">
        <f t="shared" si="85"/>
        <v>0</v>
      </c>
    </row>
    <row r="322" spans="1:39" s="633" customFormat="1" ht="15">
      <c r="A322" s="665" t="s">
        <v>162</v>
      </c>
      <c r="B322" s="1971">
        <f t="shared" si="88"/>
        <v>0</v>
      </c>
      <c r="C322" s="261" t="s">
        <v>36</v>
      </c>
      <c r="D322" s="262" t="s">
        <v>831</v>
      </c>
      <c r="E322" s="262" t="s">
        <v>1651</v>
      </c>
      <c r="F322" s="262" t="s">
        <v>1652</v>
      </c>
      <c r="G322" s="262" t="s">
        <v>79</v>
      </c>
      <c r="H322" s="2162" t="s">
        <v>1644</v>
      </c>
      <c r="I322" s="1656">
        <v>509</v>
      </c>
      <c r="J322" s="1720"/>
      <c r="K322" s="1675"/>
      <c r="L322" s="1739"/>
      <c r="M322" s="1723"/>
      <c r="N322" s="1703"/>
      <c r="O322" s="1604"/>
      <c r="P322" s="1655"/>
      <c r="Q322" s="1851"/>
      <c r="R322" s="1852"/>
      <c r="S322" s="1852"/>
      <c r="T322" s="1852"/>
      <c r="U322" s="1852"/>
      <c r="V322" s="1852"/>
      <c r="W322" s="1852"/>
      <c r="X322" s="1852"/>
      <c r="Y322" s="1852"/>
      <c r="Z322" s="1852"/>
      <c r="AA322" s="1852"/>
      <c r="AB322" s="1949"/>
      <c r="AC322" s="1824">
        <f t="shared" si="86"/>
        <v>0</v>
      </c>
      <c r="AD322" s="1825">
        <f t="shared" si="87"/>
        <v>0</v>
      </c>
      <c r="AF322" s="848">
        <v>509</v>
      </c>
      <c r="AG322" s="1291" t="s">
        <v>473</v>
      </c>
      <c r="AH322" s="1059" t="s">
        <v>173</v>
      </c>
      <c r="AI322" s="1048">
        <f t="shared" si="83"/>
        <v>0</v>
      </c>
      <c r="AJ322" s="849">
        <f>1970000+1970000-3940000</f>
        <v>0</v>
      </c>
      <c r="AK322" s="851">
        <f t="shared" si="84"/>
        <v>0</v>
      </c>
      <c r="AL322" s="845"/>
      <c r="AM322" s="1518">
        <f t="shared" si="85"/>
        <v>0</v>
      </c>
    </row>
    <row r="323" spans="1:39" s="633" customFormat="1" ht="15">
      <c r="A323" s="665" t="s">
        <v>162</v>
      </c>
      <c r="B323" s="1971">
        <f t="shared" si="88"/>
        <v>0</v>
      </c>
      <c r="C323" s="261" t="s">
        <v>36</v>
      </c>
      <c r="D323" s="262" t="s">
        <v>831</v>
      </c>
      <c r="E323" s="262" t="s">
        <v>1651</v>
      </c>
      <c r="F323" s="262" t="s">
        <v>1652</v>
      </c>
      <c r="G323" s="262" t="s">
        <v>79</v>
      </c>
      <c r="H323" s="2162" t="s">
        <v>1644</v>
      </c>
      <c r="I323" s="1656">
        <v>505</v>
      </c>
      <c r="J323" s="1720"/>
      <c r="K323" s="1675"/>
      <c r="L323" s="1739"/>
      <c r="M323" s="1723"/>
      <c r="N323" s="1703"/>
      <c r="O323" s="1604"/>
      <c r="P323" s="1655"/>
      <c r="Q323" s="1851"/>
      <c r="R323" s="1852"/>
      <c r="S323" s="1852"/>
      <c r="T323" s="1852"/>
      <c r="U323" s="1852"/>
      <c r="V323" s="1852"/>
      <c r="W323" s="1852"/>
      <c r="X323" s="1852"/>
      <c r="Y323" s="1852"/>
      <c r="Z323" s="1852"/>
      <c r="AA323" s="1852"/>
      <c r="AB323" s="1949"/>
      <c r="AC323" s="1824">
        <f t="shared" si="86"/>
        <v>0</v>
      </c>
      <c r="AD323" s="1825">
        <f t="shared" si="87"/>
        <v>0</v>
      </c>
      <c r="AF323" s="848">
        <v>505</v>
      </c>
      <c r="AG323" s="1291" t="s">
        <v>957</v>
      </c>
      <c r="AH323" s="1059" t="s">
        <v>173</v>
      </c>
      <c r="AI323" s="1048">
        <f t="shared" si="83"/>
        <v>0</v>
      </c>
      <c r="AJ323" s="849">
        <f>2630000-2630000</f>
        <v>0</v>
      </c>
      <c r="AK323" s="851">
        <f t="shared" si="84"/>
        <v>0</v>
      </c>
      <c r="AL323" s="845"/>
      <c r="AM323" s="1518">
        <f t="shared" si="85"/>
        <v>0</v>
      </c>
    </row>
    <row r="324" spans="1:39" s="633" customFormat="1" ht="15">
      <c r="A324" s="665" t="s">
        <v>162</v>
      </c>
      <c r="B324" s="1971">
        <f t="shared" si="88"/>
        <v>0</v>
      </c>
      <c r="C324" s="261" t="s">
        <v>36</v>
      </c>
      <c r="D324" s="262" t="s">
        <v>831</v>
      </c>
      <c r="E324" s="262" t="s">
        <v>1651</v>
      </c>
      <c r="F324" s="262" t="s">
        <v>1652</v>
      </c>
      <c r="G324" s="262" t="s">
        <v>79</v>
      </c>
      <c r="H324" s="2162" t="s">
        <v>1644</v>
      </c>
      <c r="I324" s="1656">
        <v>510</v>
      </c>
      <c r="J324" s="1720"/>
      <c r="K324" s="1675"/>
      <c r="L324" s="1739"/>
      <c r="M324" s="1723"/>
      <c r="N324" s="1703"/>
      <c r="O324" s="1604"/>
      <c r="P324" s="1655"/>
      <c r="Q324" s="1851"/>
      <c r="R324" s="1852"/>
      <c r="S324" s="1852"/>
      <c r="T324" s="1852"/>
      <c r="U324" s="1852"/>
      <c r="V324" s="1852"/>
      <c r="W324" s="1852"/>
      <c r="X324" s="1852"/>
      <c r="Y324" s="1852"/>
      <c r="Z324" s="1852"/>
      <c r="AA324" s="1852"/>
      <c r="AB324" s="1949"/>
      <c r="AC324" s="1824">
        <f t="shared" si="86"/>
        <v>0</v>
      </c>
      <c r="AD324" s="1825">
        <f t="shared" si="87"/>
        <v>0</v>
      </c>
      <c r="AF324" s="848">
        <v>510</v>
      </c>
      <c r="AG324" s="1291" t="s">
        <v>473</v>
      </c>
      <c r="AH324" s="1059" t="s">
        <v>173</v>
      </c>
      <c r="AI324" s="1048">
        <f t="shared" si="83"/>
        <v>0</v>
      </c>
      <c r="AJ324" s="849">
        <f>1970000-1970000</f>
        <v>0</v>
      </c>
      <c r="AK324" s="851">
        <f t="shared" si="84"/>
        <v>0</v>
      </c>
      <c r="AL324" s="845"/>
      <c r="AM324" s="1518">
        <f t="shared" si="85"/>
        <v>0</v>
      </c>
    </row>
    <row r="325" spans="1:39" s="633" customFormat="1" ht="15">
      <c r="A325" s="665" t="s">
        <v>162</v>
      </c>
      <c r="B325" s="1971">
        <f t="shared" si="88"/>
        <v>0</v>
      </c>
      <c r="C325" s="261" t="s">
        <v>36</v>
      </c>
      <c r="D325" s="262" t="s">
        <v>831</v>
      </c>
      <c r="E325" s="262" t="s">
        <v>1651</v>
      </c>
      <c r="F325" s="262" t="s">
        <v>1652</v>
      </c>
      <c r="G325" s="262" t="s">
        <v>79</v>
      </c>
      <c r="H325" s="2162" t="s">
        <v>1644</v>
      </c>
      <c r="I325" s="1656">
        <v>511</v>
      </c>
      <c r="J325" s="1720"/>
      <c r="K325" s="1675"/>
      <c r="L325" s="1739"/>
      <c r="M325" s="1723"/>
      <c r="N325" s="1703"/>
      <c r="O325" s="1604"/>
      <c r="P325" s="1655"/>
      <c r="Q325" s="1851"/>
      <c r="R325" s="1852"/>
      <c r="S325" s="1852"/>
      <c r="T325" s="1852"/>
      <c r="U325" s="1852"/>
      <c r="V325" s="1852"/>
      <c r="W325" s="1852"/>
      <c r="X325" s="1852"/>
      <c r="Y325" s="1852"/>
      <c r="Z325" s="1852"/>
      <c r="AA325" s="1852"/>
      <c r="AB325" s="1949"/>
      <c r="AC325" s="1824">
        <f t="shared" si="86"/>
        <v>0</v>
      </c>
      <c r="AD325" s="1825">
        <f t="shared" si="87"/>
        <v>0</v>
      </c>
      <c r="AF325" s="848">
        <v>511</v>
      </c>
      <c r="AG325" s="1291" t="s">
        <v>473</v>
      </c>
      <c r="AH325" s="1059" t="s">
        <v>173</v>
      </c>
      <c r="AI325" s="1048">
        <f t="shared" si="83"/>
        <v>0</v>
      </c>
      <c r="AJ325" s="849">
        <f>1970000-1970000</f>
        <v>0</v>
      </c>
      <c r="AK325" s="851">
        <f t="shared" si="84"/>
        <v>0</v>
      </c>
      <c r="AL325" s="845"/>
      <c r="AM325" s="1518">
        <f t="shared" si="85"/>
        <v>0</v>
      </c>
    </row>
    <row r="326" spans="1:39" s="633" customFormat="1" ht="15">
      <c r="A326" s="665" t="s">
        <v>162</v>
      </c>
      <c r="B326" s="1971">
        <f t="shared" si="88"/>
        <v>0</v>
      </c>
      <c r="C326" s="261" t="s">
        <v>36</v>
      </c>
      <c r="D326" s="262" t="s">
        <v>831</v>
      </c>
      <c r="E326" s="262" t="s">
        <v>1651</v>
      </c>
      <c r="F326" s="262" t="s">
        <v>1652</v>
      </c>
      <c r="G326" s="262" t="s">
        <v>79</v>
      </c>
      <c r="H326" s="2162" t="s">
        <v>1644</v>
      </c>
      <c r="I326" s="1656">
        <v>512</v>
      </c>
      <c r="J326" s="1720"/>
      <c r="K326" s="1675"/>
      <c r="L326" s="1739"/>
      <c r="M326" s="1723"/>
      <c r="N326" s="1703"/>
      <c r="O326" s="1604"/>
      <c r="P326" s="1655"/>
      <c r="Q326" s="1851"/>
      <c r="R326" s="1852"/>
      <c r="S326" s="1852"/>
      <c r="T326" s="1852"/>
      <c r="U326" s="1852"/>
      <c r="V326" s="1852"/>
      <c r="W326" s="1852"/>
      <c r="X326" s="1852"/>
      <c r="Y326" s="1852"/>
      <c r="Z326" s="1852"/>
      <c r="AA326" s="1852"/>
      <c r="AB326" s="1949"/>
      <c r="AC326" s="1824">
        <f t="shared" si="86"/>
        <v>0</v>
      </c>
      <c r="AD326" s="1825">
        <f t="shared" si="87"/>
        <v>0</v>
      </c>
      <c r="AF326" s="848">
        <v>512</v>
      </c>
      <c r="AG326" s="1291" t="s">
        <v>473</v>
      </c>
      <c r="AH326" s="1059" t="s">
        <v>173</v>
      </c>
      <c r="AI326" s="1048">
        <f t="shared" si="83"/>
        <v>0</v>
      </c>
      <c r="AJ326" s="849">
        <f>1970000-1970000</f>
        <v>0</v>
      </c>
      <c r="AK326" s="851">
        <f t="shared" si="84"/>
        <v>0</v>
      </c>
      <c r="AL326" s="845"/>
      <c r="AM326" s="1518">
        <f t="shared" si="85"/>
        <v>0</v>
      </c>
    </row>
    <row r="327" spans="1:39" s="633" customFormat="1" ht="15">
      <c r="A327" s="665" t="s">
        <v>162</v>
      </c>
      <c r="B327" s="1971">
        <f t="shared" si="88"/>
        <v>10240000</v>
      </c>
      <c r="C327" s="261" t="s">
        <v>36</v>
      </c>
      <c r="D327" s="262" t="s">
        <v>831</v>
      </c>
      <c r="E327" s="262" t="s">
        <v>1651</v>
      </c>
      <c r="F327" s="262" t="s">
        <v>1652</v>
      </c>
      <c r="G327" s="262" t="s">
        <v>79</v>
      </c>
      <c r="H327" s="2162" t="s">
        <v>1644</v>
      </c>
      <c r="I327" s="1656">
        <v>0</v>
      </c>
      <c r="J327" s="1720"/>
      <c r="K327" s="1675"/>
      <c r="L327" s="1739">
        <v>511</v>
      </c>
      <c r="M327" s="1723">
        <v>10240000</v>
      </c>
      <c r="N327" s="1703">
        <v>549</v>
      </c>
      <c r="O327" s="1604">
        <v>10240000</v>
      </c>
      <c r="P327" s="1655" t="s">
        <v>925</v>
      </c>
      <c r="Q327" s="1851"/>
      <c r="R327" s="1852"/>
      <c r="S327" s="1852"/>
      <c r="T327" s="1852"/>
      <c r="U327" s="1852"/>
      <c r="V327" s="1852">
        <v>4096000</v>
      </c>
      <c r="W327" s="1852">
        <v>0</v>
      </c>
      <c r="X327" s="1852">
        <v>6144000</v>
      </c>
      <c r="Y327" s="1852"/>
      <c r="Z327" s="1852"/>
      <c r="AA327" s="1852"/>
      <c r="AB327" s="1949"/>
      <c r="AC327" s="1824">
        <f t="shared" si="86"/>
        <v>10240000</v>
      </c>
      <c r="AD327" s="1825">
        <f t="shared" si="87"/>
        <v>0</v>
      </c>
      <c r="AF327" s="848" t="s">
        <v>325</v>
      </c>
      <c r="AG327" s="1291" t="s">
        <v>926</v>
      </c>
      <c r="AH327" s="1059" t="s">
        <v>1020</v>
      </c>
      <c r="AI327" s="1048" t="str">
        <f t="shared" si="83"/>
        <v>317-2018</v>
      </c>
      <c r="AJ327" s="849">
        <v>10240000</v>
      </c>
      <c r="AK327" s="851">
        <f t="shared" si="84"/>
        <v>0</v>
      </c>
      <c r="AL327" s="845"/>
      <c r="AM327" s="1518">
        <f t="shared" si="85"/>
        <v>0</v>
      </c>
    </row>
    <row r="328" spans="1:39" s="633" customFormat="1" ht="15">
      <c r="A328" s="665" t="s">
        <v>162</v>
      </c>
      <c r="B328" s="1971">
        <f t="shared" si="88"/>
        <v>35379963</v>
      </c>
      <c r="C328" s="261" t="s">
        <v>36</v>
      </c>
      <c r="D328" s="262" t="s">
        <v>831</v>
      </c>
      <c r="E328" s="262" t="s">
        <v>1651</v>
      </c>
      <c r="F328" s="262" t="s">
        <v>1652</v>
      </c>
      <c r="G328" s="262" t="s">
        <v>79</v>
      </c>
      <c r="H328" s="2162" t="s">
        <v>1644</v>
      </c>
      <c r="I328" s="1656">
        <v>0</v>
      </c>
      <c r="J328" s="1720">
        <v>0</v>
      </c>
      <c r="K328" s="1675"/>
      <c r="L328" s="1739">
        <v>480</v>
      </c>
      <c r="M328" s="1922">
        <f>35380718-755</f>
        <v>35379963</v>
      </c>
      <c r="N328" s="1703">
        <v>501</v>
      </c>
      <c r="O328" s="1604">
        <v>35379963</v>
      </c>
      <c r="P328" s="1689" t="s">
        <v>954</v>
      </c>
      <c r="Q328" s="1851"/>
      <c r="R328" s="1852"/>
      <c r="S328" s="1852"/>
      <c r="T328" s="1852"/>
      <c r="U328" s="1852"/>
      <c r="V328" s="1852"/>
      <c r="W328" s="1852"/>
      <c r="X328" s="1852"/>
      <c r="Y328" s="1852"/>
      <c r="Z328" s="1852"/>
      <c r="AA328" s="1852">
        <v>29067475</v>
      </c>
      <c r="AB328" s="1949"/>
      <c r="AC328" s="1824">
        <f t="shared" si="86"/>
        <v>29067475</v>
      </c>
      <c r="AD328" s="1825">
        <f t="shared" si="87"/>
        <v>6312488</v>
      </c>
      <c r="AF328" s="848" t="s">
        <v>325</v>
      </c>
      <c r="AG328" s="1291" t="s">
        <v>953</v>
      </c>
      <c r="AH328" s="1059" t="s">
        <v>984</v>
      </c>
      <c r="AI328" s="1048" t="str">
        <f t="shared" si="83"/>
        <v>486/2018</v>
      </c>
      <c r="AJ328" s="849">
        <f>38000000-2620037</f>
        <v>35379963</v>
      </c>
      <c r="AK328" s="851">
        <f t="shared" si="84"/>
        <v>0</v>
      </c>
      <c r="AL328" s="845"/>
      <c r="AM328" s="1518">
        <f t="shared" si="85"/>
        <v>0</v>
      </c>
    </row>
    <row r="329" spans="1:39" s="654" customFormat="1" ht="15">
      <c r="A329" s="665" t="s">
        <v>162</v>
      </c>
      <c r="B329" s="1971">
        <f t="shared" si="88"/>
        <v>46566751</v>
      </c>
      <c r="C329" s="261" t="s">
        <v>36</v>
      </c>
      <c r="D329" s="262" t="s">
        <v>831</v>
      </c>
      <c r="E329" s="262" t="s">
        <v>1651</v>
      </c>
      <c r="F329" s="262" t="s">
        <v>1652</v>
      </c>
      <c r="G329" s="262" t="s">
        <v>79</v>
      </c>
      <c r="H329" s="2162" t="s">
        <v>1644</v>
      </c>
      <c r="I329" s="1656">
        <v>0</v>
      </c>
      <c r="J329" s="1650">
        <v>0</v>
      </c>
      <c r="K329" s="1651"/>
      <c r="L329" s="1658">
        <v>479</v>
      </c>
      <c r="M329" s="1659">
        <v>46566751</v>
      </c>
      <c r="N329" s="1658">
        <v>569</v>
      </c>
      <c r="O329" s="1659">
        <v>46566751</v>
      </c>
      <c r="P329" s="1689" t="s">
        <v>951</v>
      </c>
      <c r="Q329" s="1851"/>
      <c r="R329" s="1852"/>
      <c r="S329" s="1852"/>
      <c r="T329" s="1852"/>
      <c r="U329" s="1852"/>
      <c r="V329" s="1852"/>
      <c r="W329" s="1852"/>
      <c r="X329" s="1852"/>
      <c r="Y329" s="1852"/>
      <c r="Z329" s="1852"/>
      <c r="AA329" s="1852"/>
      <c r="AB329" s="1949">
        <v>32474181</v>
      </c>
      <c r="AC329" s="1824">
        <f t="shared" si="86"/>
        <v>32474181</v>
      </c>
      <c r="AD329" s="1825">
        <f t="shared" si="87"/>
        <v>14092570</v>
      </c>
      <c r="AF329" s="848" t="s">
        <v>325</v>
      </c>
      <c r="AG329" s="1291" t="s">
        <v>952</v>
      </c>
      <c r="AH329" s="1349" t="s">
        <v>1027</v>
      </c>
      <c r="AI329" s="1048" t="str">
        <f t="shared" si="83"/>
        <v>481/2018</v>
      </c>
      <c r="AJ329" s="849">
        <f>46600000-33249</f>
        <v>46566751</v>
      </c>
      <c r="AK329" s="851">
        <f t="shared" si="84"/>
        <v>0</v>
      </c>
      <c r="AL329" s="845"/>
      <c r="AM329" s="1518">
        <f t="shared" si="85"/>
        <v>0</v>
      </c>
    </row>
    <row r="330" spans="1:39" s="654" customFormat="1" ht="15">
      <c r="A330" s="665" t="s">
        <v>162</v>
      </c>
      <c r="B330" s="1971">
        <f t="shared" si="88"/>
        <v>6722400</v>
      </c>
      <c r="C330" s="261" t="s">
        <v>36</v>
      </c>
      <c r="D330" s="262" t="s">
        <v>831</v>
      </c>
      <c r="E330" s="262" t="s">
        <v>1651</v>
      </c>
      <c r="F330" s="262" t="s">
        <v>1652</v>
      </c>
      <c r="G330" s="262" t="s">
        <v>79</v>
      </c>
      <c r="H330" s="2162" t="s">
        <v>1644</v>
      </c>
      <c r="I330" s="1656">
        <v>569</v>
      </c>
      <c r="J330" s="1714"/>
      <c r="K330" s="1740"/>
      <c r="L330" s="1741">
        <v>776</v>
      </c>
      <c r="M330" s="1742">
        <f>7122767-400367</f>
        <v>6722400</v>
      </c>
      <c r="N330" s="1658">
        <v>1027</v>
      </c>
      <c r="O330" s="1742">
        <v>6722400</v>
      </c>
      <c r="P330" s="1689">
        <v>495</v>
      </c>
      <c r="Q330" s="1838"/>
      <c r="R330" s="1858"/>
      <c r="S330" s="1858"/>
      <c r="T330" s="1858"/>
      <c r="U330" s="1858"/>
      <c r="V330" s="1858"/>
      <c r="W330" s="1858"/>
      <c r="X330" s="1858"/>
      <c r="Y330" s="1858"/>
      <c r="Z330" s="1858"/>
      <c r="AA330" s="1858"/>
      <c r="AB330" s="1949"/>
      <c r="AC330" s="1824">
        <f t="shared" si="86"/>
        <v>0</v>
      </c>
      <c r="AD330" s="1825">
        <f t="shared" si="87"/>
        <v>6722400</v>
      </c>
      <c r="AF330" s="848">
        <v>569</v>
      </c>
      <c r="AG330" s="1291" t="s">
        <v>1316</v>
      </c>
      <c r="AH330" s="1349" t="s">
        <v>1226</v>
      </c>
      <c r="AI330" s="1048">
        <f t="shared" si="83"/>
        <v>495</v>
      </c>
      <c r="AJ330" s="849">
        <v>7122767</v>
      </c>
      <c r="AK330" s="851">
        <f t="shared" si="84"/>
        <v>400367</v>
      </c>
      <c r="AL330" s="845"/>
      <c r="AM330" s="1518">
        <f t="shared" si="85"/>
        <v>400367</v>
      </c>
    </row>
    <row r="331" spans="1:39" s="654" customFormat="1" ht="15">
      <c r="A331" s="665" t="s">
        <v>162</v>
      </c>
      <c r="B331" s="1971">
        <f t="shared" si="88"/>
        <v>0</v>
      </c>
      <c r="C331" s="261" t="s">
        <v>36</v>
      </c>
      <c r="D331" s="262" t="s">
        <v>831</v>
      </c>
      <c r="E331" s="262" t="s">
        <v>1651</v>
      </c>
      <c r="F331" s="262" t="s">
        <v>1652</v>
      </c>
      <c r="G331" s="262" t="s">
        <v>79</v>
      </c>
      <c r="H331" s="2162" t="s">
        <v>1644</v>
      </c>
      <c r="I331" s="1656">
        <v>616</v>
      </c>
      <c r="J331" s="1714">
        <v>731</v>
      </c>
      <c r="K331" s="1740">
        <v>19982182</v>
      </c>
      <c r="L331" s="1741">
        <v>844</v>
      </c>
      <c r="M331" s="1740">
        <f>19982182-19982182</f>
        <v>0</v>
      </c>
      <c r="N331" s="1658"/>
      <c r="O331" s="1742"/>
      <c r="P331" s="1689"/>
      <c r="Q331" s="1838"/>
      <c r="R331" s="1858"/>
      <c r="S331" s="1858"/>
      <c r="T331" s="1858"/>
      <c r="U331" s="1858"/>
      <c r="V331" s="1858"/>
      <c r="W331" s="1858"/>
      <c r="X331" s="1858"/>
      <c r="Y331" s="1858"/>
      <c r="Z331" s="1858"/>
      <c r="AA331" s="1858"/>
      <c r="AB331" s="1853"/>
      <c r="AC331" s="1824">
        <f t="shared" si="86"/>
        <v>0</v>
      </c>
      <c r="AD331" s="1825">
        <f t="shared" si="87"/>
        <v>0</v>
      </c>
      <c r="AF331" s="848">
        <v>616</v>
      </c>
      <c r="AG331" s="1291" t="s">
        <v>1396</v>
      </c>
      <c r="AH331" s="1349"/>
      <c r="AI331" s="1048">
        <f t="shared" si="83"/>
        <v>0</v>
      </c>
      <c r="AJ331" s="849">
        <f>20000000-17818</f>
        <v>19982182</v>
      </c>
      <c r="AK331" s="851">
        <f t="shared" si="84"/>
        <v>19982182</v>
      </c>
      <c r="AL331" s="845"/>
      <c r="AM331" s="1518">
        <f t="shared" si="85"/>
        <v>19982182</v>
      </c>
    </row>
    <row r="332" spans="1:39" s="654" customFormat="1" ht="15">
      <c r="A332" s="665" t="s">
        <v>162</v>
      </c>
      <c r="B332" s="1971">
        <f t="shared" si="88"/>
        <v>0</v>
      </c>
      <c r="C332" s="261" t="s">
        <v>36</v>
      </c>
      <c r="D332" s="262" t="s">
        <v>831</v>
      </c>
      <c r="E332" s="262" t="s">
        <v>1651</v>
      </c>
      <c r="F332" s="262" t="s">
        <v>1652</v>
      </c>
      <c r="G332" s="262" t="s">
        <v>79</v>
      </c>
      <c r="H332" s="2162" t="s">
        <v>1644</v>
      </c>
      <c r="I332" s="1656" t="s">
        <v>173</v>
      </c>
      <c r="J332" s="1714"/>
      <c r="K332" s="1740"/>
      <c r="L332" s="1741"/>
      <c r="M332" s="1742"/>
      <c r="N332" s="1658"/>
      <c r="O332" s="1742"/>
      <c r="P332" s="1689"/>
      <c r="Q332" s="1838"/>
      <c r="R332" s="1858"/>
      <c r="S332" s="1858"/>
      <c r="T332" s="1858"/>
      <c r="U332" s="1858"/>
      <c r="V332" s="1858"/>
      <c r="W332" s="1858"/>
      <c r="X332" s="1858"/>
      <c r="Y332" s="1858"/>
      <c r="Z332" s="1858"/>
      <c r="AA332" s="1858"/>
      <c r="AB332" s="1853"/>
      <c r="AC332" s="1824">
        <f t="shared" si="86"/>
        <v>0</v>
      </c>
      <c r="AD332" s="1825">
        <f t="shared" si="87"/>
        <v>0</v>
      </c>
      <c r="AF332" s="848"/>
      <c r="AG332" s="1291"/>
      <c r="AH332" s="1349"/>
      <c r="AI332" s="1048">
        <f t="shared" si="83"/>
        <v>0</v>
      </c>
      <c r="AJ332" s="849"/>
      <c r="AK332" s="851">
        <f t="shared" si="84"/>
        <v>0</v>
      </c>
      <c r="AL332" s="845"/>
      <c r="AM332" s="1518">
        <f t="shared" si="85"/>
        <v>0</v>
      </c>
    </row>
    <row r="333" spans="1:39" s="633" customFormat="1" ht="15">
      <c r="A333" s="655" t="s">
        <v>80</v>
      </c>
      <c r="B333" s="1966">
        <f>B285-SUM(B286:B332)</f>
        <v>21876516</v>
      </c>
      <c r="C333" s="656"/>
      <c r="D333" s="657"/>
      <c r="E333" s="657"/>
      <c r="F333" s="657"/>
      <c r="G333" s="657"/>
      <c r="H333" s="2150"/>
      <c r="I333" s="1669"/>
      <c r="J333" s="1678"/>
      <c r="K333" s="1679"/>
      <c r="L333" s="1680"/>
      <c r="M333" s="1681">
        <f>SUM(M286:M332)</f>
        <v>1036807409</v>
      </c>
      <c r="N333" s="1589"/>
      <c r="O333" s="1681">
        <f>SUM(O286:O332)</f>
        <v>1036807409</v>
      </c>
      <c r="P333" s="1664"/>
      <c r="Q333" s="1681">
        <f t="shared" ref="Q333:AD333" si="89">SUM(Q286:Q332)</f>
        <v>0</v>
      </c>
      <c r="R333" s="1681">
        <f t="shared" si="89"/>
        <v>9206201</v>
      </c>
      <c r="S333" s="1681">
        <f t="shared" si="89"/>
        <v>48060267</v>
      </c>
      <c r="T333" s="1681">
        <f t="shared" si="89"/>
        <v>59006133</v>
      </c>
      <c r="U333" s="1681">
        <f t="shared" si="89"/>
        <v>62072100</v>
      </c>
      <c r="V333" s="1681">
        <f t="shared" si="89"/>
        <v>68493533</v>
      </c>
      <c r="W333" s="1681">
        <f t="shared" si="89"/>
        <v>61375100</v>
      </c>
      <c r="X333" s="1681">
        <f t="shared" si="89"/>
        <v>67282400</v>
      </c>
      <c r="Y333" s="1681">
        <f t="shared" si="89"/>
        <v>92044600</v>
      </c>
      <c r="Z333" s="1681">
        <f t="shared" si="89"/>
        <v>116815580</v>
      </c>
      <c r="AA333" s="1681">
        <f t="shared" si="89"/>
        <v>117132042</v>
      </c>
      <c r="AB333" s="1681">
        <f>SUM(AB286:AB332)</f>
        <v>135256214</v>
      </c>
      <c r="AC333" s="1681">
        <f t="shared" si="89"/>
        <v>836744170</v>
      </c>
      <c r="AD333" s="1681">
        <f t="shared" si="89"/>
        <v>200063239</v>
      </c>
      <c r="AF333" s="852"/>
      <c r="AG333" s="14">
        <f>SUM(AG286:AG329)</f>
        <v>0</v>
      </c>
      <c r="AH333" s="14">
        <f>SUM(AH286:AH329)</f>
        <v>0</v>
      </c>
      <c r="AI333" s="1052"/>
      <c r="AJ333" s="1663">
        <f>SUM(AJ286:AJ332)</f>
        <v>1058683925</v>
      </c>
      <c r="AK333" s="181">
        <f>SUM(AK286:AK332)</f>
        <v>21876516</v>
      </c>
      <c r="AL333" s="1872">
        <f>B285-AJ333</f>
        <v>0</v>
      </c>
    </row>
    <row r="334" spans="1:39" s="633" customFormat="1" ht="32.25" customHeight="1">
      <c r="A334" s="763" t="s">
        <v>166</v>
      </c>
      <c r="B334" s="1970">
        <f>140000000+4137048-5955524</f>
        <v>138181524</v>
      </c>
      <c r="C334" s="1283" t="s">
        <v>36</v>
      </c>
      <c r="D334" s="1284" t="s">
        <v>831</v>
      </c>
      <c r="E334" s="1284" t="s">
        <v>1651</v>
      </c>
      <c r="F334" s="1284" t="s">
        <v>1653</v>
      </c>
      <c r="G334" s="1284" t="s">
        <v>79</v>
      </c>
      <c r="H334" s="2160" t="s">
        <v>1644</v>
      </c>
      <c r="I334" s="1725"/>
      <c r="J334" s="1726"/>
      <c r="K334" s="1727"/>
      <c r="L334" s="1733"/>
      <c r="M334" s="1729"/>
      <c r="N334" s="1734"/>
      <c r="O334" s="1731"/>
      <c r="P334" s="1732"/>
      <c r="Q334" s="1832"/>
      <c r="R334" s="1857"/>
      <c r="S334" s="1857"/>
      <c r="T334" s="1857"/>
      <c r="U334" s="1857"/>
      <c r="V334" s="1857"/>
      <c r="W334" s="1857"/>
      <c r="X334" s="1857"/>
      <c r="Y334" s="1857"/>
      <c r="Z334" s="1857"/>
      <c r="AA334" s="1857"/>
      <c r="AB334" s="1833"/>
      <c r="AC334" s="1832"/>
      <c r="AD334" s="1833"/>
      <c r="AF334" s="1186"/>
      <c r="AG334" s="662"/>
      <c r="AH334" s="662"/>
      <c r="AI334" s="662"/>
      <c r="AJ334" s="1832"/>
      <c r="AK334" s="1187"/>
      <c r="AL334" s="845"/>
    </row>
    <row r="335" spans="1:39" s="654" customFormat="1" ht="15">
      <c r="A335" s="665" t="s">
        <v>163</v>
      </c>
      <c r="B335" s="1971">
        <f>M335</f>
        <v>0</v>
      </c>
      <c r="C335" s="261" t="s">
        <v>36</v>
      </c>
      <c r="D335" s="262" t="s">
        <v>831</v>
      </c>
      <c r="E335" s="262" t="s">
        <v>1651</v>
      </c>
      <c r="F335" s="262" t="s">
        <v>1652</v>
      </c>
      <c r="G335" s="262" t="s">
        <v>79</v>
      </c>
      <c r="H335" s="2163" t="s">
        <v>1644</v>
      </c>
      <c r="I335" s="2142">
        <v>365</v>
      </c>
      <c r="J335" s="1650">
        <v>0</v>
      </c>
      <c r="K335" s="1651"/>
      <c r="L335" s="1658"/>
      <c r="M335" s="1659"/>
      <c r="N335" s="1658"/>
      <c r="O335" s="1604"/>
      <c r="P335" s="1655"/>
      <c r="Q335" s="1851"/>
      <c r="R335" s="1852"/>
      <c r="S335" s="1852"/>
      <c r="T335" s="1852"/>
      <c r="U335" s="1852"/>
      <c r="V335" s="1852"/>
      <c r="W335" s="1852"/>
      <c r="X335" s="1852"/>
      <c r="Y335" s="1852"/>
      <c r="Z335" s="1852"/>
      <c r="AA335" s="1852"/>
      <c r="AB335" s="1853"/>
      <c r="AC335" s="1824">
        <f>SUM(Q335:AB335)</f>
        <v>0</v>
      </c>
      <c r="AD335" s="1825">
        <f>O335-AC335</f>
        <v>0</v>
      </c>
      <c r="AF335" s="848">
        <v>365</v>
      </c>
      <c r="AG335" s="1291" t="s">
        <v>472</v>
      </c>
      <c r="AH335" s="1060" t="s">
        <v>173</v>
      </c>
      <c r="AI335" s="1048">
        <f>P335</f>
        <v>0</v>
      </c>
      <c r="AJ335" s="849">
        <f>140000000-140000000</f>
        <v>0</v>
      </c>
      <c r="AK335" s="851">
        <f>AJ335-O335</f>
        <v>0</v>
      </c>
      <c r="AL335" s="845"/>
      <c r="AM335" s="1518">
        <f>AJ335-M335</f>
        <v>0</v>
      </c>
    </row>
    <row r="336" spans="1:39" s="654" customFormat="1">
      <c r="A336" s="665" t="s">
        <v>163</v>
      </c>
      <c r="B336" s="1971">
        <f>M336</f>
        <v>134044476</v>
      </c>
      <c r="C336" s="261" t="s">
        <v>36</v>
      </c>
      <c r="D336" s="262" t="s">
        <v>831</v>
      </c>
      <c r="E336" s="262" t="s">
        <v>1651</v>
      </c>
      <c r="F336" s="262" t="s">
        <v>1652</v>
      </c>
      <c r="G336" s="262" t="s">
        <v>79</v>
      </c>
      <c r="H336" s="2163" t="s">
        <v>1644</v>
      </c>
      <c r="I336" s="1289">
        <v>365</v>
      </c>
      <c r="J336" s="1714"/>
      <c r="K336" s="1740"/>
      <c r="L336" s="1741">
        <v>474</v>
      </c>
      <c r="M336" s="1742">
        <f>140000000-5955524</f>
        <v>134044476</v>
      </c>
      <c r="N336" s="1658">
        <v>655</v>
      </c>
      <c r="O336" s="1735">
        <v>134044476</v>
      </c>
      <c r="P336" s="1655">
        <v>387</v>
      </c>
      <c r="Q336" s="1838"/>
      <c r="R336" s="1858"/>
      <c r="S336" s="1858"/>
      <c r="T336" s="1858"/>
      <c r="U336" s="1858"/>
      <c r="V336" s="1858"/>
      <c r="W336" s="1852"/>
      <c r="X336" s="1852"/>
      <c r="Y336" s="1852"/>
      <c r="Z336" s="1852">
        <v>134044476</v>
      </c>
      <c r="AA336" s="1852"/>
      <c r="AB336" s="1949"/>
      <c r="AC336" s="1824">
        <f>SUM(Q336:AB336)</f>
        <v>134044476</v>
      </c>
      <c r="AD336" s="1825">
        <f>O336-AC336</f>
        <v>0</v>
      </c>
      <c r="AF336" s="848">
        <v>365</v>
      </c>
      <c r="AG336" s="1291" t="s">
        <v>885</v>
      </c>
      <c r="AH336" s="1059" t="s">
        <v>1122</v>
      </c>
      <c r="AI336" s="1048">
        <f>P336</f>
        <v>387</v>
      </c>
      <c r="AJ336" s="849">
        <f>140000000-5955524</f>
        <v>134044476</v>
      </c>
      <c r="AK336" s="851">
        <f>AJ336-O336</f>
        <v>0</v>
      </c>
      <c r="AL336" s="845"/>
      <c r="AM336" s="1518">
        <f>AJ336-M336</f>
        <v>0</v>
      </c>
    </row>
    <row r="337" spans="1:39" s="654" customFormat="1">
      <c r="A337" s="665" t="s">
        <v>163</v>
      </c>
      <c r="B337" s="1971">
        <f>M337</f>
        <v>4137048</v>
      </c>
      <c r="C337" s="261" t="s">
        <v>36</v>
      </c>
      <c r="D337" s="262" t="s">
        <v>831</v>
      </c>
      <c r="E337" s="262" t="s">
        <v>1651</v>
      </c>
      <c r="F337" s="262" t="s">
        <v>1652</v>
      </c>
      <c r="G337" s="262" t="s">
        <v>79</v>
      </c>
      <c r="H337" s="2163" t="s">
        <v>1644</v>
      </c>
      <c r="I337" s="1289" t="s">
        <v>173</v>
      </c>
      <c r="J337" s="1714">
        <v>549</v>
      </c>
      <c r="K337" s="1740">
        <v>4137048</v>
      </c>
      <c r="L337" s="1741">
        <v>628</v>
      </c>
      <c r="M337" s="1742">
        <v>4137048</v>
      </c>
      <c r="N337" s="1658">
        <v>772</v>
      </c>
      <c r="O337" s="1742">
        <v>4137048</v>
      </c>
      <c r="P337" s="1655">
        <v>387</v>
      </c>
      <c r="Q337" s="1838"/>
      <c r="R337" s="1858"/>
      <c r="S337" s="1858"/>
      <c r="T337" s="1858"/>
      <c r="U337" s="1858"/>
      <c r="V337" s="1858"/>
      <c r="W337" s="1858"/>
      <c r="X337" s="1858"/>
      <c r="Y337" s="1852"/>
      <c r="Z337" s="1852">
        <v>4137048</v>
      </c>
      <c r="AA337" s="1852"/>
      <c r="AB337" s="1949"/>
      <c r="AC337" s="1824">
        <f>SUM(Q337:AB337)</f>
        <v>4137048</v>
      </c>
      <c r="AD337" s="1825">
        <f>O337-AC337</f>
        <v>0</v>
      </c>
      <c r="AF337" s="848" t="s">
        <v>325</v>
      </c>
      <c r="AG337" s="1291" t="s">
        <v>1180</v>
      </c>
      <c r="AH337" s="1059" t="s">
        <v>1122</v>
      </c>
      <c r="AI337" s="1048">
        <f>P337</f>
        <v>387</v>
      </c>
      <c r="AJ337" s="849">
        <v>4137048</v>
      </c>
      <c r="AK337" s="851">
        <f>AJ337-O337</f>
        <v>0</v>
      </c>
      <c r="AL337" s="845"/>
      <c r="AM337" s="1518">
        <f>AJ337-M337</f>
        <v>0</v>
      </c>
    </row>
    <row r="338" spans="1:39" s="654" customFormat="1" ht="15">
      <c r="A338" s="665" t="s">
        <v>163</v>
      </c>
      <c r="B338" s="1971">
        <f>M338</f>
        <v>0</v>
      </c>
      <c r="C338" s="261" t="s">
        <v>36</v>
      </c>
      <c r="D338" s="262" t="s">
        <v>831</v>
      </c>
      <c r="E338" s="262" t="s">
        <v>1651</v>
      </c>
      <c r="F338" s="262" t="s">
        <v>1652</v>
      </c>
      <c r="G338" s="262" t="s">
        <v>79</v>
      </c>
      <c r="H338" s="2163" t="s">
        <v>1644</v>
      </c>
      <c r="I338" s="1289" t="s">
        <v>173</v>
      </c>
      <c r="J338" s="1714"/>
      <c r="K338" s="1740"/>
      <c r="L338" s="1741"/>
      <c r="M338" s="1742"/>
      <c r="N338" s="1658"/>
      <c r="O338" s="1735"/>
      <c r="P338" s="1655"/>
      <c r="Q338" s="1838"/>
      <c r="R338" s="1858"/>
      <c r="S338" s="1858"/>
      <c r="T338" s="1858"/>
      <c r="U338" s="1858"/>
      <c r="V338" s="1858"/>
      <c r="W338" s="1858"/>
      <c r="X338" s="1858"/>
      <c r="Y338" s="1858"/>
      <c r="Z338" s="1858"/>
      <c r="AA338" s="1858"/>
      <c r="AB338" s="1839"/>
      <c r="AC338" s="1824">
        <f>SUM(Q338:AB338)</f>
        <v>0</v>
      </c>
      <c r="AD338" s="1825">
        <f>O338-AC338</f>
        <v>0</v>
      </c>
      <c r="AF338" s="848"/>
      <c r="AG338" s="1291"/>
      <c r="AH338" s="1060" t="s">
        <v>173</v>
      </c>
      <c r="AI338" s="1048">
        <f>P338</f>
        <v>0</v>
      </c>
      <c r="AJ338" s="849"/>
      <c r="AK338" s="851">
        <f>AJ338-O338</f>
        <v>0</v>
      </c>
      <c r="AL338" s="845"/>
      <c r="AM338" s="1518">
        <f>AJ338-M338</f>
        <v>0</v>
      </c>
    </row>
    <row r="339" spans="1:39" s="633" customFormat="1" ht="15">
      <c r="A339" s="655" t="s">
        <v>80</v>
      </c>
      <c r="B339" s="1966">
        <f>B334-SUM(B335:B338)</f>
        <v>0</v>
      </c>
      <c r="C339" s="656"/>
      <c r="D339" s="657"/>
      <c r="E339" s="657"/>
      <c r="F339" s="657"/>
      <c r="G339" s="657"/>
      <c r="H339" s="2150"/>
      <c r="I339" s="1669"/>
      <c r="J339" s="1678"/>
      <c r="K339" s="1679"/>
      <c r="L339" s="1680"/>
      <c r="M339" s="1681">
        <f>SUM(M335:M338)</f>
        <v>138181524</v>
      </c>
      <c r="N339" s="1589"/>
      <c r="O339" s="1681">
        <f>SUM(O335:O338)</f>
        <v>138181524</v>
      </c>
      <c r="P339" s="1664"/>
      <c r="Q339" s="1681">
        <f t="shared" ref="Q339:AD339" si="90">SUM(Q335:Q338)</f>
        <v>0</v>
      </c>
      <c r="R339" s="1681">
        <f t="shared" si="90"/>
        <v>0</v>
      </c>
      <c r="S339" s="1681">
        <f t="shared" si="90"/>
        <v>0</v>
      </c>
      <c r="T339" s="1681">
        <f t="shared" si="90"/>
        <v>0</v>
      </c>
      <c r="U339" s="1681">
        <f t="shared" si="90"/>
        <v>0</v>
      </c>
      <c r="V339" s="1681">
        <f t="shared" si="90"/>
        <v>0</v>
      </c>
      <c r="W339" s="1681">
        <f t="shared" si="90"/>
        <v>0</v>
      </c>
      <c r="X339" s="1681">
        <f t="shared" si="90"/>
        <v>0</v>
      </c>
      <c r="Y339" s="1681">
        <f t="shared" si="90"/>
        <v>0</v>
      </c>
      <c r="Z339" s="1681">
        <f t="shared" si="90"/>
        <v>138181524</v>
      </c>
      <c r="AA339" s="1681">
        <f t="shared" si="90"/>
        <v>0</v>
      </c>
      <c r="AB339" s="1681">
        <f t="shared" si="90"/>
        <v>0</v>
      </c>
      <c r="AC339" s="1681">
        <f t="shared" si="90"/>
        <v>138181524</v>
      </c>
      <c r="AD339" s="1681">
        <f t="shared" si="90"/>
        <v>0</v>
      </c>
      <c r="AF339" s="852"/>
      <c r="AG339" s="14">
        <f>SUM(AG335:AG335)</f>
        <v>0</v>
      </c>
      <c r="AH339" s="14">
        <f>SUM(AH335:AH335)</f>
        <v>0</v>
      </c>
      <c r="AI339" s="1052">
        <f>SUM(AI335:AI335)</f>
        <v>0</v>
      </c>
      <c r="AJ339" s="1681">
        <f>SUM(AJ335:AJ338)</f>
        <v>138181524</v>
      </c>
      <c r="AK339" s="181">
        <f>SUM(AK335:AK338)</f>
        <v>0</v>
      </c>
      <c r="AL339" s="1872">
        <f>B334-AJ339</f>
        <v>0</v>
      </c>
    </row>
    <row r="340" spans="1:39" s="633" customFormat="1" ht="34.5" customHeight="1">
      <c r="A340" s="763" t="s">
        <v>167</v>
      </c>
      <c r="B340" s="1970">
        <f>2000000000-73125772-251888417-106548333-68437478-20000000+439031482</f>
        <v>1919031482</v>
      </c>
      <c r="C340" s="1283" t="s">
        <v>36</v>
      </c>
      <c r="D340" s="1284" t="s">
        <v>831</v>
      </c>
      <c r="E340" s="1284" t="s">
        <v>1651</v>
      </c>
      <c r="F340" s="1284" t="s">
        <v>1653</v>
      </c>
      <c r="G340" s="1284" t="s">
        <v>79</v>
      </c>
      <c r="H340" s="2160" t="s">
        <v>1644</v>
      </c>
      <c r="I340" s="1725"/>
      <c r="J340" s="1726"/>
      <c r="K340" s="1727"/>
      <c r="L340" s="1733"/>
      <c r="M340" s="1729"/>
      <c r="N340" s="1734"/>
      <c r="O340" s="1731"/>
      <c r="P340" s="1732"/>
      <c r="Q340" s="1832"/>
      <c r="R340" s="1857"/>
      <c r="S340" s="1857"/>
      <c r="T340" s="1857"/>
      <c r="U340" s="1857"/>
      <c r="V340" s="1857"/>
      <c r="W340" s="1857"/>
      <c r="X340" s="1857"/>
      <c r="Y340" s="1857"/>
      <c r="Z340" s="1857"/>
      <c r="AA340" s="1857"/>
      <c r="AB340" s="1833"/>
      <c r="AC340" s="1832"/>
      <c r="AD340" s="1833"/>
      <c r="AF340" s="1186"/>
      <c r="AG340" s="663"/>
      <c r="AH340" s="663"/>
      <c r="AI340" s="663"/>
      <c r="AJ340" s="1857"/>
      <c r="AK340" s="664"/>
      <c r="AL340" s="845"/>
    </row>
    <row r="341" spans="1:39" s="654" customFormat="1" ht="15">
      <c r="A341" s="665" t="s">
        <v>164</v>
      </c>
      <c r="B341" s="1971">
        <f>M341</f>
        <v>0</v>
      </c>
      <c r="C341" s="261" t="s">
        <v>36</v>
      </c>
      <c r="D341" s="262" t="s">
        <v>831</v>
      </c>
      <c r="E341" s="262" t="s">
        <v>1651</v>
      </c>
      <c r="F341" s="262" t="s">
        <v>1652</v>
      </c>
      <c r="G341" s="262" t="s">
        <v>79</v>
      </c>
      <c r="H341" s="2163" t="s">
        <v>1644</v>
      </c>
      <c r="I341" s="2142">
        <v>366</v>
      </c>
      <c r="J341" s="1650">
        <v>0</v>
      </c>
      <c r="K341" s="1651"/>
      <c r="L341" s="1658"/>
      <c r="M341" s="1659"/>
      <c r="N341" s="1658"/>
      <c r="O341" s="1604"/>
      <c r="P341" s="1655"/>
      <c r="Q341" s="1851"/>
      <c r="R341" s="1852"/>
      <c r="S341" s="1852"/>
      <c r="T341" s="1852"/>
      <c r="U341" s="1852"/>
      <c r="V341" s="1852"/>
      <c r="W341" s="1852"/>
      <c r="X341" s="1852"/>
      <c r="Y341" s="1852"/>
      <c r="Z341" s="1852"/>
      <c r="AA341" s="1852"/>
      <c r="AB341" s="1853"/>
      <c r="AC341" s="1824">
        <f t="shared" ref="AC341" si="91">SUM(Q341:AB341)</f>
        <v>0</v>
      </c>
      <c r="AD341" s="1825">
        <f>O341-AC341</f>
        <v>0</v>
      </c>
      <c r="AF341" s="848">
        <v>366</v>
      </c>
      <c r="AG341" s="1291" t="s">
        <v>470</v>
      </c>
      <c r="AH341" s="1060" t="s">
        <v>173</v>
      </c>
      <c r="AI341" s="1048">
        <f t="shared" ref="AI341:AI347" si="92">P341</f>
        <v>0</v>
      </c>
      <c r="AJ341" s="849">
        <f>2000000000-2000000000</f>
        <v>0</v>
      </c>
      <c r="AK341" s="851">
        <f t="shared" ref="AK341:AK347" si="93">AJ341-O341</f>
        <v>0</v>
      </c>
      <c r="AL341" s="845"/>
      <c r="AM341" s="1518">
        <f t="shared" ref="AM341:AM347" si="94">AJ341-M341</f>
        <v>0</v>
      </c>
    </row>
    <row r="342" spans="1:39" s="654" customFormat="1">
      <c r="A342" s="665" t="s">
        <v>164</v>
      </c>
      <c r="B342" s="1971">
        <f>M342</f>
        <v>1160599837</v>
      </c>
      <c r="C342" s="261" t="s">
        <v>36</v>
      </c>
      <c r="D342" s="262" t="s">
        <v>831</v>
      </c>
      <c r="E342" s="262" t="s">
        <v>1651</v>
      </c>
      <c r="F342" s="262" t="s">
        <v>1652</v>
      </c>
      <c r="G342" s="262" t="s">
        <v>79</v>
      </c>
      <c r="H342" s="2163" t="s">
        <v>1644</v>
      </c>
      <c r="I342" s="2142">
        <v>501</v>
      </c>
      <c r="J342" s="1714"/>
      <c r="K342" s="1740"/>
      <c r="L342" s="1741">
        <v>490</v>
      </c>
      <c r="M342" s="1742">
        <f>1178096861-17497024</f>
        <v>1160599837</v>
      </c>
      <c r="N342" s="1658">
        <v>792</v>
      </c>
      <c r="O342" s="1735">
        <v>1160599837</v>
      </c>
      <c r="P342" s="1655">
        <v>442</v>
      </c>
      <c r="Q342" s="1838"/>
      <c r="R342" s="1858"/>
      <c r="S342" s="1858"/>
      <c r="T342" s="1858"/>
      <c r="U342" s="1858"/>
      <c r="V342" s="1858"/>
      <c r="W342" s="1858"/>
      <c r="X342" s="1858"/>
      <c r="Y342" s="1852"/>
      <c r="Z342" s="1852">
        <f>348179951+107602719</f>
        <v>455782670</v>
      </c>
      <c r="AA342" s="1852">
        <v>162163221</v>
      </c>
      <c r="AB342" s="1949">
        <v>274682070</v>
      </c>
      <c r="AC342" s="1824">
        <f t="shared" ref="AC342:AC347" si="95">SUM(Q342:AB342)</f>
        <v>892627961</v>
      </c>
      <c r="AD342" s="1825">
        <f t="shared" ref="AD342:AD347" si="96">O342-AC342</f>
        <v>267971876</v>
      </c>
      <c r="AF342" s="848">
        <v>501</v>
      </c>
      <c r="AG342" s="1291" t="s">
        <v>883</v>
      </c>
      <c r="AH342" s="1059" t="s">
        <v>1360</v>
      </c>
      <c r="AI342" s="1048">
        <f t="shared" si="92"/>
        <v>442</v>
      </c>
      <c r="AJ342" s="849">
        <f>1306922520-20000000-126322683</f>
        <v>1160599837</v>
      </c>
      <c r="AK342" s="851">
        <f t="shared" si="93"/>
        <v>0</v>
      </c>
      <c r="AL342" s="845"/>
      <c r="AM342" s="1518">
        <f t="shared" si="94"/>
        <v>0</v>
      </c>
    </row>
    <row r="343" spans="1:39" s="654" customFormat="1">
      <c r="A343" s="665" t="s">
        <v>164</v>
      </c>
      <c r="B343" s="1971">
        <f t="shared" ref="B343:B346" si="97">M343</f>
        <v>0</v>
      </c>
      <c r="C343" s="261" t="s">
        <v>36</v>
      </c>
      <c r="D343" s="262" t="s">
        <v>831</v>
      </c>
      <c r="E343" s="262" t="s">
        <v>1651</v>
      </c>
      <c r="F343" s="262" t="s">
        <v>1652</v>
      </c>
      <c r="G343" s="262" t="s">
        <v>79</v>
      </c>
      <c r="H343" s="2163" t="s">
        <v>1644</v>
      </c>
      <c r="I343" s="2142" t="s">
        <v>325</v>
      </c>
      <c r="J343" s="1714"/>
      <c r="K343" s="1740"/>
      <c r="L343" s="1741"/>
      <c r="M343" s="1740"/>
      <c r="N343" s="1658"/>
      <c r="O343" s="1735"/>
      <c r="P343" s="1655">
        <v>442</v>
      </c>
      <c r="Q343" s="1838"/>
      <c r="R343" s="1858"/>
      <c r="S343" s="1858"/>
      <c r="T343" s="1858"/>
      <c r="U343" s="1858"/>
      <c r="V343" s="1858"/>
      <c r="W343" s="1858"/>
      <c r="X343" s="1858"/>
      <c r="Y343" s="1852"/>
      <c r="Z343" s="1852"/>
      <c r="AA343" s="1852"/>
      <c r="AB343" s="1949"/>
      <c r="AC343" s="1824">
        <f t="shared" si="95"/>
        <v>0</v>
      </c>
      <c r="AD343" s="1825">
        <f t="shared" si="96"/>
        <v>0</v>
      </c>
      <c r="AF343" s="848" t="s">
        <v>325</v>
      </c>
      <c r="AG343" s="1291" t="s">
        <v>1526</v>
      </c>
      <c r="AH343" s="1059" t="s">
        <v>1360</v>
      </c>
      <c r="AI343" s="1048">
        <f t="shared" si="92"/>
        <v>442</v>
      </c>
      <c r="AJ343" s="849">
        <f>126322683+122152006-122152006-126322683</f>
        <v>0</v>
      </c>
      <c r="AK343" s="851">
        <f t="shared" si="93"/>
        <v>0</v>
      </c>
      <c r="AL343" s="845"/>
      <c r="AM343" s="1518">
        <f t="shared" si="94"/>
        <v>0</v>
      </c>
    </row>
    <row r="344" spans="1:39" s="654" customFormat="1">
      <c r="A344" s="665" t="s">
        <v>164</v>
      </c>
      <c r="B344" s="1971">
        <f t="shared" si="97"/>
        <v>498013881</v>
      </c>
      <c r="C344" s="261" t="s">
        <v>36</v>
      </c>
      <c r="D344" s="262" t="s">
        <v>831</v>
      </c>
      <c r="E344" s="262" t="s">
        <v>1651</v>
      </c>
      <c r="F344" s="262" t="s">
        <v>1652</v>
      </c>
      <c r="G344" s="262" t="s">
        <v>79</v>
      </c>
      <c r="H344" s="2163" t="s">
        <v>1644</v>
      </c>
      <c r="I344" s="2142" t="s">
        <v>325</v>
      </c>
      <c r="J344" s="1714">
        <v>871</v>
      </c>
      <c r="K344" s="1740">
        <v>498013881</v>
      </c>
      <c r="L344" s="1741">
        <v>991</v>
      </c>
      <c r="M344" s="1740">
        <v>498013881</v>
      </c>
      <c r="N344" s="1658">
        <v>1200</v>
      </c>
      <c r="O344" s="1740">
        <v>498013881</v>
      </c>
      <c r="P344" s="1655">
        <v>442</v>
      </c>
      <c r="Q344" s="1838"/>
      <c r="R344" s="1858"/>
      <c r="S344" s="1858"/>
      <c r="T344" s="1858"/>
      <c r="U344" s="1858"/>
      <c r="V344" s="1858"/>
      <c r="W344" s="1858"/>
      <c r="X344" s="1858"/>
      <c r="Y344" s="1852"/>
      <c r="Z344" s="1852"/>
      <c r="AA344" s="1852"/>
      <c r="AB344" s="1949"/>
      <c r="AC344" s="1824">
        <f t="shared" si="95"/>
        <v>0</v>
      </c>
      <c r="AD344" s="1825">
        <f t="shared" si="96"/>
        <v>498013881</v>
      </c>
      <c r="AF344" s="848" t="s">
        <v>325</v>
      </c>
      <c r="AG344" s="1291" t="s">
        <v>1526</v>
      </c>
      <c r="AH344" s="1059" t="s">
        <v>1360</v>
      </c>
      <c r="AI344" s="1048">
        <f t="shared" ref="AI344" si="98">P344</f>
        <v>442</v>
      </c>
      <c r="AJ344" s="849">
        <v>498013881</v>
      </c>
      <c r="AK344" s="851">
        <f t="shared" si="93"/>
        <v>0</v>
      </c>
      <c r="AL344" s="845"/>
      <c r="AM344" s="1518">
        <f t="shared" si="94"/>
        <v>0</v>
      </c>
    </row>
    <row r="345" spans="1:39" s="654" customFormat="1">
      <c r="A345" s="665" t="s">
        <v>164</v>
      </c>
      <c r="B345" s="1971">
        <f t="shared" si="97"/>
        <v>193077000</v>
      </c>
      <c r="C345" s="261" t="s">
        <v>36</v>
      </c>
      <c r="D345" s="262" t="s">
        <v>831</v>
      </c>
      <c r="E345" s="262" t="s">
        <v>1651</v>
      </c>
      <c r="F345" s="262" t="s">
        <v>1652</v>
      </c>
      <c r="G345" s="262" t="s">
        <v>79</v>
      </c>
      <c r="H345" s="2163" t="s">
        <v>1644</v>
      </c>
      <c r="I345" s="2142">
        <v>502</v>
      </c>
      <c r="J345" s="1714"/>
      <c r="K345" s="1740"/>
      <c r="L345" s="1741">
        <v>574</v>
      </c>
      <c r="M345" s="1742">
        <f>193077480-480</f>
        <v>193077000</v>
      </c>
      <c r="N345" s="1658">
        <v>793</v>
      </c>
      <c r="O345" s="1735">
        <v>193077000</v>
      </c>
      <c r="P345" s="1655">
        <v>444</v>
      </c>
      <c r="Q345" s="1838"/>
      <c r="R345" s="1858"/>
      <c r="S345" s="1858"/>
      <c r="T345" s="1858"/>
      <c r="U345" s="1858"/>
      <c r="V345" s="1858"/>
      <c r="W345" s="1858"/>
      <c r="X345" s="1858"/>
      <c r="Y345" s="1852"/>
      <c r="Z345" s="1852">
        <v>25623809</v>
      </c>
      <c r="AA345" s="1852">
        <v>34700474</v>
      </c>
      <c r="AB345" s="1949">
        <v>53419154</v>
      </c>
      <c r="AC345" s="1824">
        <f t="shared" si="95"/>
        <v>113743437</v>
      </c>
      <c r="AD345" s="1825">
        <f t="shared" si="96"/>
        <v>79333563</v>
      </c>
      <c r="AF345" s="848">
        <v>502</v>
      </c>
      <c r="AG345" s="1291" t="s">
        <v>884</v>
      </c>
      <c r="AH345" s="1059" t="s">
        <v>1226</v>
      </c>
      <c r="AI345" s="1048">
        <f t="shared" si="92"/>
        <v>444</v>
      </c>
      <c r="AJ345" s="849">
        <f>193077480</f>
        <v>193077480</v>
      </c>
      <c r="AK345" s="851">
        <f t="shared" si="93"/>
        <v>480</v>
      </c>
      <c r="AL345" s="845"/>
      <c r="AM345" s="1518">
        <f t="shared" si="94"/>
        <v>480</v>
      </c>
    </row>
    <row r="346" spans="1:39" s="654" customFormat="1">
      <c r="A346" s="665" t="s">
        <v>164</v>
      </c>
      <c r="B346" s="1971">
        <f t="shared" si="97"/>
        <v>67340284</v>
      </c>
      <c r="C346" s="261" t="s">
        <v>36</v>
      </c>
      <c r="D346" s="262" t="s">
        <v>831</v>
      </c>
      <c r="E346" s="262" t="s">
        <v>1651</v>
      </c>
      <c r="F346" s="262" t="s">
        <v>1652</v>
      </c>
      <c r="G346" s="262" t="s">
        <v>79</v>
      </c>
      <c r="H346" s="2163" t="s">
        <v>1644</v>
      </c>
      <c r="I346" s="2142" t="s">
        <v>325</v>
      </c>
      <c r="J346" s="1714">
        <v>872</v>
      </c>
      <c r="K346" s="1740">
        <v>67340284</v>
      </c>
      <c r="L346" s="1741">
        <v>992</v>
      </c>
      <c r="M346" s="1740">
        <v>67340284</v>
      </c>
      <c r="N346" s="1658">
        <v>1199</v>
      </c>
      <c r="O346" s="1740">
        <v>67340284</v>
      </c>
      <c r="P346" s="1655">
        <v>444</v>
      </c>
      <c r="Q346" s="1838"/>
      <c r="R346" s="1858"/>
      <c r="S346" s="1858"/>
      <c r="T346" s="1858"/>
      <c r="U346" s="1858"/>
      <c r="V346" s="1858"/>
      <c r="W346" s="1858"/>
      <c r="X346" s="1858"/>
      <c r="Y346" s="1858"/>
      <c r="Z346" s="1858"/>
      <c r="AA346" s="1858"/>
      <c r="AB346" s="1982"/>
      <c r="AC346" s="1824">
        <f t="shared" si="95"/>
        <v>0</v>
      </c>
      <c r="AD346" s="1825">
        <f t="shared" si="96"/>
        <v>67340284</v>
      </c>
      <c r="AF346" s="848" t="s">
        <v>325</v>
      </c>
      <c r="AG346" s="1291" t="s">
        <v>1577</v>
      </c>
      <c r="AH346" s="1059" t="s">
        <v>1226</v>
      </c>
      <c r="AI346" s="1048">
        <f t="shared" si="92"/>
        <v>444</v>
      </c>
      <c r="AJ346" s="849">
        <v>67340284</v>
      </c>
      <c r="AK346" s="851">
        <f t="shared" si="93"/>
        <v>0</v>
      </c>
      <c r="AL346" s="845"/>
      <c r="AM346" s="1518">
        <f t="shared" si="94"/>
        <v>0</v>
      </c>
    </row>
    <row r="347" spans="1:39" s="654" customFormat="1" ht="15">
      <c r="A347" s="665" t="s">
        <v>164</v>
      </c>
      <c r="B347" s="1971">
        <f>M347</f>
        <v>0</v>
      </c>
      <c r="C347" s="261" t="s">
        <v>36</v>
      </c>
      <c r="D347" s="262" t="s">
        <v>831</v>
      </c>
      <c r="E347" s="262" t="s">
        <v>1651</v>
      </c>
      <c r="F347" s="262" t="s">
        <v>1652</v>
      </c>
      <c r="G347" s="262" t="s">
        <v>79</v>
      </c>
      <c r="H347" s="2163" t="s">
        <v>1644</v>
      </c>
      <c r="I347" s="2142" t="s">
        <v>325</v>
      </c>
      <c r="J347" s="1714"/>
      <c r="K347" s="1740"/>
      <c r="L347" s="1741"/>
      <c r="M347" s="1742"/>
      <c r="N347" s="1658"/>
      <c r="O347" s="1735"/>
      <c r="P347" s="1655"/>
      <c r="Q347" s="1838"/>
      <c r="R347" s="1858"/>
      <c r="S347" s="1858"/>
      <c r="T347" s="1858"/>
      <c r="U347" s="1858"/>
      <c r="V347" s="1858"/>
      <c r="W347" s="1858"/>
      <c r="X347" s="1858"/>
      <c r="Y347" s="1858"/>
      <c r="Z347" s="1858"/>
      <c r="AA347" s="1858"/>
      <c r="AB347" s="1839"/>
      <c r="AC347" s="1824">
        <f t="shared" si="95"/>
        <v>0</v>
      </c>
      <c r="AD347" s="1825">
        <f t="shared" si="96"/>
        <v>0</v>
      </c>
      <c r="AF347" s="848" t="s">
        <v>325</v>
      </c>
      <c r="AG347" s="1291" t="s">
        <v>493</v>
      </c>
      <c r="AH347" s="1060" t="s">
        <v>173</v>
      </c>
      <c r="AI347" s="1048">
        <f t="shared" si="92"/>
        <v>0</v>
      </c>
      <c r="AJ347" s="849">
        <f>500000000-73125772-251888417-106548334-68437477</f>
        <v>0</v>
      </c>
      <c r="AK347" s="851">
        <f t="shared" si="93"/>
        <v>0</v>
      </c>
      <c r="AL347" s="845"/>
      <c r="AM347" s="1518">
        <f t="shared" si="94"/>
        <v>0</v>
      </c>
    </row>
    <row r="348" spans="1:39" s="633" customFormat="1" ht="15">
      <c r="A348" s="655" t="s">
        <v>80</v>
      </c>
      <c r="B348" s="1966">
        <f>B340-SUM(B341:B347)</f>
        <v>480</v>
      </c>
      <c r="C348" s="656"/>
      <c r="D348" s="657"/>
      <c r="E348" s="657"/>
      <c r="F348" s="657"/>
      <c r="G348" s="657"/>
      <c r="H348" s="2150"/>
      <c r="I348" s="1669"/>
      <c r="J348" s="1678"/>
      <c r="K348" s="1679"/>
      <c r="L348" s="1680"/>
      <c r="M348" s="1681">
        <f>SUM(M341:M347)</f>
        <v>1919031002</v>
      </c>
      <c r="N348" s="1589"/>
      <c r="O348" s="1681">
        <f>SUM(O341:O347)</f>
        <v>1919031002</v>
      </c>
      <c r="P348" s="1664"/>
      <c r="Q348" s="1681">
        <f t="shared" ref="Q348:AD348" si="99">SUM(Q341:Q347)</f>
        <v>0</v>
      </c>
      <c r="R348" s="1681">
        <f t="shared" si="99"/>
        <v>0</v>
      </c>
      <c r="S348" s="1681">
        <f t="shared" si="99"/>
        <v>0</v>
      </c>
      <c r="T348" s="1681">
        <f t="shared" si="99"/>
        <v>0</v>
      </c>
      <c r="U348" s="1681">
        <f t="shared" si="99"/>
        <v>0</v>
      </c>
      <c r="V348" s="1681">
        <f t="shared" si="99"/>
        <v>0</v>
      </c>
      <c r="W348" s="1681">
        <f t="shared" si="99"/>
        <v>0</v>
      </c>
      <c r="X348" s="1681">
        <f t="shared" si="99"/>
        <v>0</v>
      </c>
      <c r="Y348" s="1681">
        <f t="shared" si="99"/>
        <v>0</v>
      </c>
      <c r="Z348" s="1681">
        <f t="shared" si="99"/>
        <v>481406479</v>
      </c>
      <c r="AA348" s="1681">
        <f t="shared" si="99"/>
        <v>196863695</v>
      </c>
      <c r="AB348" s="1681">
        <f t="shared" si="99"/>
        <v>328101224</v>
      </c>
      <c r="AC348" s="1681">
        <f t="shared" si="99"/>
        <v>1006371398</v>
      </c>
      <c r="AD348" s="1681">
        <f t="shared" si="99"/>
        <v>912659604</v>
      </c>
      <c r="AF348" s="852"/>
      <c r="AG348" s="14">
        <f>SUM(AG341:AG341)</f>
        <v>0</v>
      </c>
      <c r="AH348" s="14">
        <f>SUM(AH341:AH341)</f>
        <v>0</v>
      </c>
      <c r="AI348" s="1052">
        <f>SUM(AI341:AI341)</f>
        <v>0</v>
      </c>
      <c r="AJ348" s="1681">
        <f>SUM(AJ341:AJ347)</f>
        <v>1919031482</v>
      </c>
      <c r="AK348" s="648">
        <f>SUM(AK341:AK347)</f>
        <v>480</v>
      </c>
      <c r="AL348" s="845">
        <f>B340-AJ348</f>
        <v>0</v>
      </c>
    </row>
    <row r="349" spans="1:39" s="633" customFormat="1" ht="31.5" customHeight="1">
      <c r="A349" s="763" t="s">
        <v>168</v>
      </c>
      <c r="B349" s="1970">
        <f>100000000-55320000-44680000</f>
        <v>0</v>
      </c>
      <c r="C349" s="1283" t="s">
        <v>36</v>
      </c>
      <c r="D349" s="1284" t="s">
        <v>831</v>
      </c>
      <c r="E349" s="1284" t="s">
        <v>1651</v>
      </c>
      <c r="F349" s="1284" t="s">
        <v>1653</v>
      </c>
      <c r="G349" s="1284" t="s">
        <v>79</v>
      </c>
      <c r="H349" s="2160" t="s">
        <v>1644</v>
      </c>
      <c r="I349" s="1725"/>
      <c r="J349" s="1726"/>
      <c r="K349" s="1727"/>
      <c r="L349" s="1733"/>
      <c r="M349" s="1729"/>
      <c r="N349" s="1734"/>
      <c r="O349" s="1731"/>
      <c r="P349" s="1732"/>
      <c r="Q349" s="1832"/>
      <c r="R349" s="1857"/>
      <c r="S349" s="1857"/>
      <c r="T349" s="1857"/>
      <c r="U349" s="1857"/>
      <c r="V349" s="1857"/>
      <c r="W349" s="1857"/>
      <c r="X349" s="1857"/>
      <c r="Y349" s="1857"/>
      <c r="Z349" s="1857"/>
      <c r="AA349" s="1857"/>
      <c r="AB349" s="1833"/>
      <c r="AC349" s="1832"/>
      <c r="AD349" s="1833"/>
      <c r="AF349" s="1186"/>
      <c r="AG349" s="663"/>
      <c r="AH349" s="663"/>
      <c r="AI349" s="663"/>
      <c r="AJ349" s="1857"/>
      <c r="AK349" s="664"/>
      <c r="AL349" s="845"/>
    </row>
    <row r="350" spans="1:39" s="654" customFormat="1" ht="15">
      <c r="A350" s="665" t="s">
        <v>164</v>
      </c>
      <c r="B350" s="1971">
        <f>M350</f>
        <v>0</v>
      </c>
      <c r="C350" s="261" t="s">
        <v>36</v>
      </c>
      <c r="D350" s="262" t="s">
        <v>831</v>
      </c>
      <c r="E350" s="262" t="s">
        <v>1651</v>
      </c>
      <c r="F350" s="262" t="s">
        <v>1652</v>
      </c>
      <c r="G350" s="262" t="s">
        <v>79</v>
      </c>
      <c r="H350" s="2163" t="s">
        <v>1644</v>
      </c>
      <c r="I350" s="2142">
        <v>367</v>
      </c>
      <c r="J350" s="1650">
        <v>0</v>
      </c>
      <c r="K350" s="1651"/>
      <c r="L350" s="1658"/>
      <c r="M350" s="1659"/>
      <c r="N350" s="1658"/>
      <c r="O350" s="1604"/>
      <c r="P350" s="1655"/>
      <c r="Q350" s="1851"/>
      <c r="R350" s="1852"/>
      <c r="S350" s="1852"/>
      <c r="T350" s="1852"/>
      <c r="U350" s="1852"/>
      <c r="V350" s="1852"/>
      <c r="W350" s="1852"/>
      <c r="X350" s="1852"/>
      <c r="Y350" s="1852"/>
      <c r="Z350" s="1852"/>
      <c r="AA350" s="1852"/>
      <c r="AB350" s="1853"/>
      <c r="AC350" s="1824">
        <f>SUM(Q350:AB350)</f>
        <v>0</v>
      </c>
      <c r="AD350" s="1825">
        <f>O350-AC350</f>
        <v>0</v>
      </c>
      <c r="AF350" s="848">
        <v>367</v>
      </c>
      <c r="AG350" s="1291" t="s">
        <v>471</v>
      </c>
      <c r="AH350" s="1060" t="s">
        <v>173</v>
      </c>
      <c r="AI350" s="1048">
        <f>P350</f>
        <v>0</v>
      </c>
      <c r="AJ350" s="849">
        <f>100000000-55320000-44680000</f>
        <v>0</v>
      </c>
      <c r="AK350" s="851">
        <f>AJ350-O350</f>
        <v>0</v>
      </c>
      <c r="AL350" s="845"/>
      <c r="AM350" s="1518">
        <f>AJ350-M350</f>
        <v>0</v>
      </c>
    </row>
    <row r="351" spans="1:39" s="633" customFormat="1" ht="15">
      <c r="A351" s="655" t="s">
        <v>80</v>
      </c>
      <c r="B351" s="1966">
        <f>B349-SUM(B350:B350)</f>
        <v>0</v>
      </c>
      <c r="C351" s="656"/>
      <c r="D351" s="657"/>
      <c r="E351" s="657"/>
      <c r="F351" s="657"/>
      <c r="G351" s="657"/>
      <c r="H351" s="2150"/>
      <c r="I351" s="1669"/>
      <c r="J351" s="1678"/>
      <c r="K351" s="1679"/>
      <c r="L351" s="1680"/>
      <c r="M351" s="1681">
        <f>SUM(M350:M350)</f>
        <v>0</v>
      </c>
      <c r="N351" s="1589"/>
      <c r="O351" s="1681">
        <f>SUM(O350:O350)</f>
        <v>0</v>
      </c>
      <c r="P351" s="1664"/>
      <c r="Q351" s="1679">
        <f t="shared" ref="Q351:AD351" si="100">SUM(Q350:Q350)</f>
        <v>0</v>
      </c>
      <c r="R351" s="1681">
        <f t="shared" si="100"/>
        <v>0</v>
      </c>
      <c r="S351" s="1681">
        <f t="shared" si="100"/>
        <v>0</v>
      </c>
      <c r="T351" s="1681">
        <f t="shared" si="100"/>
        <v>0</v>
      </c>
      <c r="U351" s="1681">
        <f t="shared" si="100"/>
        <v>0</v>
      </c>
      <c r="V351" s="1681">
        <f t="shared" si="100"/>
        <v>0</v>
      </c>
      <c r="W351" s="1681">
        <f t="shared" si="100"/>
        <v>0</v>
      </c>
      <c r="X351" s="1681">
        <f t="shared" si="100"/>
        <v>0</v>
      </c>
      <c r="Y351" s="1681">
        <f t="shared" si="100"/>
        <v>0</v>
      </c>
      <c r="Z351" s="1681">
        <f t="shared" si="100"/>
        <v>0</v>
      </c>
      <c r="AA351" s="1681">
        <f t="shared" si="100"/>
        <v>0</v>
      </c>
      <c r="AB351" s="1834">
        <f t="shared" si="100"/>
        <v>0</v>
      </c>
      <c r="AC351" s="1679">
        <f t="shared" si="100"/>
        <v>0</v>
      </c>
      <c r="AD351" s="1834">
        <f t="shared" si="100"/>
        <v>0</v>
      </c>
      <c r="AF351" s="852"/>
      <c r="AG351" s="14">
        <f>SUM(AG350:AG350)</f>
        <v>0</v>
      </c>
      <c r="AH351" s="14">
        <f>SUM(AH350:AH350)</f>
        <v>0</v>
      </c>
      <c r="AI351" s="1052">
        <f>SUM(AI350:AI350)</f>
        <v>0</v>
      </c>
      <c r="AJ351" s="1663">
        <f>SUM(AJ350:AJ350)</f>
        <v>0</v>
      </c>
      <c r="AK351" s="181">
        <f>SUM(AK350:AK350)</f>
        <v>0</v>
      </c>
      <c r="AL351" s="845">
        <f>B349-AJ351</f>
        <v>0</v>
      </c>
    </row>
    <row r="352" spans="1:39" s="633" customFormat="1" ht="31.5" customHeight="1">
      <c r="A352" s="763" t="s">
        <v>1336</v>
      </c>
      <c r="B352" s="1970">
        <v>700000000</v>
      </c>
      <c r="C352" s="1283" t="s">
        <v>1347</v>
      </c>
      <c r="D352" s="1284" t="s">
        <v>831</v>
      </c>
      <c r="E352" s="1284" t="s">
        <v>1651</v>
      </c>
      <c r="F352" s="1284" t="s">
        <v>1653</v>
      </c>
      <c r="G352" s="1284" t="s">
        <v>79</v>
      </c>
      <c r="H352" s="2160" t="s">
        <v>1644</v>
      </c>
      <c r="I352" s="1725"/>
      <c r="J352" s="1726"/>
      <c r="K352" s="1727"/>
      <c r="L352" s="1733"/>
      <c r="M352" s="1729"/>
      <c r="N352" s="1734"/>
      <c r="O352" s="1731"/>
      <c r="P352" s="1732"/>
      <c r="Q352" s="1832"/>
      <c r="R352" s="1857"/>
      <c r="S352" s="1857"/>
      <c r="T352" s="1857"/>
      <c r="U352" s="1857"/>
      <c r="V352" s="1857"/>
      <c r="W352" s="1857"/>
      <c r="X352" s="1857"/>
      <c r="Y352" s="1857"/>
      <c r="Z352" s="1857"/>
      <c r="AA352" s="1857"/>
      <c r="AB352" s="1833"/>
      <c r="AC352" s="1832"/>
      <c r="AD352" s="1833"/>
      <c r="AF352" s="1186"/>
      <c r="AG352" s="663"/>
      <c r="AH352" s="663"/>
      <c r="AI352" s="663"/>
      <c r="AJ352" s="1857"/>
      <c r="AK352" s="664"/>
      <c r="AL352" s="845"/>
    </row>
    <row r="353" spans="1:39" s="1124" customFormat="1">
      <c r="A353" s="665" t="s">
        <v>1337</v>
      </c>
      <c r="B353" s="1971">
        <f>M353</f>
        <v>124932487</v>
      </c>
      <c r="C353" s="261" t="s">
        <v>1347</v>
      </c>
      <c r="D353" s="262" t="s">
        <v>831</v>
      </c>
      <c r="E353" s="262" t="s">
        <v>1651</v>
      </c>
      <c r="F353" s="262" t="s">
        <v>1653</v>
      </c>
      <c r="G353" s="262" t="s">
        <v>79</v>
      </c>
      <c r="H353" s="2163" t="s">
        <v>1644</v>
      </c>
      <c r="I353" s="2142">
        <v>612</v>
      </c>
      <c r="J353" s="1720">
        <v>722</v>
      </c>
      <c r="K353" s="1894">
        <v>124932487</v>
      </c>
      <c r="L353" s="1739">
        <v>828</v>
      </c>
      <c r="M353" s="1891">
        <f>102605307-102605307+124932487</f>
        <v>124932487</v>
      </c>
      <c r="N353" s="1703">
        <v>1193</v>
      </c>
      <c r="O353" s="1610">
        <v>124932487</v>
      </c>
      <c r="P353" s="1874">
        <v>514</v>
      </c>
      <c r="Q353" s="1851"/>
      <c r="R353" s="1852"/>
      <c r="S353" s="1852"/>
      <c r="T353" s="1852"/>
      <c r="U353" s="1852"/>
      <c r="V353" s="1852"/>
      <c r="W353" s="1852"/>
      <c r="X353" s="1852"/>
      <c r="Y353" s="1852"/>
      <c r="Z353" s="1852"/>
      <c r="AA353" s="1852"/>
      <c r="AB353" s="1853"/>
      <c r="AC353" s="1824">
        <f>SUM(Q353:AB353)</f>
        <v>0</v>
      </c>
      <c r="AD353" s="1825">
        <f>O353-AC353</f>
        <v>124932487</v>
      </c>
      <c r="AF353" s="1899">
        <v>612</v>
      </c>
      <c r="AG353" s="1875" t="s">
        <v>1338</v>
      </c>
      <c r="AH353" s="489" t="s">
        <v>1226</v>
      </c>
      <c r="AI353" s="1048">
        <f>P353</f>
        <v>514</v>
      </c>
      <c r="AJ353" s="1901">
        <f>175000000-50067513</f>
        <v>124932487</v>
      </c>
      <c r="AK353" s="851">
        <f>AJ353-O353</f>
        <v>0</v>
      </c>
      <c r="AL353" s="1293"/>
      <c r="AM353" s="1518">
        <f>AJ353-M353</f>
        <v>0</v>
      </c>
    </row>
    <row r="354" spans="1:39" s="654" customFormat="1">
      <c r="A354" s="665" t="s">
        <v>1337</v>
      </c>
      <c r="B354" s="1971">
        <f>M354</f>
        <v>575067513</v>
      </c>
      <c r="C354" s="261" t="s">
        <v>1347</v>
      </c>
      <c r="D354" s="262" t="s">
        <v>831</v>
      </c>
      <c r="E354" s="262" t="s">
        <v>1651</v>
      </c>
      <c r="F354" s="262" t="s">
        <v>1652</v>
      </c>
      <c r="G354" s="262" t="s">
        <v>79</v>
      </c>
      <c r="H354" s="2163"/>
      <c r="I354" s="2142">
        <v>613</v>
      </c>
      <c r="J354" s="1650">
        <v>724</v>
      </c>
      <c r="K354" s="1651">
        <v>575067513</v>
      </c>
      <c r="L354" s="1658">
        <v>830</v>
      </c>
      <c r="M354" s="1659">
        <f>525000000-525000000+575067513</f>
        <v>575067513</v>
      </c>
      <c r="N354" s="1658">
        <v>1186</v>
      </c>
      <c r="O354" s="1604">
        <v>575067513</v>
      </c>
      <c r="P354" s="1655">
        <v>512</v>
      </c>
      <c r="Q354" s="1851"/>
      <c r="R354" s="1852"/>
      <c r="S354" s="1852"/>
      <c r="T354" s="1852"/>
      <c r="U354" s="1852"/>
      <c r="V354" s="1852"/>
      <c r="W354" s="1852"/>
      <c r="X354" s="1852"/>
      <c r="Y354" s="1852"/>
      <c r="Z354" s="1852"/>
      <c r="AA354" s="1852"/>
      <c r="AB354" s="1853"/>
      <c r="AC354" s="1824">
        <f>SUM(Q354:AB354)</f>
        <v>0</v>
      </c>
      <c r="AD354" s="1825">
        <f>O354-AC354</f>
        <v>575067513</v>
      </c>
      <c r="AF354" s="1899">
        <v>613</v>
      </c>
      <c r="AG354" s="1876" t="s">
        <v>1339</v>
      </c>
      <c r="AH354" s="1059" t="s">
        <v>1620</v>
      </c>
      <c r="AI354" s="1048">
        <f>P354</f>
        <v>512</v>
      </c>
      <c r="AJ354" s="849">
        <f>525000000+50067513</f>
        <v>575067513</v>
      </c>
      <c r="AK354" s="851">
        <f>AJ354-O354</f>
        <v>0</v>
      </c>
      <c r="AL354" s="845"/>
      <c r="AM354" s="1518">
        <f>AJ354-M354</f>
        <v>0</v>
      </c>
    </row>
    <row r="355" spans="1:39" s="633" customFormat="1" ht="15">
      <c r="A355" s="655" t="s">
        <v>80</v>
      </c>
      <c r="B355" s="1966">
        <f>B352-SUM(B353:B354)</f>
        <v>0</v>
      </c>
      <c r="C355" s="656"/>
      <c r="D355" s="657"/>
      <c r="E355" s="657"/>
      <c r="F355" s="657"/>
      <c r="G355" s="657"/>
      <c r="H355" s="2150"/>
      <c r="I355" s="1669"/>
      <c r="J355" s="1678"/>
      <c r="K355" s="1679"/>
      <c r="L355" s="1680"/>
      <c r="M355" s="1681">
        <f>SUM(M353:M354)</f>
        <v>700000000</v>
      </c>
      <c r="N355" s="1589"/>
      <c r="O355" s="1681">
        <f>SUM(O353:O354)</f>
        <v>700000000</v>
      </c>
      <c r="P355" s="1664"/>
      <c r="Q355" s="1679">
        <f t="shared" ref="Q355:AD355" si="101">SUM(Q353:Q354)</f>
        <v>0</v>
      </c>
      <c r="R355" s="1679">
        <f t="shared" si="101"/>
        <v>0</v>
      </c>
      <c r="S355" s="1679">
        <f t="shared" si="101"/>
        <v>0</v>
      </c>
      <c r="T355" s="1679">
        <f t="shared" si="101"/>
        <v>0</v>
      </c>
      <c r="U355" s="1679">
        <f t="shared" si="101"/>
        <v>0</v>
      </c>
      <c r="V355" s="1679">
        <f t="shared" si="101"/>
        <v>0</v>
      </c>
      <c r="W355" s="1679">
        <f t="shared" si="101"/>
        <v>0</v>
      </c>
      <c r="X355" s="1679">
        <f t="shared" si="101"/>
        <v>0</v>
      </c>
      <c r="Y355" s="1679">
        <f t="shared" si="101"/>
        <v>0</v>
      </c>
      <c r="Z355" s="1679">
        <f t="shared" si="101"/>
        <v>0</v>
      </c>
      <c r="AA355" s="1679">
        <f t="shared" si="101"/>
        <v>0</v>
      </c>
      <c r="AB355" s="1834">
        <f t="shared" si="101"/>
        <v>0</v>
      </c>
      <c r="AC355" s="1681">
        <f t="shared" si="101"/>
        <v>0</v>
      </c>
      <c r="AD355" s="1681">
        <f t="shared" si="101"/>
        <v>700000000</v>
      </c>
      <c r="AF355" s="852"/>
      <c r="AG355" s="14">
        <f>SUM(AG354:AG354)</f>
        <v>0</v>
      </c>
      <c r="AH355" s="14">
        <f>SUM(AH354:AH354)</f>
        <v>0</v>
      </c>
      <c r="AI355" s="1052">
        <f>SUM(AI354:AI354)</f>
        <v>512</v>
      </c>
      <c r="AJ355" s="1681">
        <f>SUM(AJ353:AJ354)</f>
        <v>700000000</v>
      </c>
      <c r="AK355" s="1681">
        <f>SUM(AK353:AK354)</f>
        <v>0</v>
      </c>
      <c r="AL355" s="845">
        <f>B352-AJ355</f>
        <v>0</v>
      </c>
    </row>
    <row r="356" spans="1:39" s="633" customFormat="1" ht="31.5" customHeight="1">
      <c r="A356" s="763" t="s">
        <v>1336</v>
      </c>
      <c r="B356" s="1970">
        <f>77224269+304526568</f>
        <v>381750837</v>
      </c>
      <c r="C356" s="1283" t="s">
        <v>36</v>
      </c>
      <c r="D356" s="1284" t="s">
        <v>831</v>
      </c>
      <c r="E356" s="1284" t="s">
        <v>1651</v>
      </c>
      <c r="F356" s="1284" t="s">
        <v>1653</v>
      </c>
      <c r="G356" s="1284" t="s">
        <v>79</v>
      </c>
      <c r="H356" s="2160" t="s">
        <v>1644</v>
      </c>
      <c r="I356" s="1725"/>
      <c r="J356" s="1726"/>
      <c r="K356" s="1727"/>
      <c r="L356" s="1733"/>
      <c r="M356" s="1729"/>
      <c r="N356" s="1734"/>
      <c r="O356" s="1731"/>
      <c r="P356" s="1732"/>
      <c r="Q356" s="1832"/>
      <c r="R356" s="1857"/>
      <c r="S356" s="1857"/>
      <c r="T356" s="1857"/>
      <c r="U356" s="1857"/>
      <c r="V356" s="1857"/>
      <c r="W356" s="1857"/>
      <c r="X356" s="1857"/>
      <c r="Y356" s="1857"/>
      <c r="Z356" s="1857"/>
      <c r="AA356" s="1857"/>
      <c r="AB356" s="1833"/>
      <c r="AC356" s="1832"/>
      <c r="AD356" s="1833"/>
      <c r="AF356" s="1186"/>
      <c r="AG356" s="663"/>
      <c r="AH356" s="663"/>
      <c r="AI356" s="663"/>
      <c r="AJ356" s="1857"/>
      <c r="AK356" s="664"/>
      <c r="AL356" s="845"/>
    </row>
    <row r="357" spans="1:39" s="1124" customFormat="1">
      <c r="A357" s="665" t="s">
        <v>1337</v>
      </c>
      <c r="B357" s="1971">
        <f>M357</f>
        <v>77175513</v>
      </c>
      <c r="C357" s="261" t="s">
        <v>36</v>
      </c>
      <c r="D357" s="262" t="s">
        <v>831</v>
      </c>
      <c r="E357" s="262" t="s">
        <v>1651</v>
      </c>
      <c r="F357" s="262" t="s">
        <v>1653</v>
      </c>
      <c r="G357" s="262" t="s">
        <v>79</v>
      </c>
      <c r="H357" s="2163" t="s">
        <v>1644</v>
      </c>
      <c r="I357" s="2142" t="s">
        <v>1435</v>
      </c>
      <c r="J357" s="1720">
        <v>723</v>
      </c>
      <c r="K357" s="1721">
        <v>77224269</v>
      </c>
      <c r="L357" s="1739">
        <v>829</v>
      </c>
      <c r="M357" s="1721">
        <f>77224269-48756</f>
        <v>77175513</v>
      </c>
      <c r="N357" s="1703">
        <v>1192</v>
      </c>
      <c r="O357" s="1610">
        <v>77175513</v>
      </c>
      <c r="P357" s="1874">
        <v>514</v>
      </c>
      <c r="Q357" s="1851"/>
      <c r="R357" s="1852"/>
      <c r="S357" s="1852"/>
      <c r="T357" s="1852"/>
      <c r="U357" s="1852"/>
      <c r="V357" s="1852"/>
      <c r="W357" s="1852"/>
      <c r="X357" s="1852"/>
      <c r="Y357" s="1852"/>
      <c r="Z357" s="1852"/>
      <c r="AA357" s="1852"/>
      <c r="AB357" s="1853"/>
      <c r="AC357" s="1824">
        <f>SUM(Q357:AB357)</f>
        <v>0</v>
      </c>
      <c r="AD357" s="1825">
        <f>O357-AC357</f>
        <v>77175513</v>
      </c>
      <c r="AF357" s="1899" t="s">
        <v>1435</v>
      </c>
      <c r="AG357" s="1875" t="s">
        <v>1436</v>
      </c>
      <c r="AH357" s="489" t="s">
        <v>1226</v>
      </c>
      <c r="AI357" s="1048">
        <f>P357</f>
        <v>514</v>
      </c>
      <c r="AJ357" s="1901">
        <v>77224269</v>
      </c>
      <c r="AK357" s="851">
        <f>AJ357-O357</f>
        <v>48756</v>
      </c>
      <c r="AL357" s="1293"/>
      <c r="AM357" s="1518">
        <f>AJ357-M357</f>
        <v>48756</v>
      </c>
    </row>
    <row r="358" spans="1:39" s="654" customFormat="1">
      <c r="A358" s="665" t="s">
        <v>1337</v>
      </c>
      <c r="B358" s="1971">
        <f>M358</f>
        <v>264014470</v>
      </c>
      <c r="C358" s="261" t="s">
        <v>36</v>
      </c>
      <c r="D358" s="262" t="s">
        <v>831</v>
      </c>
      <c r="E358" s="262" t="s">
        <v>1651</v>
      </c>
      <c r="F358" s="262" t="s">
        <v>1652</v>
      </c>
      <c r="G358" s="262" t="s">
        <v>79</v>
      </c>
      <c r="H358" s="2163" t="s">
        <v>1644</v>
      </c>
      <c r="I358" s="2142" t="s">
        <v>1431</v>
      </c>
      <c r="J358" s="1714">
        <v>725</v>
      </c>
      <c r="K358" s="1740">
        <v>304526568</v>
      </c>
      <c r="L358" s="1741">
        <v>831</v>
      </c>
      <c r="M358" s="1740">
        <f>304526568-40512098</f>
        <v>264014470</v>
      </c>
      <c r="N358" s="1658">
        <v>1187</v>
      </c>
      <c r="O358" s="1735">
        <v>264014470</v>
      </c>
      <c r="P358" s="1655">
        <v>512</v>
      </c>
      <c r="Q358" s="1838"/>
      <c r="R358" s="1838"/>
      <c r="S358" s="1838"/>
      <c r="T358" s="1838"/>
      <c r="U358" s="1838"/>
      <c r="V358" s="1838"/>
      <c r="W358" s="1838"/>
      <c r="X358" s="1838"/>
      <c r="Y358" s="1838"/>
      <c r="Z358" s="1838"/>
      <c r="AA358" s="1838"/>
      <c r="AB358" s="1839"/>
      <c r="AC358" s="1824">
        <f>SUM(Q358:AB358)</f>
        <v>0</v>
      </c>
      <c r="AD358" s="1825">
        <f>O358-AC358</f>
        <v>264014470</v>
      </c>
      <c r="AF358" s="1899" t="s">
        <v>1431</v>
      </c>
      <c r="AG358" s="1876" t="s">
        <v>1424</v>
      </c>
      <c r="AH358" s="1059" t="s">
        <v>1620</v>
      </c>
      <c r="AI358" s="1048">
        <f>P358</f>
        <v>512</v>
      </c>
      <c r="AJ358" s="849">
        <v>304526568</v>
      </c>
      <c r="AK358" s="851">
        <f>AJ358-O358</f>
        <v>40512098</v>
      </c>
      <c r="AL358" s="845"/>
      <c r="AM358" s="1518">
        <f>AJ358-M358</f>
        <v>40512098</v>
      </c>
    </row>
    <row r="359" spans="1:39" s="633" customFormat="1" ht="15">
      <c r="A359" s="655" t="s">
        <v>80</v>
      </c>
      <c r="B359" s="1966">
        <f>B356-SUM(B357:B358)</f>
        <v>40560854</v>
      </c>
      <c r="C359" s="656"/>
      <c r="D359" s="657"/>
      <c r="E359" s="657"/>
      <c r="F359" s="657"/>
      <c r="G359" s="657"/>
      <c r="H359" s="2150"/>
      <c r="I359" s="1669"/>
      <c r="J359" s="1678"/>
      <c r="K359" s="1679"/>
      <c r="L359" s="1680"/>
      <c r="M359" s="1681">
        <f>SUM(M357:M358)</f>
        <v>341189983</v>
      </c>
      <c r="N359" s="1589"/>
      <c r="O359" s="1681">
        <f>SUM(O357:O358)</f>
        <v>341189983</v>
      </c>
      <c r="P359" s="1664"/>
      <c r="Q359" s="1679">
        <f t="shared" ref="Q359:AB359" si="102">SUM(Q357:Q357)</f>
        <v>0</v>
      </c>
      <c r="R359" s="1679">
        <f t="shared" si="102"/>
        <v>0</v>
      </c>
      <c r="S359" s="1679">
        <f t="shared" si="102"/>
        <v>0</v>
      </c>
      <c r="T359" s="1679">
        <f t="shared" si="102"/>
        <v>0</v>
      </c>
      <c r="U359" s="1679">
        <f t="shared" si="102"/>
        <v>0</v>
      </c>
      <c r="V359" s="1679">
        <f t="shared" si="102"/>
        <v>0</v>
      </c>
      <c r="W359" s="1679">
        <f t="shared" si="102"/>
        <v>0</v>
      </c>
      <c r="X359" s="1679">
        <f t="shared" si="102"/>
        <v>0</v>
      </c>
      <c r="Y359" s="1679">
        <f t="shared" si="102"/>
        <v>0</v>
      </c>
      <c r="Z359" s="1679">
        <f t="shared" si="102"/>
        <v>0</v>
      </c>
      <c r="AA359" s="1679">
        <f t="shared" si="102"/>
        <v>0</v>
      </c>
      <c r="AB359" s="1834">
        <f t="shared" si="102"/>
        <v>0</v>
      </c>
      <c r="AC359" s="1681">
        <f>SUM(AC357:AC358)</f>
        <v>0</v>
      </c>
      <c r="AD359" s="1681">
        <f>SUM(AD357:AD358)</f>
        <v>341189983</v>
      </c>
      <c r="AF359" s="852"/>
      <c r="AG359" s="14"/>
      <c r="AH359" s="14"/>
      <c r="AI359" s="1052"/>
      <c r="AJ359" s="1681">
        <f>SUM(AJ357:AJ358)</f>
        <v>381750837</v>
      </c>
      <c r="AK359" s="1681">
        <f>SUM(AK357:AK358)</f>
        <v>40560854</v>
      </c>
      <c r="AL359" s="845">
        <f>B356-AJ359</f>
        <v>0</v>
      </c>
    </row>
    <row r="360" spans="1:39" s="633" customFormat="1" ht="15">
      <c r="A360" s="666" t="s">
        <v>172</v>
      </c>
      <c r="B360" s="1972">
        <f>B361+B462</f>
        <v>2557895735</v>
      </c>
      <c r="C360" s="768"/>
      <c r="D360" s="768"/>
      <c r="E360" s="768"/>
      <c r="F360" s="768"/>
      <c r="G360" s="2135"/>
      <c r="H360" s="778"/>
      <c r="I360" s="1743"/>
      <c r="J360" s="1744"/>
      <c r="K360" s="1745"/>
      <c r="L360" s="1746"/>
      <c r="M360" s="1745"/>
      <c r="N360" s="1746"/>
      <c r="O360" s="1745"/>
      <c r="P360" s="1747"/>
      <c r="Q360" s="1744"/>
      <c r="R360" s="1745"/>
      <c r="S360" s="1745"/>
      <c r="T360" s="1745"/>
      <c r="U360" s="1745"/>
      <c r="V360" s="1745"/>
      <c r="W360" s="1745"/>
      <c r="X360" s="1745"/>
      <c r="Y360" s="1745"/>
      <c r="Z360" s="1745"/>
      <c r="AA360" s="1745"/>
      <c r="AB360" s="1835"/>
      <c r="AC360" s="1744"/>
      <c r="AD360" s="1835"/>
      <c r="AF360" s="1188"/>
      <c r="AG360" s="776"/>
      <c r="AH360" s="776"/>
      <c r="AI360" s="1315"/>
      <c r="AJ360" s="1745"/>
      <c r="AK360" s="778"/>
      <c r="AL360" s="845"/>
    </row>
    <row r="361" spans="1:39" s="654" customFormat="1" ht="25.5" customHeight="1">
      <c r="A361" s="666" t="s">
        <v>86</v>
      </c>
      <c r="B361" s="1970">
        <f>1828000000+37700000+63721000+256548334+156936164-8853333+83926937-339700</f>
        <v>2417639402</v>
      </c>
      <c r="C361" s="1285" t="s">
        <v>36</v>
      </c>
      <c r="D361" s="1285" t="s">
        <v>832</v>
      </c>
      <c r="E361" s="1285" t="s">
        <v>1651</v>
      </c>
      <c r="F361" s="1285" t="s">
        <v>87</v>
      </c>
      <c r="G361" s="2136" t="s">
        <v>79</v>
      </c>
      <c r="H361" s="2164" t="s">
        <v>1645</v>
      </c>
      <c r="I361" s="1743"/>
      <c r="J361" s="1748">
        <v>0</v>
      </c>
      <c r="K361" s="1749"/>
      <c r="L361" s="1750"/>
      <c r="M361" s="1749"/>
      <c r="N361" s="1750"/>
      <c r="O361" s="1749"/>
      <c r="P361" s="1751"/>
      <c r="Q361" s="1748"/>
      <c r="R361" s="1749"/>
      <c r="S361" s="1749"/>
      <c r="T361" s="1749"/>
      <c r="U361" s="1749"/>
      <c r="V361" s="1749"/>
      <c r="W361" s="1749"/>
      <c r="X361" s="1749"/>
      <c r="Y361" s="1749"/>
      <c r="Z361" s="1749"/>
      <c r="AA361" s="1749"/>
      <c r="AB361" s="1836"/>
      <c r="AC361" s="1748"/>
      <c r="AD361" s="1836"/>
      <c r="AF361" s="1189"/>
      <c r="AG361" s="777"/>
      <c r="AH361" s="777"/>
      <c r="AI361" s="777"/>
      <c r="AJ361" s="1749"/>
      <c r="AK361" s="779"/>
      <c r="AL361" s="845"/>
      <c r="AM361" s="1517"/>
    </row>
    <row r="362" spans="1:39" s="654" customFormat="1">
      <c r="A362" s="667" t="s">
        <v>86</v>
      </c>
      <c r="B362" s="1969">
        <f>M362</f>
        <v>32450000</v>
      </c>
      <c r="C362" s="668" t="s">
        <v>36</v>
      </c>
      <c r="D362" s="668" t="s">
        <v>832</v>
      </c>
      <c r="E362" s="668" t="s">
        <v>1651</v>
      </c>
      <c r="F362" s="668" t="s">
        <v>87</v>
      </c>
      <c r="G362" s="2137" t="s">
        <v>79</v>
      </c>
      <c r="H362" s="2165" t="s">
        <v>1645</v>
      </c>
      <c r="I362" s="2142">
        <v>272</v>
      </c>
      <c r="J362" s="1650">
        <v>0</v>
      </c>
      <c r="K362" s="1651"/>
      <c r="L362" s="1652">
        <v>93</v>
      </c>
      <c r="M362" s="1659">
        <v>32450000</v>
      </c>
      <c r="N362" s="1593">
        <v>104</v>
      </c>
      <c r="O362" s="1604">
        <v>32450000</v>
      </c>
      <c r="P362" s="1655">
        <v>64</v>
      </c>
      <c r="Q362" s="1851"/>
      <c r="R362" s="1852">
        <v>885000</v>
      </c>
      <c r="S362" s="1852">
        <f>VLOOKUP(N362,[9]Hoja2!N$2:T$77,7,0)</f>
        <v>2950000</v>
      </c>
      <c r="T362" s="1852">
        <v>2950000</v>
      </c>
      <c r="U362" s="1852">
        <v>2950000</v>
      </c>
      <c r="V362" s="1852">
        <v>2950000</v>
      </c>
      <c r="W362" s="1852">
        <v>2950000</v>
      </c>
      <c r="X362" s="1852">
        <v>2950000</v>
      </c>
      <c r="Y362" s="1852">
        <v>2950000</v>
      </c>
      <c r="Z362" s="1852">
        <v>2950000</v>
      </c>
      <c r="AA362" s="1852">
        <v>2950000</v>
      </c>
      <c r="AB362" s="1949">
        <f>2950000+2065000</f>
        <v>5015000</v>
      </c>
      <c r="AC362" s="1824">
        <f>SUM(Q362:AB362)</f>
        <v>32450000</v>
      </c>
      <c r="AD362" s="1825">
        <f t="shared" ref="AD362" si="103">O362-AC362</f>
        <v>0</v>
      </c>
      <c r="AF362" s="848">
        <v>272</v>
      </c>
      <c r="AG362" s="1291" t="s">
        <v>184</v>
      </c>
      <c r="AH362" s="1059" t="s">
        <v>528</v>
      </c>
      <c r="AI362" s="1048">
        <f>P362</f>
        <v>64</v>
      </c>
      <c r="AJ362" s="849">
        <v>32450000</v>
      </c>
      <c r="AK362" s="851">
        <f t="shared" ref="AK362:AK425" si="104">AJ362-O362</f>
        <v>0</v>
      </c>
      <c r="AL362" s="845"/>
      <c r="AM362" s="1518">
        <f t="shared" ref="AM362:AM393" si="105">AJ362-M362</f>
        <v>0</v>
      </c>
    </row>
    <row r="363" spans="1:39" s="654" customFormat="1">
      <c r="A363" s="667" t="s">
        <v>86</v>
      </c>
      <c r="B363" s="1969">
        <f t="shared" ref="B363:B427" si="106">M363</f>
        <v>3835000</v>
      </c>
      <c r="C363" s="668" t="s">
        <v>36</v>
      </c>
      <c r="D363" s="668" t="s">
        <v>832</v>
      </c>
      <c r="E363" s="668" t="s">
        <v>1651</v>
      </c>
      <c r="F363" s="668" t="s">
        <v>87</v>
      </c>
      <c r="G363" s="2137" t="s">
        <v>79</v>
      </c>
      <c r="H363" s="2165" t="s">
        <v>1645</v>
      </c>
      <c r="I363" s="2142" t="s">
        <v>325</v>
      </c>
      <c r="J363" s="1650">
        <v>791</v>
      </c>
      <c r="K363" s="1651">
        <v>3835000</v>
      </c>
      <c r="L363" s="1652">
        <v>884</v>
      </c>
      <c r="M363" s="1659">
        <v>3835000</v>
      </c>
      <c r="N363" s="1593">
        <v>1136</v>
      </c>
      <c r="O363" s="1604">
        <v>3835000</v>
      </c>
      <c r="P363" s="1655">
        <v>64</v>
      </c>
      <c r="Q363" s="1851"/>
      <c r="R363" s="1852"/>
      <c r="S363" s="1852"/>
      <c r="T363" s="1852"/>
      <c r="U363" s="1852"/>
      <c r="V363" s="1852"/>
      <c r="W363" s="1852"/>
      <c r="X363" s="1852"/>
      <c r="Y363" s="1852"/>
      <c r="Z363" s="1852"/>
      <c r="AA363" s="1852"/>
      <c r="AB363" s="1949">
        <v>885000</v>
      </c>
      <c r="AC363" s="1824">
        <f t="shared" ref="AC363:AC426" si="107">SUM(Q363:AB363)</f>
        <v>885000</v>
      </c>
      <c r="AD363" s="1825">
        <f t="shared" ref="AD363:AD426" si="108">O363-AC363</f>
        <v>2950000</v>
      </c>
      <c r="AF363" s="848" t="s">
        <v>325</v>
      </c>
      <c r="AG363" s="1291" t="s">
        <v>1510</v>
      </c>
      <c r="AH363" s="1059" t="s">
        <v>528</v>
      </c>
      <c r="AI363" s="1048">
        <f>P363</f>
        <v>64</v>
      </c>
      <c r="AJ363" s="849">
        <v>3835000</v>
      </c>
      <c r="AK363" s="851">
        <f t="shared" si="104"/>
        <v>0</v>
      </c>
      <c r="AL363" s="845"/>
      <c r="AM363" s="1518">
        <f t="shared" si="105"/>
        <v>0</v>
      </c>
    </row>
    <row r="364" spans="1:39" s="654" customFormat="1">
      <c r="A364" s="667" t="s">
        <v>86</v>
      </c>
      <c r="B364" s="1969">
        <f t="shared" si="106"/>
        <v>33200000</v>
      </c>
      <c r="C364" s="668" t="s">
        <v>36</v>
      </c>
      <c r="D364" s="668" t="s">
        <v>832</v>
      </c>
      <c r="E364" s="668" t="s">
        <v>1651</v>
      </c>
      <c r="F364" s="668" t="s">
        <v>87</v>
      </c>
      <c r="G364" s="2137" t="s">
        <v>79</v>
      </c>
      <c r="H364" s="2165" t="s">
        <v>1645</v>
      </c>
      <c r="I364" s="2142">
        <v>273</v>
      </c>
      <c r="J364" s="1650">
        <v>1</v>
      </c>
      <c r="K364" s="1651"/>
      <c r="L364" s="1652">
        <v>94</v>
      </c>
      <c r="M364" s="1659">
        <v>33200000</v>
      </c>
      <c r="N364" s="1593">
        <v>63</v>
      </c>
      <c r="O364" s="1604">
        <v>33200000</v>
      </c>
      <c r="P364" s="1655">
        <v>73</v>
      </c>
      <c r="Q364" s="1851"/>
      <c r="R364" s="1852">
        <v>1106667</v>
      </c>
      <c r="S364" s="1852">
        <f>VLOOKUP(N364,[9]Hoja2!N$2:T$77,7,0)</f>
        <v>3320000</v>
      </c>
      <c r="T364" s="1852">
        <v>3320000</v>
      </c>
      <c r="U364" s="1852">
        <v>3320000</v>
      </c>
      <c r="V364" s="1852">
        <v>3320000</v>
      </c>
      <c r="W364" s="1852">
        <v>3320000</v>
      </c>
      <c r="X364" s="1852">
        <v>3320000</v>
      </c>
      <c r="Y364" s="1852">
        <v>3320000</v>
      </c>
      <c r="Z364" s="1852">
        <v>3320000</v>
      </c>
      <c r="AA364" s="1852">
        <v>3320000</v>
      </c>
      <c r="AB364" s="1949">
        <v>2213333</v>
      </c>
      <c r="AC364" s="1824">
        <f t="shared" si="107"/>
        <v>33200000</v>
      </c>
      <c r="AD364" s="1825">
        <f t="shared" si="108"/>
        <v>0</v>
      </c>
      <c r="AF364" s="848">
        <v>273</v>
      </c>
      <c r="AG364" s="1291" t="s">
        <v>185</v>
      </c>
      <c r="AH364" s="1059" t="s">
        <v>529</v>
      </c>
      <c r="AI364" s="1048">
        <f>P364</f>
        <v>73</v>
      </c>
      <c r="AJ364" s="849">
        <v>33200000</v>
      </c>
      <c r="AK364" s="851">
        <f t="shared" si="104"/>
        <v>0</v>
      </c>
      <c r="AL364" s="845"/>
      <c r="AM364" s="1518">
        <f t="shared" si="105"/>
        <v>0</v>
      </c>
    </row>
    <row r="365" spans="1:39" s="654" customFormat="1">
      <c r="A365" s="667" t="s">
        <v>86</v>
      </c>
      <c r="B365" s="1969">
        <f t="shared" si="106"/>
        <v>4426667</v>
      </c>
      <c r="C365" s="668" t="s">
        <v>36</v>
      </c>
      <c r="D365" s="668" t="s">
        <v>832</v>
      </c>
      <c r="E365" s="668" t="s">
        <v>1651</v>
      </c>
      <c r="F365" s="668" t="s">
        <v>87</v>
      </c>
      <c r="G365" s="2137" t="s">
        <v>79</v>
      </c>
      <c r="H365" s="2165" t="s">
        <v>1645</v>
      </c>
      <c r="I365" s="2142" t="s">
        <v>325</v>
      </c>
      <c r="J365" s="1650">
        <v>710</v>
      </c>
      <c r="K365" s="1651">
        <v>4426667</v>
      </c>
      <c r="L365" s="1652">
        <v>806</v>
      </c>
      <c r="M365" s="1659">
        <v>4426667</v>
      </c>
      <c r="N365" s="1652">
        <v>981</v>
      </c>
      <c r="O365" s="1604">
        <v>4426667</v>
      </c>
      <c r="P365" s="1655">
        <v>73</v>
      </c>
      <c r="Q365" s="1851"/>
      <c r="R365" s="1852"/>
      <c r="S365" s="1852"/>
      <c r="T365" s="1852"/>
      <c r="U365" s="1852"/>
      <c r="V365" s="1852"/>
      <c r="W365" s="1852"/>
      <c r="X365" s="1852"/>
      <c r="Y365" s="1852"/>
      <c r="Z365" s="1852"/>
      <c r="AA365" s="1852"/>
      <c r="AB365" s="1949">
        <f>1106667+3320000</f>
        <v>4426667</v>
      </c>
      <c r="AC365" s="1824">
        <f t="shared" si="107"/>
        <v>4426667</v>
      </c>
      <c r="AD365" s="1825">
        <f t="shared" si="108"/>
        <v>0</v>
      </c>
      <c r="AF365" s="848" t="s">
        <v>325</v>
      </c>
      <c r="AG365" s="1291" t="s">
        <v>1402</v>
      </c>
      <c r="AH365" s="1059" t="s">
        <v>529</v>
      </c>
      <c r="AI365" s="1048">
        <f>P365</f>
        <v>73</v>
      </c>
      <c r="AJ365" s="849">
        <v>4426667</v>
      </c>
      <c r="AK365" s="851">
        <f t="shared" si="104"/>
        <v>0</v>
      </c>
      <c r="AL365" s="845"/>
      <c r="AM365" s="1518">
        <f t="shared" si="105"/>
        <v>0</v>
      </c>
    </row>
    <row r="366" spans="1:39" s="654" customFormat="1">
      <c r="A366" s="667" t="s">
        <v>86</v>
      </c>
      <c r="B366" s="1969">
        <f t="shared" si="106"/>
        <v>3320000</v>
      </c>
      <c r="C366" s="668" t="s">
        <v>36</v>
      </c>
      <c r="D366" s="668" t="s">
        <v>832</v>
      </c>
      <c r="E366" s="668" t="s">
        <v>1651</v>
      </c>
      <c r="F366" s="668" t="s">
        <v>87</v>
      </c>
      <c r="G366" s="2137" t="s">
        <v>79</v>
      </c>
      <c r="H366" s="2165" t="s">
        <v>1645</v>
      </c>
      <c r="I366" s="2142" t="s">
        <v>325</v>
      </c>
      <c r="J366" s="1650"/>
      <c r="K366" s="1651"/>
      <c r="L366" s="1652">
        <v>905</v>
      </c>
      <c r="M366" s="1659">
        <v>3320000</v>
      </c>
      <c r="N366" s="1652">
        <v>1142</v>
      </c>
      <c r="O366" s="1604">
        <v>3320000</v>
      </c>
      <c r="P366" s="1655">
        <v>73</v>
      </c>
      <c r="Q366" s="1851"/>
      <c r="R366" s="1852"/>
      <c r="S366" s="1852"/>
      <c r="T366" s="1852"/>
      <c r="U366" s="1852"/>
      <c r="V366" s="1852"/>
      <c r="W366" s="1852"/>
      <c r="X366" s="1852"/>
      <c r="Y366" s="1852"/>
      <c r="Z366" s="1852"/>
      <c r="AA366" s="1852"/>
      <c r="AB366" s="1949"/>
      <c r="AC366" s="1824">
        <f t="shared" si="107"/>
        <v>0</v>
      </c>
      <c r="AD366" s="1825">
        <f t="shared" si="108"/>
        <v>3320000</v>
      </c>
      <c r="AF366" s="848" t="s">
        <v>325</v>
      </c>
      <c r="AG366" s="1291" t="s">
        <v>1494</v>
      </c>
      <c r="AH366" s="1059" t="s">
        <v>529</v>
      </c>
      <c r="AI366" s="1048">
        <f>P366</f>
        <v>73</v>
      </c>
      <c r="AJ366" s="849">
        <v>3320000</v>
      </c>
      <c r="AK366" s="851">
        <f t="shared" si="104"/>
        <v>0</v>
      </c>
      <c r="AL366" s="845"/>
      <c r="AM366" s="1518">
        <f t="shared" si="105"/>
        <v>0</v>
      </c>
    </row>
    <row r="367" spans="1:39" s="654" customFormat="1">
      <c r="A367" s="667" t="s">
        <v>86</v>
      </c>
      <c r="B367" s="1969">
        <f t="shared" si="106"/>
        <v>66000000</v>
      </c>
      <c r="C367" s="668" t="s">
        <v>36</v>
      </c>
      <c r="D367" s="668" t="s">
        <v>832</v>
      </c>
      <c r="E367" s="668" t="s">
        <v>1651</v>
      </c>
      <c r="F367" s="668" t="s">
        <v>87</v>
      </c>
      <c r="G367" s="2137" t="s">
        <v>79</v>
      </c>
      <c r="H367" s="2165" t="s">
        <v>1645</v>
      </c>
      <c r="I367" s="2142">
        <v>274</v>
      </c>
      <c r="J367" s="1650">
        <v>2</v>
      </c>
      <c r="K367" s="1651"/>
      <c r="L367" s="1652">
        <v>310</v>
      </c>
      <c r="M367" s="1659">
        <v>66000000</v>
      </c>
      <c r="N367" s="1658">
        <v>311</v>
      </c>
      <c r="O367" s="1752">
        <v>66000000</v>
      </c>
      <c r="P367" s="1655">
        <v>265</v>
      </c>
      <c r="Q367" s="1851"/>
      <c r="R367" s="1852"/>
      <c r="S367" s="1852">
        <f>VLOOKUP(N367,[9]Hoja2!N$2:T$77,7,0)</f>
        <v>1320000</v>
      </c>
      <c r="T367" s="1852">
        <v>6600000</v>
      </c>
      <c r="U367" s="1852">
        <v>6600000</v>
      </c>
      <c r="V367" s="1852">
        <v>6600000</v>
      </c>
      <c r="W367" s="1852">
        <v>6600000</v>
      </c>
      <c r="X367" s="1852">
        <v>6600000</v>
      </c>
      <c r="Y367" s="1852">
        <v>6600000</v>
      </c>
      <c r="Z367" s="1852">
        <v>6600000</v>
      </c>
      <c r="AA367" s="1852">
        <v>6600000</v>
      </c>
      <c r="AB367" s="1949">
        <f>6600000+5280000</f>
        <v>11880000</v>
      </c>
      <c r="AC367" s="1824">
        <f t="shared" si="107"/>
        <v>66000000</v>
      </c>
      <c r="AD367" s="1825">
        <f t="shared" si="108"/>
        <v>0</v>
      </c>
      <c r="AF367" s="848">
        <v>274</v>
      </c>
      <c r="AG367" s="1291" t="s">
        <v>488</v>
      </c>
      <c r="AH367" s="1059" t="s">
        <v>771</v>
      </c>
      <c r="AI367" s="1048">
        <f t="shared" ref="AI367:AI460" si="109">P367</f>
        <v>265</v>
      </c>
      <c r="AJ367" s="849">
        <v>66000000</v>
      </c>
      <c r="AK367" s="851">
        <f t="shared" si="104"/>
        <v>0</v>
      </c>
      <c r="AL367" s="845"/>
      <c r="AM367" s="1518">
        <f t="shared" si="105"/>
        <v>0</v>
      </c>
    </row>
    <row r="368" spans="1:39" s="654" customFormat="1">
      <c r="A368" s="667" t="s">
        <v>86</v>
      </c>
      <c r="B368" s="1969">
        <f t="shared" si="106"/>
        <v>7920000</v>
      </c>
      <c r="C368" s="668" t="s">
        <v>36</v>
      </c>
      <c r="D368" s="668" t="s">
        <v>832</v>
      </c>
      <c r="E368" s="668" t="s">
        <v>1651</v>
      </c>
      <c r="F368" s="668" t="s">
        <v>87</v>
      </c>
      <c r="G368" s="2137" t="s">
        <v>79</v>
      </c>
      <c r="H368" s="2165" t="s">
        <v>1645</v>
      </c>
      <c r="I368" s="2142" t="s">
        <v>325</v>
      </c>
      <c r="J368" s="1650">
        <v>789</v>
      </c>
      <c r="K368" s="1651">
        <v>7920000</v>
      </c>
      <c r="L368" s="1652">
        <v>936</v>
      </c>
      <c r="M368" s="1659">
        <v>7920000</v>
      </c>
      <c r="N368" s="1658">
        <v>1112</v>
      </c>
      <c r="O368" s="1752">
        <v>7920000</v>
      </c>
      <c r="P368" s="1655">
        <v>265</v>
      </c>
      <c r="Q368" s="1851"/>
      <c r="R368" s="1852"/>
      <c r="S368" s="1852"/>
      <c r="T368" s="1852"/>
      <c r="U368" s="1852"/>
      <c r="V368" s="1852"/>
      <c r="W368" s="1852"/>
      <c r="X368" s="1852"/>
      <c r="Y368" s="1852"/>
      <c r="Z368" s="1852"/>
      <c r="AA368" s="1852"/>
      <c r="AB368" s="1949">
        <v>1320000</v>
      </c>
      <c r="AC368" s="1824">
        <f t="shared" si="107"/>
        <v>1320000</v>
      </c>
      <c r="AD368" s="1825">
        <f t="shared" si="108"/>
        <v>6600000</v>
      </c>
      <c r="AF368" s="848" t="s">
        <v>325</v>
      </c>
      <c r="AG368" s="1291" t="s">
        <v>1507</v>
      </c>
      <c r="AH368" s="1059" t="s">
        <v>771</v>
      </c>
      <c r="AI368" s="1048">
        <f t="shared" si="109"/>
        <v>265</v>
      </c>
      <c r="AJ368" s="849">
        <v>7920000</v>
      </c>
      <c r="AK368" s="851">
        <f t="shared" si="104"/>
        <v>0</v>
      </c>
      <c r="AL368" s="845"/>
      <c r="AM368" s="1518">
        <f t="shared" si="105"/>
        <v>0</v>
      </c>
    </row>
    <row r="369" spans="1:39" s="654" customFormat="1" ht="15">
      <c r="A369" s="667" t="s">
        <v>86</v>
      </c>
      <c r="B369" s="1969">
        <f t="shared" si="106"/>
        <v>0</v>
      </c>
      <c r="C369" s="668" t="s">
        <v>36</v>
      </c>
      <c r="D369" s="668" t="s">
        <v>832</v>
      </c>
      <c r="E369" s="668" t="s">
        <v>1651</v>
      </c>
      <c r="F369" s="668" t="s">
        <v>87</v>
      </c>
      <c r="G369" s="2137" t="s">
        <v>79</v>
      </c>
      <c r="H369" s="2165" t="s">
        <v>1645</v>
      </c>
      <c r="I369" s="2142">
        <v>275</v>
      </c>
      <c r="J369" s="1650">
        <v>3</v>
      </c>
      <c r="K369" s="1651"/>
      <c r="L369" s="1652"/>
      <c r="M369" s="1659"/>
      <c r="N369" s="1658"/>
      <c r="O369" s="1752"/>
      <c r="P369" s="1655"/>
      <c r="Q369" s="1851"/>
      <c r="R369" s="1852"/>
      <c r="S369" s="1852"/>
      <c r="T369" s="1852"/>
      <c r="U369" s="1852"/>
      <c r="V369" s="1852"/>
      <c r="W369" s="1852"/>
      <c r="X369" s="1852"/>
      <c r="Y369" s="1852"/>
      <c r="Z369" s="1852"/>
      <c r="AA369" s="1852"/>
      <c r="AB369" s="1949"/>
      <c r="AC369" s="1824">
        <f t="shared" si="107"/>
        <v>0</v>
      </c>
      <c r="AD369" s="1825">
        <f t="shared" si="108"/>
        <v>0</v>
      </c>
      <c r="AF369" s="848">
        <v>275</v>
      </c>
      <c r="AG369" s="1291" t="s">
        <v>489</v>
      </c>
      <c r="AH369" s="1060" t="s">
        <v>173</v>
      </c>
      <c r="AI369" s="1048">
        <f t="shared" si="109"/>
        <v>0</v>
      </c>
      <c r="AJ369" s="849">
        <f>43040000-43040000</f>
        <v>0</v>
      </c>
      <c r="AK369" s="851">
        <f t="shared" si="104"/>
        <v>0</v>
      </c>
      <c r="AL369" s="845"/>
      <c r="AM369" s="1518">
        <f t="shared" si="105"/>
        <v>0</v>
      </c>
    </row>
    <row r="370" spans="1:39" s="654" customFormat="1">
      <c r="A370" s="667" t="s">
        <v>86</v>
      </c>
      <c r="B370" s="1969">
        <f t="shared" si="106"/>
        <v>38400000</v>
      </c>
      <c r="C370" s="668" t="s">
        <v>36</v>
      </c>
      <c r="D370" s="668" t="s">
        <v>832</v>
      </c>
      <c r="E370" s="668" t="s">
        <v>1651</v>
      </c>
      <c r="F370" s="668" t="s">
        <v>87</v>
      </c>
      <c r="G370" s="2137" t="s">
        <v>79</v>
      </c>
      <c r="H370" s="2165" t="s">
        <v>1645</v>
      </c>
      <c r="I370" s="2142">
        <v>276</v>
      </c>
      <c r="J370" s="1650">
        <v>4</v>
      </c>
      <c r="K370" s="1651"/>
      <c r="L370" s="1652">
        <v>95</v>
      </c>
      <c r="M370" s="1659">
        <v>38400000</v>
      </c>
      <c r="N370" s="1593">
        <v>106</v>
      </c>
      <c r="O370" s="1604">
        <v>38400000</v>
      </c>
      <c r="P370" s="1655">
        <v>74</v>
      </c>
      <c r="Q370" s="1851"/>
      <c r="R370" s="1852">
        <v>1440000</v>
      </c>
      <c r="S370" s="1852">
        <f>VLOOKUP(N370,[9]Hoja2!N$2:T$77,7,0)</f>
        <v>4800000</v>
      </c>
      <c r="T370" s="1852">
        <v>4800000</v>
      </c>
      <c r="U370" s="1852">
        <v>4800000</v>
      </c>
      <c r="V370" s="1852"/>
      <c r="W370" s="1852">
        <f>4800000+4800000</f>
        <v>9600000</v>
      </c>
      <c r="X370" s="1852">
        <v>4800000</v>
      </c>
      <c r="Y370" s="1852">
        <v>4800000</v>
      </c>
      <c r="Z370" s="1852">
        <v>3360000</v>
      </c>
      <c r="AA370" s="1852"/>
      <c r="AB370" s="1949"/>
      <c r="AC370" s="1824">
        <f t="shared" si="107"/>
        <v>38400000</v>
      </c>
      <c r="AD370" s="1825">
        <f t="shared" si="108"/>
        <v>0</v>
      </c>
      <c r="AF370" s="848">
        <v>276</v>
      </c>
      <c r="AG370" s="1291" t="s">
        <v>186</v>
      </c>
      <c r="AH370" s="1059" t="s">
        <v>530</v>
      </c>
      <c r="AI370" s="1048">
        <f t="shared" si="109"/>
        <v>74</v>
      </c>
      <c r="AJ370" s="849">
        <v>38400000</v>
      </c>
      <c r="AK370" s="851">
        <f t="shared" si="104"/>
        <v>0</v>
      </c>
      <c r="AL370" s="845"/>
      <c r="AM370" s="1518">
        <f t="shared" si="105"/>
        <v>0</v>
      </c>
    </row>
    <row r="371" spans="1:39" s="654" customFormat="1">
      <c r="A371" s="667" t="s">
        <v>86</v>
      </c>
      <c r="B371" s="1969">
        <f t="shared" si="106"/>
        <v>14400000</v>
      </c>
      <c r="C371" s="668" t="s">
        <v>36</v>
      </c>
      <c r="D371" s="668" t="s">
        <v>832</v>
      </c>
      <c r="E371" s="668" t="s">
        <v>1651</v>
      </c>
      <c r="F371" s="668" t="s">
        <v>87</v>
      </c>
      <c r="G371" s="2137" t="s">
        <v>79</v>
      </c>
      <c r="H371" s="2165" t="s">
        <v>1645</v>
      </c>
      <c r="I371" s="2142" t="s">
        <v>173</v>
      </c>
      <c r="J371" s="1650"/>
      <c r="K371" s="1651">
        <v>15840000</v>
      </c>
      <c r="L371" s="1652">
        <v>692</v>
      </c>
      <c r="M371" s="1651">
        <f>15840000-1440000</f>
        <v>14400000</v>
      </c>
      <c r="N371" s="1658">
        <v>846</v>
      </c>
      <c r="O371" s="1752">
        <v>14400000</v>
      </c>
      <c r="P371" s="1655">
        <v>74</v>
      </c>
      <c r="Q371" s="1851"/>
      <c r="R371" s="1852"/>
      <c r="S371" s="1852"/>
      <c r="T371" s="1852"/>
      <c r="U371" s="1852"/>
      <c r="V371" s="1852"/>
      <c r="W371" s="1852"/>
      <c r="X371" s="1852"/>
      <c r="Y371" s="1852"/>
      <c r="Z371" s="1852">
        <v>1440000</v>
      </c>
      <c r="AA371" s="1852">
        <v>4800000</v>
      </c>
      <c r="AB371" s="1949">
        <f>4800000+3360000</f>
        <v>8160000</v>
      </c>
      <c r="AC371" s="1824">
        <f t="shared" si="107"/>
        <v>14400000</v>
      </c>
      <c r="AD371" s="1825">
        <f t="shared" si="108"/>
        <v>0</v>
      </c>
      <c r="AF371" s="848" t="s">
        <v>1249</v>
      </c>
      <c r="AG371" s="1291" t="s">
        <v>1250</v>
      </c>
      <c r="AH371" s="1059" t="s">
        <v>530</v>
      </c>
      <c r="AI371" s="1048">
        <f>P371</f>
        <v>74</v>
      </c>
      <c r="AJ371" s="849">
        <v>15840000</v>
      </c>
      <c r="AK371" s="851">
        <f t="shared" si="104"/>
        <v>1440000</v>
      </c>
      <c r="AL371" s="845"/>
      <c r="AM371" s="1518">
        <f t="shared" si="105"/>
        <v>1440000</v>
      </c>
    </row>
    <row r="372" spans="1:39" s="654" customFormat="1">
      <c r="A372" s="667" t="s">
        <v>86</v>
      </c>
      <c r="B372" s="1969">
        <f t="shared" si="106"/>
        <v>87500000</v>
      </c>
      <c r="C372" s="668" t="s">
        <v>36</v>
      </c>
      <c r="D372" s="668" t="s">
        <v>832</v>
      </c>
      <c r="E372" s="668" t="s">
        <v>1651</v>
      </c>
      <c r="F372" s="668" t="s">
        <v>87</v>
      </c>
      <c r="G372" s="2137" t="s">
        <v>79</v>
      </c>
      <c r="H372" s="2165" t="s">
        <v>1645</v>
      </c>
      <c r="I372" s="2142">
        <v>277</v>
      </c>
      <c r="J372" s="1650">
        <v>5</v>
      </c>
      <c r="K372" s="1651"/>
      <c r="L372" s="1652">
        <v>96</v>
      </c>
      <c r="M372" s="1659">
        <v>87500000</v>
      </c>
      <c r="N372" s="1593">
        <v>71</v>
      </c>
      <c r="O372" s="1604">
        <v>87500000</v>
      </c>
      <c r="P372" s="1655">
        <v>75</v>
      </c>
      <c r="Q372" s="1851"/>
      <c r="R372" s="1852">
        <v>2916667</v>
      </c>
      <c r="S372" s="1852"/>
      <c r="T372" s="1852">
        <v>17500000</v>
      </c>
      <c r="U372" s="1852">
        <v>8750000</v>
      </c>
      <c r="V372" s="1852">
        <v>8750000</v>
      </c>
      <c r="W372" s="1852">
        <v>8750000</v>
      </c>
      <c r="X372" s="1852">
        <v>8750000</v>
      </c>
      <c r="Y372" s="1852">
        <v>8750000</v>
      </c>
      <c r="Z372" s="1852">
        <v>8750000</v>
      </c>
      <c r="AA372" s="1852">
        <v>8750000</v>
      </c>
      <c r="AB372" s="1949">
        <v>5833333</v>
      </c>
      <c r="AC372" s="1824">
        <f t="shared" si="107"/>
        <v>87500000</v>
      </c>
      <c r="AD372" s="1825">
        <f t="shared" si="108"/>
        <v>0</v>
      </c>
      <c r="AF372" s="848">
        <v>277</v>
      </c>
      <c r="AG372" s="1291" t="s">
        <v>187</v>
      </c>
      <c r="AH372" s="1059" t="s">
        <v>531</v>
      </c>
      <c r="AI372" s="1048">
        <f t="shared" si="109"/>
        <v>75</v>
      </c>
      <c r="AJ372" s="849">
        <v>87500000</v>
      </c>
      <c r="AK372" s="851">
        <f t="shared" si="104"/>
        <v>0</v>
      </c>
      <c r="AL372" s="845"/>
      <c r="AM372" s="1518">
        <f t="shared" si="105"/>
        <v>0</v>
      </c>
    </row>
    <row r="373" spans="1:39" s="654" customFormat="1">
      <c r="A373" s="667" t="s">
        <v>86</v>
      </c>
      <c r="B373" s="1969">
        <f t="shared" si="106"/>
        <v>11666667</v>
      </c>
      <c r="C373" s="668" t="s">
        <v>36</v>
      </c>
      <c r="D373" s="668" t="s">
        <v>832</v>
      </c>
      <c r="E373" s="668" t="s">
        <v>1651</v>
      </c>
      <c r="F373" s="668" t="s">
        <v>87</v>
      </c>
      <c r="G373" s="2137" t="s">
        <v>79</v>
      </c>
      <c r="H373" s="2165" t="s">
        <v>1645</v>
      </c>
      <c r="I373" s="2142" t="s">
        <v>325</v>
      </c>
      <c r="J373" s="1650">
        <v>711</v>
      </c>
      <c r="K373" s="1651">
        <v>11666667</v>
      </c>
      <c r="L373" s="1652">
        <v>812</v>
      </c>
      <c r="M373" s="1659">
        <v>11666667</v>
      </c>
      <c r="N373" s="1652">
        <v>982</v>
      </c>
      <c r="O373" s="1604">
        <v>11666667</v>
      </c>
      <c r="P373" s="1655">
        <v>75</v>
      </c>
      <c r="Q373" s="1851"/>
      <c r="R373" s="1852"/>
      <c r="S373" s="1852"/>
      <c r="T373" s="1852"/>
      <c r="U373" s="1852"/>
      <c r="V373" s="1852"/>
      <c r="W373" s="1852"/>
      <c r="X373" s="1852"/>
      <c r="Y373" s="1852"/>
      <c r="Z373" s="1852"/>
      <c r="AA373" s="1852"/>
      <c r="AB373" s="1949">
        <f>2916667+8750000</f>
        <v>11666667</v>
      </c>
      <c r="AC373" s="1824">
        <f t="shared" si="107"/>
        <v>11666667</v>
      </c>
      <c r="AD373" s="1825">
        <f t="shared" si="108"/>
        <v>0</v>
      </c>
      <c r="AF373" s="848" t="s">
        <v>325</v>
      </c>
      <c r="AG373" s="1291" t="s">
        <v>1403</v>
      </c>
      <c r="AH373" s="1059" t="s">
        <v>531</v>
      </c>
      <c r="AI373" s="1048">
        <f t="shared" si="109"/>
        <v>75</v>
      </c>
      <c r="AJ373" s="849">
        <v>11666667</v>
      </c>
      <c r="AK373" s="851">
        <f t="shared" si="104"/>
        <v>0</v>
      </c>
      <c r="AL373" s="845"/>
      <c r="AM373" s="1518">
        <f t="shared" si="105"/>
        <v>0</v>
      </c>
    </row>
    <row r="374" spans="1:39" s="654" customFormat="1">
      <c r="A374" s="667" t="s">
        <v>86</v>
      </c>
      <c r="B374" s="1969">
        <f t="shared" si="106"/>
        <v>8750000</v>
      </c>
      <c r="C374" s="668" t="s">
        <v>36</v>
      </c>
      <c r="D374" s="668" t="s">
        <v>832</v>
      </c>
      <c r="E374" s="668" t="s">
        <v>1651</v>
      </c>
      <c r="F374" s="668" t="s">
        <v>87</v>
      </c>
      <c r="G374" s="2137" t="s">
        <v>79</v>
      </c>
      <c r="H374" s="2165" t="s">
        <v>1645</v>
      </c>
      <c r="I374" s="2142" t="s">
        <v>325</v>
      </c>
      <c r="J374" s="1650">
        <v>799</v>
      </c>
      <c r="K374" s="1651">
        <v>8750000</v>
      </c>
      <c r="L374" s="1652">
        <v>906</v>
      </c>
      <c r="M374" s="1659">
        <v>8750000</v>
      </c>
      <c r="N374" s="1652">
        <v>1137</v>
      </c>
      <c r="O374" s="1604">
        <v>8750000</v>
      </c>
      <c r="P374" s="1655">
        <v>75</v>
      </c>
      <c r="Q374" s="1851"/>
      <c r="R374" s="1852"/>
      <c r="S374" s="1852"/>
      <c r="T374" s="1852"/>
      <c r="U374" s="1852"/>
      <c r="V374" s="1852"/>
      <c r="W374" s="1852"/>
      <c r="X374" s="1852"/>
      <c r="Y374" s="1852"/>
      <c r="Z374" s="1852"/>
      <c r="AA374" s="1852"/>
      <c r="AB374" s="1949"/>
      <c r="AC374" s="1824">
        <f t="shared" si="107"/>
        <v>0</v>
      </c>
      <c r="AD374" s="1825">
        <f t="shared" si="108"/>
        <v>8750000</v>
      </c>
      <c r="AF374" s="848" t="s">
        <v>325</v>
      </c>
      <c r="AG374" s="1291" t="s">
        <v>1496</v>
      </c>
      <c r="AH374" s="1059" t="s">
        <v>531</v>
      </c>
      <c r="AI374" s="1048">
        <f t="shared" si="109"/>
        <v>75</v>
      </c>
      <c r="AJ374" s="849">
        <v>8750000</v>
      </c>
      <c r="AK374" s="851">
        <f t="shared" si="104"/>
        <v>0</v>
      </c>
      <c r="AL374" s="845"/>
      <c r="AM374" s="1518">
        <f t="shared" si="105"/>
        <v>0</v>
      </c>
    </row>
    <row r="375" spans="1:39" s="654" customFormat="1">
      <c r="A375" s="667" t="s">
        <v>86</v>
      </c>
      <c r="B375" s="1969">
        <f t="shared" si="106"/>
        <v>32930000</v>
      </c>
      <c r="C375" s="668" t="s">
        <v>36</v>
      </c>
      <c r="D375" s="668" t="s">
        <v>832</v>
      </c>
      <c r="E375" s="668" t="s">
        <v>1651</v>
      </c>
      <c r="F375" s="668" t="s">
        <v>87</v>
      </c>
      <c r="G375" s="2137" t="s">
        <v>79</v>
      </c>
      <c r="H375" s="2165" t="s">
        <v>1645</v>
      </c>
      <c r="I375" s="2142">
        <v>278</v>
      </c>
      <c r="J375" s="1650">
        <v>6</v>
      </c>
      <c r="K375" s="1651"/>
      <c r="L375" s="1652">
        <v>361</v>
      </c>
      <c r="M375" s="1659">
        <v>32930000</v>
      </c>
      <c r="N375" s="1658">
        <v>372</v>
      </c>
      <c r="O375" s="1752">
        <v>32930000</v>
      </c>
      <c r="P375" s="1655">
        <v>293</v>
      </c>
      <c r="Q375" s="1851"/>
      <c r="R375" s="1852"/>
      <c r="S375" s="1852"/>
      <c r="T375" s="1852">
        <v>1973333</v>
      </c>
      <c r="U375" s="1852">
        <v>3700000</v>
      </c>
      <c r="V375" s="1852">
        <v>3700000</v>
      </c>
      <c r="W375" s="1852">
        <v>3700000</v>
      </c>
      <c r="X375" s="1852">
        <v>3700000</v>
      </c>
      <c r="Y375" s="1852">
        <v>3700000</v>
      </c>
      <c r="Z375" s="1852">
        <v>3700000</v>
      </c>
      <c r="AA375" s="1852">
        <v>3700000</v>
      </c>
      <c r="AB375" s="1949">
        <f>3700000+1356667</f>
        <v>5056667</v>
      </c>
      <c r="AC375" s="1824">
        <f t="shared" si="107"/>
        <v>32930000</v>
      </c>
      <c r="AD375" s="1825">
        <f t="shared" si="108"/>
        <v>0</v>
      </c>
      <c r="AF375" s="848">
        <v>278</v>
      </c>
      <c r="AG375" s="1291" t="s">
        <v>760</v>
      </c>
      <c r="AH375" s="1059" t="s">
        <v>807</v>
      </c>
      <c r="AI375" s="1048">
        <f t="shared" si="109"/>
        <v>293</v>
      </c>
      <c r="AJ375" s="849">
        <f>32400000+800000-270000</f>
        <v>32930000</v>
      </c>
      <c r="AK375" s="851">
        <f t="shared" si="104"/>
        <v>0</v>
      </c>
      <c r="AL375" s="845"/>
      <c r="AM375" s="1518">
        <f t="shared" si="105"/>
        <v>0</v>
      </c>
    </row>
    <row r="376" spans="1:39" s="654" customFormat="1">
      <c r="A376" s="667" t="s">
        <v>86</v>
      </c>
      <c r="B376" s="1969">
        <f t="shared" si="106"/>
        <v>3700000</v>
      </c>
      <c r="C376" s="668" t="s">
        <v>36</v>
      </c>
      <c r="D376" s="668" t="s">
        <v>832</v>
      </c>
      <c r="E376" s="668" t="s">
        <v>1651</v>
      </c>
      <c r="F376" s="668" t="s">
        <v>87</v>
      </c>
      <c r="G376" s="2137" t="s">
        <v>79</v>
      </c>
      <c r="H376" s="2165" t="s">
        <v>1645</v>
      </c>
      <c r="I376" s="2142" t="s">
        <v>325</v>
      </c>
      <c r="J376" s="1650">
        <v>792</v>
      </c>
      <c r="K376" s="1651">
        <v>3700000</v>
      </c>
      <c r="L376" s="1652">
        <v>882</v>
      </c>
      <c r="M376" s="1659">
        <v>3700000</v>
      </c>
      <c r="N376" s="1658">
        <v>1035</v>
      </c>
      <c r="O376" s="1752">
        <v>3700000</v>
      </c>
      <c r="P376" s="1655">
        <v>293</v>
      </c>
      <c r="Q376" s="1851"/>
      <c r="R376" s="1852"/>
      <c r="S376" s="1852"/>
      <c r="T376" s="1852"/>
      <c r="U376" s="1852"/>
      <c r="V376" s="1852"/>
      <c r="W376" s="1852"/>
      <c r="X376" s="1852"/>
      <c r="Y376" s="1852"/>
      <c r="Z376" s="1852"/>
      <c r="AA376" s="1852"/>
      <c r="AB376" s="1949">
        <v>2343333</v>
      </c>
      <c r="AC376" s="1824">
        <f t="shared" si="107"/>
        <v>2343333</v>
      </c>
      <c r="AD376" s="1825">
        <f t="shared" si="108"/>
        <v>1356667</v>
      </c>
      <c r="AF376" s="848" t="s">
        <v>325</v>
      </c>
      <c r="AG376" s="1291" t="s">
        <v>1502</v>
      </c>
      <c r="AH376" s="1059" t="s">
        <v>807</v>
      </c>
      <c r="AI376" s="1048">
        <f t="shared" si="109"/>
        <v>293</v>
      </c>
      <c r="AJ376" s="849">
        <v>3700000</v>
      </c>
      <c r="AK376" s="851">
        <f t="shared" si="104"/>
        <v>0</v>
      </c>
      <c r="AL376" s="845"/>
      <c r="AM376" s="1518">
        <f t="shared" si="105"/>
        <v>0</v>
      </c>
    </row>
    <row r="377" spans="1:39" s="654" customFormat="1">
      <c r="A377" s="667" t="s">
        <v>86</v>
      </c>
      <c r="B377" s="1969">
        <f t="shared" si="106"/>
        <v>2343333</v>
      </c>
      <c r="C377" s="668" t="s">
        <v>36</v>
      </c>
      <c r="D377" s="668" t="s">
        <v>832</v>
      </c>
      <c r="E377" s="668" t="s">
        <v>1651</v>
      </c>
      <c r="F377" s="668" t="s">
        <v>87</v>
      </c>
      <c r="G377" s="2137" t="s">
        <v>79</v>
      </c>
      <c r="H377" s="2165" t="s">
        <v>1645</v>
      </c>
      <c r="I377" s="2142" t="s">
        <v>325</v>
      </c>
      <c r="J377" s="1650">
        <v>863</v>
      </c>
      <c r="K377" s="1651">
        <v>2343333</v>
      </c>
      <c r="L377" s="1652">
        <v>982</v>
      </c>
      <c r="M377" s="1659">
        <v>2343333</v>
      </c>
      <c r="N377" s="1658">
        <v>1182</v>
      </c>
      <c r="O377" s="1752">
        <v>2343333</v>
      </c>
      <c r="P377" s="1655">
        <v>293</v>
      </c>
      <c r="Q377" s="1851"/>
      <c r="R377" s="1852"/>
      <c r="S377" s="1852"/>
      <c r="T377" s="1852"/>
      <c r="U377" s="1852"/>
      <c r="V377" s="1852"/>
      <c r="W377" s="1852"/>
      <c r="X377" s="1852"/>
      <c r="Y377" s="1852"/>
      <c r="Z377" s="1852"/>
      <c r="AA377" s="1852"/>
      <c r="AB377" s="1949"/>
      <c r="AC377" s="1824">
        <f t="shared" si="107"/>
        <v>0</v>
      </c>
      <c r="AD377" s="1825">
        <f t="shared" si="108"/>
        <v>2343333</v>
      </c>
      <c r="AF377" s="848" t="s">
        <v>325</v>
      </c>
      <c r="AG377" s="1291" t="s">
        <v>1549</v>
      </c>
      <c r="AH377" s="1059" t="s">
        <v>807</v>
      </c>
      <c r="AI377" s="1048">
        <f t="shared" si="109"/>
        <v>293</v>
      </c>
      <c r="AJ377" s="849">
        <f>2343333-2343333+2343333</f>
        <v>2343333</v>
      </c>
      <c r="AK377" s="851">
        <f t="shared" si="104"/>
        <v>0</v>
      </c>
      <c r="AL377" s="845"/>
      <c r="AM377" s="1518">
        <f t="shared" si="105"/>
        <v>0</v>
      </c>
    </row>
    <row r="378" spans="1:39" s="654" customFormat="1">
      <c r="A378" s="667" t="s">
        <v>86</v>
      </c>
      <c r="B378" s="1969">
        <f t="shared" si="106"/>
        <v>43040000</v>
      </c>
      <c r="C378" s="668" t="s">
        <v>36</v>
      </c>
      <c r="D378" s="668" t="s">
        <v>832</v>
      </c>
      <c r="E378" s="668" t="s">
        <v>1651</v>
      </c>
      <c r="F378" s="668" t="s">
        <v>87</v>
      </c>
      <c r="G378" s="2137" t="s">
        <v>79</v>
      </c>
      <c r="H378" s="2165" t="s">
        <v>1645</v>
      </c>
      <c r="I378" s="2142">
        <v>279</v>
      </c>
      <c r="J378" s="1650">
        <v>7</v>
      </c>
      <c r="K378" s="1651"/>
      <c r="L378" s="1652">
        <v>107</v>
      </c>
      <c r="M378" s="1659">
        <v>43040000</v>
      </c>
      <c r="N378" s="1593">
        <v>114</v>
      </c>
      <c r="O378" s="1604">
        <v>43040000</v>
      </c>
      <c r="P378" s="1655">
        <v>102</v>
      </c>
      <c r="Q378" s="1851"/>
      <c r="R378" s="1852">
        <v>1434667</v>
      </c>
      <c r="S378" s="1852">
        <f>VLOOKUP(N378,[9]Hoja2!N$2:T$77,7,0)</f>
        <v>5380000</v>
      </c>
      <c r="T378" s="1852">
        <v>5380000</v>
      </c>
      <c r="U378" s="1852">
        <v>5380000</v>
      </c>
      <c r="V378" s="1852">
        <v>5380000</v>
      </c>
      <c r="W378" s="1852">
        <v>5380000</v>
      </c>
      <c r="X378" s="1852">
        <v>2690000</v>
      </c>
      <c r="Y378" s="1852">
        <v>5380000</v>
      </c>
      <c r="Z378" s="1852">
        <v>5380000</v>
      </c>
      <c r="AA378" s="1852">
        <v>1255333</v>
      </c>
      <c r="AB378" s="1949"/>
      <c r="AC378" s="1824">
        <f t="shared" si="107"/>
        <v>43040000</v>
      </c>
      <c r="AD378" s="1825">
        <f t="shared" si="108"/>
        <v>0</v>
      </c>
      <c r="AF378" s="848">
        <v>279</v>
      </c>
      <c r="AG378" s="1291" t="s">
        <v>188</v>
      </c>
      <c r="AH378" s="1059" t="s">
        <v>532</v>
      </c>
      <c r="AI378" s="1048">
        <f t="shared" si="109"/>
        <v>102</v>
      </c>
      <c r="AJ378" s="849">
        <v>43040000</v>
      </c>
      <c r="AK378" s="851">
        <f t="shared" si="104"/>
        <v>0</v>
      </c>
      <c r="AL378" s="845"/>
      <c r="AM378" s="1518">
        <f t="shared" si="105"/>
        <v>0</v>
      </c>
    </row>
    <row r="379" spans="1:39" s="654" customFormat="1">
      <c r="A379" s="667" t="s">
        <v>86</v>
      </c>
      <c r="B379" s="1969">
        <f t="shared" si="106"/>
        <v>14884667</v>
      </c>
      <c r="C379" s="668" t="s">
        <v>36</v>
      </c>
      <c r="D379" s="668" t="s">
        <v>832</v>
      </c>
      <c r="E379" s="668" t="s">
        <v>1651</v>
      </c>
      <c r="F379" s="668" t="s">
        <v>87</v>
      </c>
      <c r="G379" s="2137" t="s">
        <v>79</v>
      </c>
      <c r="H379" s="2165" t="s">
        <v>1645</v>
      </c>
      <c r="I379" s="2142" t="s">
        <v>325</v>
      </c>
      <c r="J379" s="1650">
        <v>646</v>
      </c>
      <c r="K379" s="1651">
        <v>14884667</v>
      </c>
      <c r="L379" s="1652">
        <v>728</v>
      </c>
      <c r="M379" s="1659">
        <v>14884667</v>
      </c>
      <c r="N379" s="1593">
        <v>874</v>
      </c>
      <c r="O379" s="1604">
        <v>14884667</v>
      </c>
      <c r="P379" s="1655">
        <v>102</v>
      </c>
      <c r="Q379" s="1851"/>
      <c r="R379" s="1852"/>
      <c r="S379" s="1852"/>
      <c r="T379" s="1852"/>
      <c r="U379" s="1852"/>
      <c r="V379" s="1852"/>
      <c r="W379" s="1852"/>
      <c r="X379" s="1852"/>
      <c r="Y379" s="1852"/>
      <c r="Z379" s="1852"/>
      <c r="AA379" s="1852">
        <v>4124667</v>
      </c>
      <c r="AB379" s="1949">
        <f>5380000+5380000</f>
        <v>10760000</v>
      </c>
      <c r="AC379" s="1824">
        <f t="shared" si="107"/>
        <v>14884667</v>
      </c>
      <c r="AD379" s="1825">
        <f t="shared" si="108"/>
        <v>0</v>
      </c>
      <c r="AF379" s="848" t="s">
        <v>325</v>
      </c>
      <c r="AG379" s="1291" t="s">
        <v>1293</v>
      </c>
      <c r="AH379" s="1059" t="s">
        <v>532</v>
      </c>
      <c r="AI379" s="1048">
        <f t="shared" si="109"/>
        <v>102</v>
      </c>
      <c r="AJ379" s="849">
        <v>14884667</v>
      </c>
      <c r="AK379" s="851">
        <f t="shared" si="104"/>
        <v>0</v>
      </c>
      <c r="AL379" s="845"/>
      <c r="AM379" s="1518">
        <f t="shared" si="105"/>
        <v>0</v>
      </c>
    </row>
    <row r="380" spans="1:39" s="654" customFormat="1">
      <c r="A380" s="667" t="s">
        <v>86</v>
      </c>
      <c r="B380" s="1969">
        <f t="shared" si="106"/>
        <v>43040000</v>
      </c>
      <c r="C380" s="668" t="s">
        <v>36</v>
      </c>
      <c r="D380" s="668" t="s">
        <v>832</v>
      </c>
      <c r="E380" s="668" t="s">
        <v>1651</v>
      </c>
      <c r="F380" s="668" t="s">
        <v>87</v>
      </c>
      <c r="G380" s="2137" t="s">
        <v>79</v>
      </c>
      <c r="H380" s="2165" t="s">
        <v>1645</v>
      </c>
      <c r="I380" s="2142">
        <v>280</v>
      </c>
      <c r="J380" s="1650">
        <v>8</v>
      </c>
      <c r="K380" s="1651"/>
      <c r="L380" s="1652">
        <v>108</v>
      </c>
      <c r="M380" s="1659">
        <v>43040000</v>
      </c>
      <c r="N380" s="1593">
        <v>91</v>
      </c>
      <c r="O380" s="1604">
        <v>43040000</v>
      </c>
      <c r="P380" s="1655">
        <v>103</v>
      </c>
      <c r="Q380" s="1851"/>
      <c r="R380" s="1852">
        <v>1614000</v>
      </c>
      <c r="S380" s="1852">
        <f>VLOOKUP(N380,[9]Hoja2!N$2:T$77,7,0)</f>
        <v>5380000</v>
      </c>
      <c r="T380" s="1852">
        <v>5380000</v>
      </c>
      <c r="U380" s="1852">
        <v>5380000</v>
      </c>
      <c r="V380" s="1852">
        <v>5380000</v>
      </c>
      <c r="W380" s="1852">
        <v>5380000</v>
      </c>
      <c r="X380" s="1852">
        <v>5380000</v>
      </c>
      <c r="Y380" s="1852">
        <v>5380000</v>
      </c>
      <c r="Z380" s="1852">
        <v>3766000</v>
      </c>
      <c r="AA380" s="1852"/>
      <c r="AB380" s="1949"/>
      <c r="AC380" s="1824">
        <f t="shared" si="107"/>
        <v>43040000</v>
      </c>
      <c r="AD380" s="1825">
        <f t="shared" si="108"/>
        <v>0</v>
      </c>
      <c r="AF380" s="848">
        <v>280</v>
      </c>
      <c r="AG380" s="1291" t="s">
        <v>188</v>
      </c>
      <c r="AH380" s="1059" t="s">
        <v>533</v>
      </c>
      <c r="AI380" s="1048">
        <f t="shared" si="109"/>
        <v>103</v>
      </c>
      <c r="AJ380" s="849">
        <v>43040000</v>
      </c>
      <c r="AK380" s="851">
        <f t="shared" si="104"/>
        <v>0</v>
      </c>
      <c r="AL380" s="845"/>
      <c r="AM380" s="1518">
        <f t="shared" si="105"/>
        <v>0</v>
      </c>
    </row>
    <row r="381" spans="1:39" s="654" customFormat="1">
      <c r="A381" s="667" t="s">
        <v>86</v>
      </c>
      <c r="B381" s="1969">
        <f t="shared" si="106"/>
        <v>17754000</v>
      </c>
      <c r="C381" s="668" t="s">
        <v>36</v>
      </c>
      <c r="D381" s="668" t="s">
        <v>832</v>
      </c>
      <c r="E381" s="668" t="s">
        <v>1651</v>
      </c>
      <c r="F381" s="668" t="s">
        <v>87</v>
      </c>
      <c r="G381" s="2137" t="s">
        <v>79</v>
      </c>
      <c r="H381" s="2165" t="s">
        <v>1645</v>
      </c>
      <c r="I381" s="2142" t="s">
        <v>173</v>
      </c>
      <c r="J381" s="1650"/>
      <c r="K381" s="1651">
        <v>17754000</v>
      </c>
      <c r="L381" s="1652">
        <v>698</v>
      </c>
      <c r="M381" s="1651">
        <v>17754000</v>
      </c>
      <c r="N381" s="1658">
        <v>848</v>
      </c>
      <c r="O381" s="1651">
        <v>17754000</v>
      </c>
      <c r="P381" s="1655">
        <v>103</v>
      </c>
      <c r="Q381" s="1851"/>
      <c r="R381" s="1852"/>
      <c r="S381" s="1852"/>
      <c r="T381" s="1852"/>
      <c r="U381" s="1852"/>
      <c r="V381" s="1852"/>
      <c r="W381" s="1852"/>
      <c r="X381" s="1852"/>
      <c r="Y381" s="1852"/>
      <c r="Z381" s="1852">
        <v>1614000</v>
      </c>
      <c r="AA381" s="1852">
        <v>5380000</v>
      </c>
      <c r="AB381" s="1949">
        <f>5380000+5380000</f>
        <v>10760000</v>
      </c>
      <c r="AC381" s="1824">
        <f t="shared" si="107"/>
        <v>17754000</v>
      </c>
      <c r="AD381" s="1825">
        <f t="shared" si="108"/>
        <v>0</v>
      </c>
      <c r="AF381" s="848" t="s">
        <v>1249</v>
      </c>
      <c r="AG381" s="1291" t="s">
        <v>1251</v>
      </c>
      <c r="AH381" s="1059" t="s">
        <v>533</v>
      </c>
      <c r="AI381" s="1048">
        <f>P381</f>
        <v>103</v>
      </c>
      <c r="AJ381" s="849">
        <v>17754000</v>
      </c>
      <c r="AK381" s="851">
        <f t="shared" si="104"/>
        <v>0</v>
      </c>
      <c r="AL381" s="845"/>
      <c r="AM381" s="1518">
        <f t="shared" si="105"/>
        <v>0</v>
      </c>
    </row>
    <row r="382" spans="1:39" s="654" customFormat="1">
      <c r="A382" s="667" t="s">
        <v>86</v>
      </c>
      <c r="B382" s="1969">
        <f t="shared" si="106"/>
        <v>43040000</v>
      </c>
      <c r="C382" s="668" t="s">
        <v>36</v>
      </c>
      <c r="D382" s="668" t="s">
        <v>832</v>
      </c>
      <c r="E382" s="668" t="s">
        <v>1651</v>
      </c>
      <c r="F382" s="668" t="s">
        <v>87</v>
      </c>
      <c r="G382" s="2137" t="s">
        <v>79</v>
      </c>
      <c r="H382" s="2165" t="s">
        <v>1645</v>
      </c>
      <c r="I382" s="2142">
        <v>281</v>
      </c>
      <c r="J382" s="1650">
        <v>9</v>
      </c>
      <c r="K382" s="1651"/>
      <c r="L382" s="1652">
        <v>109</v>
      </c>
      <c r="M382" s="1659">
        <v>43040000</v>
      </c>
      <c r="N382" s="1593">
        <v>101</v>
      </c>
      <c r="O382" s="1604">
        <v>43040000</v>
      </c>
      <c r="P382" s="1655">
        <v>93</v>
      </c>
      <c r="Q382" s="1851"/>
      <c r="R382" s="1852">
        <v>1793333</v>
      </c>
      <c r="S382" s="1852">
        <f>VLOOKUP(N382,[9]Hoja2!N$2:T$77,7,0)</f>
        <v>5380000</v>
      </c>
      <c r="T382" s="1852">
        <v>5380000</v>
      </c>
      <c r="U382" s="1852">
        <v>5380000</v>
      </c>
      <c r="V382" s="1852">
        <v>5380000</v>
      </c>
      <c r="W382" s="1852">
        <v>5380000</v>
      </c>
      <c r="X382" s="1852">
        <v>5380000</v>
      </c>
      <c r="Y382" s="1852">
        <v>5380000</v>
      </c>
      <c r="Z382" s="1852">
        <v>3586667</v>
      </c>
      <c r="AA382" s="1852"/>
      <c r="AB382" s="1949"/>
      <c r="AC382" s="1824">
        <f t="shared" si="107"/>
        <v>43040000</v>
      </c>
      <c r="AD382" s="1825">
        <f t="shared" si="108"/>
        <v>0</v>
      </c>
      <c r="AF382" s="848">
        <v>281</v>
      </c>
      <c r="AG382" s="1291" t="s">
        <v>188</v>
      </c>
      <c r="AH382" s="1059" t="s">
        <v>534</v>
      </c>
      <c r="AI382" s="1048">
        <f t="shared" si="109"/>
        <v>93</v>
      </c>
      <c r="AJ382" s="849">
        <v>43040000</v>
      </c>
      <c r="AK382" s="851">
        <f t="shared" si="104"/>
        <v>0</v>
      </c>
      <c r="AL382" s="845"/>
      <c r="AM382" s="1518">
        <f t="shared" si="105"/>
        <v>0</v>
      </c>
    </row>
    <row r="383" spans="1:39" s="654" customFormat="1">
      <c r="A383" s="667" t="s">
        <v>86</v>
      </c>
      <c r="B383" s="1969">
        <f t="shared" si="106"/>
        <v>17933333</v>
      </c>
      <c r="C383" s="668" t="s">
        <v>36</v>
      </c>
      <c r="D383" s="668" t="s">
        <v>832</v>
      </c>
      <c r="E383" s="668" t="s">
        <v>1651</v>
      </c>
      <c r="F383" s="668" t="s">
        <v>87</v>
      </c>
      <c r="G383" s="2137" t="s">
        <v>79</v>
      </c>
      <c r="H383" s="2165" t="s">
        <v>1645</v>
      </c>
      <c r="I383" s="2142" t="s">
        <v>173</v>
      </c>
      <c r="J383" s="1650"/>
      <c r="K383" s="1651">
        <v>17933333</v>
      </c>
      <c r="L383" s="1652">
        <v>694</v>
      </c>
      <c r="M383" s="1651">
        <v>17933333</v>
      </c>
      <c r="N383" s="1658">
        <v>844</v>
      </c>
      <c r="O383" s="1752">
        <v>17933333</v>
      </c>
      <c r="P383" s="1655">
        <v>93</v>
      </c>
      <c r="Q383" s="1851"/>
      <c r="R383" s="1852"/>
      <c r="S383" s="1852"/>
      <c r="T383" s="1852"/>
      <c r="U383" s="1852"/>
      <c r="V383" s="1852"/>
      <c r="W383" s="1852"/>
      <c r="X383" s="1852"/>
      <c r="Y383" s="1852"/>
      <c r="Z383" s="1852">
        <v>1793333</v>
      </c>
      <c r="AA383" s="1852">
        <v>5380000</v>
      </c>
      <c r="AB383" s="1949">
        <f>5380000+5380000</f>
        <v>10760000</v>
      </c>
      <c r="AC383" s="1824">
        <f t="shared" si="107"/>
        <v>17933333</v>
      </c>
      <c r="AD383" s="1825">
        <f t="shared" si="108"/>
        <v>0</v>
      </c>
      <c r="AF383" s="848" t="s">
        <v>1249</v>
      </c>
      <c r="AG383" s="1291" t="s">
        <v>1252</v>
      </c>
      <c r="AH383" s="1059" t="s">
        <v>534</v>
      </c>
      <c r="AI383" s="1048">
        <f>P383</f>
        <v>93</v>
      </c>
      <c r="AJ383" s="849">
        <v>17933333</v>
      </c>
      <c r="AK383" s="851">
        <f t="shared" si="104"/>
        <v>0</v>
      </c>
      <c r="AL383" s="845"/>
      <c r="AM383" s="1518">
        <f t="shared" si="105"/>
        <v>0</v>
      </c>
    </row>
    <row r="384" spans="1:39" s="654" customFormat="1">
      <c r="A384" s="667" t="s">
        <v>86</v>
      </c>
      <c r="B384" s="1969">
        <f t="shared" si="106"/>
        <v>43040000</v>
      </c>
      <c r="C384" s="668" t="s">
        <v>36</v>
      </c>
      <c r="D384" s="668" t="s">
        <v>832</v>
      </c>
      <c r="E384" s="668" t="s">
        <v>1651</v>
      </c>
      <c r="F384" s="668" t="s">
        <v>87</v>
      </c>
      <c r="G384" s="2137" t="s">
        <v>79</v>
      </c>
      <c r="H384" s="2165" t="s">
        <v>1645</v>
      </c>
      <c r="I384" s="2142">
        <v>282</v>
      </c>
      <c r="J384" s="1650">
        <v>10</v>
      </c>
      <c r="K384" s="1651"/>
      <c r="L384" s="1652">
        <v>302</v>
      </c>
      <c r="M384" s="1659">
        <v>43040000</v>
      </c>
      <c r="N384" s="1658">
        <v>310</v>
      </c>
      <c r="O384" s="1752">
        <v>43040000</v>
      </c>
      <c r="P384" s="1655">
        <v>266</v>
      </c>
      <c r="Q384" s="1851"/>
      <c r="R384" s="1852"/>
      <c r="S384" s="1852"/>
      <c r="T384" s="1852">
        <v>6456000</v>
      </c>
      <c r="U384" s="1852">
        <v>5380000</v>
      </c>
      <c r="V384" s="1852">
        <v>5380000</v>
      </c>
      <c r="W384" s="1852">
        <v>5380000</v>
      </c>
      <c r="X384" s="1852">
        <v>5380000</v>
      </c>
      <c r="Y384" s="1852">
        <v>5380000</v>
      </c>
      <c r="Z384" s="1852">
        <f>3228000+2152000</f>
        <v>5380000</v>
      </c>
      <c r="AA384" s="1852">
        <v>4304000</v>
      </c>
      <c r="AB384" s="1949"/>
      <c r="AC384" s="1824">
        <f t="shared" si="107"/>
        <v>43040000</v>
      </c>
      <c r="AD384" s="1825">
        <f t="shared" si="108"/>
        <v>0</v>
      </c>
      <c r="AF384" s="848">
        <v>282</v>
      </c>
      <c r="AG384" s="1291" t="s">
        <v>188</v>
      </c>
      <c r="AH384" s="1059" t="s">
        <v>770</v>
      </c>
      <c r="AI384" s="1048">
        <f t="shared" si="109"/>
        <v>266</v>
      </c>
      <c r="AJ384" s="849">
        <v>43040000</v>
      </c>
      <c r="AK384" s="851">
        <f t="shared" si="104"/>
        <v>0</v>
      </c>
      <c r="AL384" s="845"/>
      <c r="AM384" s="1518">
        <f t="shared" si="105"/>
        <v>0</v>
      </c>
    </row>
    <row r="385" spans="1:39" s="654" customFormat="1">
      <c r="A385" s="667" t="s">
        <v>86</v>
      </c>
      <c r="B385" s="1969">
        <f t="shared" si="106"/>
        <v>11836000</v>
      </c>
      <c r="C385" s="668" t="s">
        <v>36</v>
      </c>
      <c r="D385" s="668" t="s">
        <v>832</v>
      </c>
      <c r="E385" s="668" t="s">
        <v>1651</v>
      </c>
      <c r="F385" s="668" t="s">
        <v>87</v>
      </c>
      <c r="G385" s="2137" t="s">
        <v>79</v>
      </c>
      <c r="H385" s="2165" t="s">
        <v>1645</v>
      </c>
      <c r="I385" s="2142" t="s">
        <v>325</v>
      </c>
      <c r="J385" s="1650">
        <v>665</v>
      </c>
      <c r="K385" s="1651">
        <v>11836000</v>
      </c>
      <c r="L385" s="1652">
        <v>762</v>
      </c>
      <c r="M385" s="1659">
        <v>11836000</v>
      </c>
      <c r="N385" s="1658">
        <v>926</v>
      </c>
      <c r="O385" s="1752">
        <v>11836000</v>
      </c>
      <c r="P385" s="1655">
        <v>266</v>
      </c>
      <c r="Q385" s="1851"/>
      <c r="R385" s="1852"/>
      <c r="S385" s="1852"/>
      <c r="T385" s="1852"/>
      <c r="U385" s="1852"/>
      <c r="V385" s="1852"/>
      <c r="W385" s="1852"/>
      <c r="X385" s="1852"/>
      <c r="Y385" s="1852"/>
      <c r="Z385" s="1852"/>
      <c r="AA385" s="1852">
        <v>1076000</v>
      </c>
      <c r="AB385" s="1949">
        <f>5380000+5380000</f>
        <v>10760000</v>
      </c>
      <c r="AC385" s="1824">
        <f t="shared" si="107"/>
        <v>11836000</v>
      </c>
      <c r="AD385" s="1825">
        <f t="shared" si="108"/>
        <v>0</v>
      </c>
      <c r="AF385" s="848" t="s">
        <v>325</v>
      </c>
      <c r="AG385" s="1291" t="s">
        <v>1326</v>
      </c>
      <c r="AH385" s="1059" t="s">
        <v>770</v>
      </c>
      <c r="AI385" s="1048">
        <f t="shared" si="109"/>
        <v>266</v>
      </c>
      <c r="AJ385" s="849">
        <v>11836000</v>
      </c>
      <c r="AK385" s="851">
        <f t="shared" si="104"/>
        <v>0</v>
      </c>
      <c r="AL385" s="845"/>
      <c r="AM385" s="1518">
        <f t="shared" si="105"/>
        <v>0</v>
      </c>
    </row>
    <row r="386" spans="1:39" s="654" customFormat="1">
      <c r="A386" s="667" t="s">
        <v>86</v>
      </c>
      <c r="B386" s="1969">
        <f t="shared" si="106"/>
        <v>5380000</v>
      </c>
      <c r="C386" s="668" t="s">
        <v>36</v>
      </c>
      <c r="D386" s="668" t="s">
        <v>832</v>
      </c>
      <c r="E386" s="668" t="s">
        <v>1651</v>
      </c>
      <c r="F386" s="668" t="s">
        <v>87</v>
      </c>
      <c r="G386" s="2137" t="s">
        <v>79</v>
      </c>
      <c r="H386" s="2165" t="s">
        <v>1645</v>
      </c>
      <c r="I386" s="2142" t="s">
        <v>325</v>
      </c>
      <c r="J386" s="1650">
        <v>795</v>
      </c>
      <c r="K386" s="1651">
        <v>5380000</v>
      </c>
      <c r="L386" s="1652">
        <v>912</v>
      </c>
      <c r="M386" s="1659">
        <v>5380000</v>
      </c>
      <c r="N386" s="1658">
        <v>1169</v>
      </c>
      <c r="O386" s="1752">
        <v>5380000</v>
      </c>
      <c r="P386" s="1655">
        <v>266</v>
      </c>
      <c r="Q386" s="1851"/>
      <c r="R386" s="1852"/>
      <c r="S386" s="1852"/>
      <c r="T386" s="1852"/>
      <c r="U386" s="1852"/>
      <c r="V386" s="1852"/>
      <c r="W386" s="1852"/>
      <c r="X386" s="1852"/>
      <c r="Y386" s="1852"/>
      <c r="Z386" s="1852"/>
      <c r="AA386" s="1852"/>
      <c r="AB386" s="1949"/>
      <c r="AC386" s="1824">
        <f t="shared" si="107"/>
        <v>0</v>
      </c>
      <c r="AD386" s="1825">
        <f t="shared" si="108"/>
        <v>5380000</v>
      </c>
      <c r="AF386" s="848" t="s">
        <v>325</v>
      </c>
      <c r="AG386" s="1291" t="s">
        <v>1501</v>
      </c>
      <c r="AH386" s="1059" t="s">
        <v>1617</v>
      </c>
      <c r="AI386" s="1048">
        <f t="shared" si="109"/>
        <v>266</v>
      </c>
      <c r="AJ386" s="849">
        <v>5380000</v>
      </c>
      <c r="AK386" s="851">
        <f t="shared" si="104"/>
        <v>0</v>
      </c>
      <c r="AL386" s="845"/>
      <c r="AM386" s="1518">
        <f t="shared" si="105"/>
        <v>0</v>
      </c>
    </row>
    <row r="387" spans="1:39" s="654" customFormat="1">
      <c r="A387" s="667" t="s">
        <v>86</v>
      </c>
      <c r="B387" s="1969">
        <f t="shared" si="106"/>
        <v>43040000</v>
      </c>
      <c r="C387" s="668" t="s">
        <v>36</v>
      </c>
      <c r="D387" s="668" t="s">
        <v>832</v>
      </c>
      <c r="E387" s="668" t="s">
        <v>1651</v>
      </c>
      <c r="F387" s="668" t="s">
        <v>87</v>
      </c>
      <c r="G387" s="2137" t="s">
        <v>79</v>
      </c>
      <c r="H387" s="2165" t="s">
        <v>1645</v>
      </c>
      <c r="I387" s="2142">
        <v>283</v>
      </c>
      <c r="J387" s="1650">
        <v>11</v>
      </c>
      <c r="K387" s="1651"/>
      <c r="L387" s="1652">
        <v>110</v>
      </c>
      <c r="M387" s="1659">
        <v>43040000</v>
      </c>
      <c r="N387" s="1593">
        <v>76</v>
      </c>
      <c r="O387" s="1604">
        <v>43040000</v>
      </c>
      <c r="P387" s="1655">
        <v>120</v>
      </c>
      <c r="Q387" s="1851"/>
      <c r="R387" s="1852">
        <v>1434667</v>
      </c>
      <c r="S387" s="1852">
        <f>VLOOKUP(N387,[9]Hoja2!N$2:T$77,7,0)</f>
        <v>5380000</v>
      </c>
      <c r="T387" s="1852">
        <v>5380000</v>
      </c>
      <c r="U387" s="1852">
        <v>5380000</v>
      </c>
      <c r="V387" s="1852">
        <v>2869333</v>
      </c>
      <c r="W387" s="1852"/>
      <c r="X387" s="1852">
        <v>2152000</v>
      </c>
      <c r="Y387" s="1852">
        <v>5380000</v>
      </c>
      <c r="Z387" s="1852">
        <v>5380000</v>
      </c>
      <c r="AA387" s="1852">
        <v>5380000</v>
      </c>
      <c r="AB387" s="1949">
        <v>4304000</v>
      </c>
      <c r="AC387" s="1824">
        <f t="shared" si="107"/>
        <v>43040000</v>
      </c>
      <c r="AD387" s="1825">
        <f t="shared" si="108"/>
        <v>0</v>
      </c>
      <c r="AF387" s="848">
        <v>283</v>
      </c>
      <c r="AG387" s="1291" t="s">
        <v>188</v>
      </c>
      <c r="AH387" s="1059" t="s">
        <v>535</v>
      </c>
      <c r="AI387" s="1048">
        <f t="shared" si="109"/>
        <v>120</v>
      </c>
      <c r="AJ387" s="849">
        <v>43040000</v>
      </c>
      <c r="AK387" s="851">
        <f t="shared" si="104"/>
        <v>0</v>
      </c>
      <c r="AL387" s="845"/>
      <c r="AM387" s="1518">
        <f t="shared" si="105"/>
        <v>0</v>
      </c>
    </row>
    <row r="388" spans="1:39" s="654" customFormat="1">
      <c r="A388" s="667" t="s">
        <v>86</v>
      </c>
      <c r="B388" s="1969">
        <f t="shared" si="106"/>
        <v>6456000</v>
      </c>
      <c r="C388" s="668" t="s">
        <v>36</v>
      </c>
      <c r="D388" s="668" t="s">
        <v>832</v>
      </c>
      <c r="E388" s="668" t="s">
        <v>1651</v>
      </c>
      <c r="F388" s="668" t="s">
        <v>87</v>
      </c>
      <c r="G388" s="2137" t="s">
        <v>79</v>
      </c>
      <c r="H388" s="2165" t="s">
        <v>1645</v>
      </c>
      <c r="I388" s="2142" t="s">
        <v>325</v>
      </c>
      <c r="J388" s="1650">
        <v>669</v>
      </c>
      <c r="K388" s="1651">
        <v>11836000</v>
      </c>
      <c r="L388" s="1652">
        <v>778</v>
      </c>
      <c r="M388" s="1659">
        <f>11836000-5380000</f>
        <v>6456000</v>
      </c>
      <c r="N388" s="1593">
        <v>991</v>
      </c>
      <c r="O388" s="1604">
        <v>6456000</v>
      </c>
      <c r="P388" s="1655">
        <v>120</v>
      </c>
      <c r="Q388" s="1851"/>
      <c r="R388" s="1852"/>
      <c r="S388" s="1852"/>
      <c r="T388" s="1852"/>
      <c r="U388" s="1852"/>
      <c r="V388" s="1852"/>
      <c r="W388" s="1852"/>
      <c r="X388" s="1852"/>
      <c r="Y388" s="1852"/>
      <c r="Z388" s="1852"/>
      <c r="AA388" s="1852"/>
      <c r="AB388" s="1949">
        <f>1076000+5380000</f>
        <v>6456000</v>
      </c>
      <c r="AC388" s="1824">
        <f t="shared" si="107"/>
        <v>6456000</v>
      </c>
      <c r="AD388" s="1825">
        <f t="shared" si="108"/>
        <v>0</v>
      </c>
      <c r="AF388" s="848" t="s">
        <v>325</v>
      </c>
      <c r="AG388" s="1291" t="s">
        <v>1324</v>
      </c>
      <c r="AH388" s="1059" t="s">
        <v>535</v>
      </c>
      <c r="AI388" s="1048">
        <f t="shared" si="109"/>
        <v>120</v>
      </c>
      <c r="AJ388" s="849">
        <f>11836000-5380000</f>
        <v>6456000</v>
      </c>
      <c r="AK388" s="851">
        <f t="shared" si="104"/>
        <v>0</v>
      </c>
      <c r="AL388" s="845"/>
      <c r="AM388" s="1518">
        <f t="shared" si="105"/>
        <v>0</v>
      </c>
    </row>
    <row r="389" spans="1:39" s="654" customFormat="1">
      <c r="A389" s="667" t="s">
        <v>86</v>
      </c>
      <c r="B389" s="1969">
        <f t="shared" si="106"/>
        <v>43040000</v>
      </c>
      <c r="C389" s="668" t="s">
        <v>36</v>
      </c>
      <c r="D389" s="668" t="s">
        <v>832</v>
      </c>
      <c r="E389" s="668" t="s">
        <v>1651</v>
      </c>
      <c r="F389" s="668" t="s">
        <v>87</v>
      </c>
      <c r="G389" s="2137" t="s">
        <v>79</v>
      </c>
      <c r="H389" s="2165" t="s">
        <v>1645</v>
      </c>
      <c r="I389" s="2142">
        <v>284</v>
      </c>
      <c r="J389" s="1650">
        <v>12</v>
      </c>
      <c r="K389" s="1651"/>
      <c r="L389" s="1652">
        <v>127</v>
      </c>
      <c r="M389" s="1659">
        <v>43040000</v>
      </c>
      <c r="N389" s="1593">
        <v>118</v>
      </c>
      <c r="O389" s="1604">
        <v>43040000</v>
      </c>
      <c r="P389" s="1655">
        <v>117</v>
      </c>
      <c r="Q389" s="1851"/>
      <c r="R389" s="1852">
        <v>1434667</v>
      </c>
      <c r="S389" s="1852">
        <f>VLOOKUP(N389,[9]Hoja2!N$2:T$77,7,0)</f>
        <v>5380000</v>
      </c>
      <c r="T389" s="1852">
        <v>5380000</v>
      </c>
      <c r="U389" s="1852">
        <v>5380000</v>
      </c>
      <c r="V389" s="1852">
        <v>5380000</v>
      </c>
      <c r="W389" s="1852">
        <v>5380000</v>
      </c>
      <c r="X389" s="1852">
        <v>5380000</v>
      </c>
      <c r="Y389" s="1852">
        <v>5380000</v>
      </c>
      <c r="Z389" s="1852">
        <v>3945333</v>
      </c>
      <c r="AA389" s="1852"/>
      <c r="AB389" s="1949"/>
      <c r="AC389" s="1824">
        <f t="shared" si="107"/>
        <v>43040000</v>
      </c>
      <c r="AD389" s="1825">
        <f t="shared" si="108"/>
        <v>0</v>
      </c>
      <c r="AF389" s="848">
        <v>284</v>
      </c>
      <c r="AG389" s="1291" t="s">
        <v>188</v>
      </c>
      <c r="AH389" s="1059" t="s">
        <v>536</v>
      </c>
      <c r="AI389" s="1048">
        <f t="shared" si="109"/>
        <v>117</v>
      </c>
      <c r="AJ389" s="849">
        <v>43040000</v>
      </c>
      <c r="AK389" s="851">
        <f t="shared" si="104"/>
        <v>0</v>
      </c>
      <c r="AL389" s="845"/>
      <c r="AM389" s="1518">
        <f t="shared" si="105"/>
        <v>0</v>
      </c>
    </row>
    <row r="390" spans="1:39" s="654" customFormat="1">
      <c r="A390" s="667" t="s">
        <v>86</v>
      </c>
      <c r="B390" s="1969">
        <f t="shared" si="106"/>
        <v>17574666</v>
      </c>
      <c r="C390" s="668" t="s">
        <v>36</v>
      </c>
      <c r="D390" s="668" t="s">
        <v>832</v>
      </c>
      <c r="E390" s="668" t="s">
        <v>1651</v>
      </c>
      <c r="F390" s="668" t="s">
        <v>87</v>
      </c>
      <c r="G390" s="2137" t="s">
        <v>79</v>
      </c>
      <c r="H390" s="2165" t="s">
        <v>1645</v>
      </c>
      <c r="I390" s="2142" t="s">
        <v>173</v>
      </c>
      <c r="J390" s="1650"/>
      <c r="K390" s="1651">
        <v>17574666</v>
      </c>
      <c r="L390" s="1652">
        <v>706</v>
      </c>
      <c r="M390" s="1651">
        <f>17574667-1</f>
        <v>17574666</v>
      </c>
      <c r="N390" s="1658">
        <v>842</v>
      </c>
      <c r="O390" s="1752">
        <v>17574666</v>
      </c>
      <c r="P390" s="1655">
        <v>117</v>
      </c>
      <c r="Q390" s="1851"/>
      <c r="R390" s="1852"/>
      <c r="S390" s="1852"/>
      <c r="T390" s="1852"/>
      <c r="U390" s="1852"/>
      <c r="V390" s="1852"/>
      <c r="W390" s="1852"/>
      <c r="X390" s="1852"/>
      <c r="Y390" s="1852"/>
      <c r="Z390" s="1852">
        <v>1434667</v>
      </c>
      <c r="AA390" s="1852">
        <v>5380000</v>
      </c>
      <c r="AB390" s="1949">
        <f>5380000+5379999</f>
        <v>10759999</v>
      </c>
      <c r="AC390" s="1824">
        <f t="shared" si="107"/>
        <v>17574666</v>
      </c>
      <c r="AD390" s="1825">
        <f t="shared" si="108"/>
        <v>0</v>
      </c>
      <c r="AF390" s="848" t="s">
        <v>325</v>
      </c>
      <c r="AG390" s="1291" t="s">
        <v>1253</v>
      </c>
      <c r="AH390" s="1059" t="s">
        <v>536</v>
      </c>
      <c r="AI390" s="1048">
        <f>P390</f>
        <v>117</v>
      </c>
      <c r="AJ390" s="849">
        <v>17574667</v>
      </c>
      <c r="AK390" s="851">
        <f t="shared" si="104"/>
        <v>1</v>
      </c>
      <c r="AL390" s="845"/>
      <c r="AM390" s="1518">
        <f t="shared" si="105"/>
        <v>1</v>
      </c>
    </row>
    <row r="391" spans="1:39" s="654" customFormat="1">
      <c r="A391" s="667" t="s">
        <v>86</v>
      </c>
      <c r="B391" s="1969">
        <f t="shared" si="106"/>
        <v>5380000</v>
      </c>
      <c r="C391" s="668" t="s">
        <v>36</v>
      </c>
      <c r="D391" s="668" t="s">
        <v>832</v>
      </c>
      <c r="E391" s="668" t="s">
        <v>1651</v>
      </c>
      <c r="F391" s="668" t="s">
        <v>87</v>
      </c>
      <c r="G391" s="2137" t="s">
        <v>79</v>
      </c>
      <c r="H391" s="2165" t="s">
        <v>1645</v>
      </c>
      <c r="I391" s="2142" t="s">
        <v>325</v>
      </c>
      <c r="J391" s="1650">
        <v>790</v>
      </c>
      <c r="K391" s="1651">
        <v>5380000</v>
      </c>
      <c r="L391" s="1652">
        <v>935</v>
      </c>
      <c r="M391" s="1651">
        <v>5380000</v>
      </c>
      <c r="N391" s="1658">
        <v>1177</v>
      </c>
      <c r="O391" s="1752">
        <v>5380000</v>
      </c>
      <c r="P391" s="1655">
        <v>117</v>
      </c>
      <c r="Q391" s="1851"/>
      <c r="R391" s="1852"/>
      <c r="S391" s="1852"/>
      <c r="T391" s="1852"/>
      <c r="U391" s="1852"/>
      <c r="V391" s="1852"/>
      <c r="W391" s="1852"/>
      <c r="X391" s="1852"/>
      <c r="Y391" s="1852"/>
      <c r="Z391" s="1852"/>
      <c r="AA391" s="1852"/>
      <c r="AB391" s="1949"/>
      <c r="AC391" s="1824">
        <f t="shared" si="107"/>
        <v>0</v>
      </c>
      <c r="AD391" s="1825">
        <f t="shared" si="108"/>
        <v>5380000</v>
      </c>
      <c r="AF391" s="848" t="s">
        <v>325</v>
      </c>
      <c r="AG391" s="1291" t="s">
        <v>1499</v>
      </c>
      <c r="AH391" s="1059" t="s">
        <v>536</v>
      </c>
      <c r="AI391" s="1048">
        <f>P391</f>
        <v>117</v>
      </c>
      <c r="AJ391" s="849">
        <v>5380000</v>
      </c>
      <c r="AK391" s="851">
        <f t="shared" si="104"/>
        <v>0</v>
      </c>
      <c r="AL391" s="845"/>
      <c r="AM391" s="1518">
        <f t="shared" si="105"/>
        <v>0</v>
      </c>
    </row>
    <row r="392" spans="1:39" s="654" customFormat="1">
      <c r="A392" s="667" t="s">
        <v>86</v>
      </c>
      <c r="B392" s="1969">
        <f t="shared" si="106"/>
        <v>43040000</v>
      </c>
      <c r="C392" s="668" t="s">
        <v>36</v>
      </c>
      <c r="D392" s="668" t="s">
        <v>832</v>
      </c>
      <c r="E392" s="668" t="s">
        <v>1651</v>
      </c>
      <c r="F392" s="668" t="s">
        <v>87</v>
      </c>
      <c r="G392" s="2137" t="s">
        <v>79</v>
      </c>
      <c r="H392" s="2165" t="s">
        <v>1645</v>
      </c>
      <c r="I392" s="2142">
        <v>285</v>
      </c>
      <c r="J392" s="1650">
        <v>13</v>
      </c>
      <c r="K392" s="1651"/>
      <c r="L392" s="1652">
        <v>111</v>
      </c>
      <c r="M392" s="1659">
        <v>43040000</v>
      </c>
      <c r="N392" s="1593">
        <v>85</v>
      </c>
      <c r="O392" s="1604">
        <v>43040000</v>
      </c>
      <c r="P392" s="1655">
        <v>92</v>
      </c>
      <c r="Q392" s="1851"/>
      <c r="R392" s="1852">
        <v>1434667</v>
      </c>
      <c r="S392" s="1852">
        <f>VLOOKUP(N392,[9]Hoja2!N$2:T$77,7,0)</f>
        <v>5380000</v>
      </c>
      <c r="T392" s="1852">
        <v>5380000</v>
      </c>
      <c r="U392" s="1852">
        <v>5380000</v>
      </c>
      <c r="V392" s="1852">
        <v>5380000</v>
      </c>
      <c r="W392" s="1852">
        <v>5380000</v>
      </c>
      <c r="X392" s="1852">
        <v>5380000</v>
      </c>
      <c r="Y392" s="1852">
        <v>5380000</v>
      </c>
      <c r="Z392" s="1852">
        <v>3945333</v>
      </c>
      <c r="AA392" s="1852"/>
      <c r="AB392" s="1949"/>
      <c r="AC392" s="1824">
        <f t="shared" si="107"/>
        <v>43040000</v>
      </c>
      <c r="AD392" s="1825">
        <f t="shared" si="108"/>
        <v>0</v>
      </c>
      <c r="AF392" s="848">
        <v>285</v>
      </c>
      <c r="AG392" s="1291" t="s">
        <v>188</v>
      </c>
      <c r="AH392" s="1059" t="s">
        <v>537</v>
      </c>
      <c r="AI392" s="1048">
        <f t="shared" si="109"/>
        <v>92</v>
      </c>
      <c r="AJ392" s="849">
        <v>43040000</v>
      </c>
      <c r="AK392" s="851">
        <f t="shared" si="104"/>
        <v>0</v>
      </c>
      <c r="AL392" s="845"/>
      <c r="AM392" s="1518">
        <f t="shared" si="105"/>
        <v>0</v>
      </c>
    </row>
    <row r="393" spans="1:39" s="654" customFormat="1">
      <c r="A393" s="667" t="s">
        <v>86</v>
      </c>
      <c r="B393" s="1969">
        <f t="shared" si="106"/>
        <v>17574666</v>
      </c>
      <c r="C393" s="668" t="s">
        <v>36</v>
      </c>
      <c r="D393" s="668" t="s">
        <v>832</v>
      </c>
      <c r="E393" s="668" t="s">
        <v>1651</v>
      </c>
      <c r="F393" s="668" t="s">
        <v>87</v>
      </c>
      <c r="G393" s="2137" t="s">
        <v>79</v>
      </c>
      <c r="H393" s="2165" t="s">
        <v>1645</v>
      </c>
      <c r="I393" s="2142" t="s">
        <v>173</v>
      </c>
      <c r="J393" s="1650"/>
      <c r="K393" s="1651">
        <v>17574667</v>
      </c>
      <c r="L393" s="1652">
        <v>691</v>
      </c>
      <c r="M393" s="1651">
        <f>17574667-1</f>
        <v>17574666</v>
      </c>
      <c r="N393" s="1658">
        <v>840</v>
      </c>
      <c r="O393" s="1752">
        <v>17574666</v>
      </c>
      <c r="P393" s="1655">
        <v>92</v>
      </c>
      <c r="Q393" s="1851"/>
      <c r="R393" s="1852"/>
      <c r="S393" s="1852"/>
      <c r="T393" s="1852"/>
      <c r="U393" s="1852"/>
      <c r="V393" s="1852"/>
      <c r="W393" s="1852"/>
      <c r="X393" s="1852"/>
      <c r="Y393" s="1852"/>
      <c r="Z393" s="1852">
        <v>1434667</v>
      </c>
      <c r="AA393" s="1852">
        <v>5380000</v>
      </c>
      <c r="AB393" s="1949">
        <f>5380000+5379999</f>
        <v>10759999</v>
      </c>
      <c r="AC393" s="1824">
        <f t="shared" si="107"/>
        <v>17574666</v>
      </c>
      <c r="AD393" s="1825">
        <f t="shared" si="108"/>
        <v>0</v>
      </c>
      <c r="AF393" s="848" t="s">
        <v>325</v>
      </c>
      <c r="AG393" s="1291" t="s">
        <v>1254</v>
      </c>
      <c r="AH393" s="1059" t="s">
        <v>537</v>
      </c>
      <c r="AI393" s="1048">
        <f>P393</f>
        <v>92</v>
      </c>
      <c r="AJ393" s="849">
        <v>17574667</v>
      </c>
      <c r="AK393" s="851">
        <f t="shared" si="104"/>
        <v>1</v>
      </c>
      <c r="AL393" s="845"/>
      <c r="AM393" s="1518">
        <f t="shared" si="105"/>
        <v>1</v>
      </c>
    </row>
    <row r="394" spans="1:39" s="654" customFormat="1">
      <c r="A394" s="667" t="s">
        <v>86</v>
      </c>
      <c r="B394" s="1969">
        <f t="shared" si="106"/>
        <v>3945333</v>
      </c>
      <c r="C394" s="668" t="s">
        <v>36</v>
      </c>
      <c r="D394" s="668" t="s">
        <v>832</v>
      </c>
      <c r="E394" s="668" t="s">
        <v>1651</v>
      </c>
      <c r="F394" s="668" t="s">
        <v>87</v>
      </c>
      <c r="G394" s="2137" t="s">
        <v>79</v>
      </c>
      <c r="H394" s="2165" t="s">
        <v>1645</v>
      </c>
      <c r="I394" s="2142" t="s">
        <v>325</v>
      </c>
      <c r="J394" s="1650">
        <v>800</v>
      </c>
      <c r="K394" s="1651">
        <v>5380000</v>
      </c>
      <c r="L394" s="1652">
        <v>907</v>
      </c>
      <c r="M394" s="1651">
        <f>5380000-1434667</f>
        <v>3945333</v>
      </c>
      <c r="N394" s="1658">
        <v>1168</v>
      </c>
      <c r="O394" s="1752">
        <v>3945333</v>
      </c>
      <c r="P394" s="1655">
        <v>92</v>
      </c>
      <c r="Q394" s="1851"/>
      <c r="R394" s="1852"/>
      <c r="S394" s="1852"/>
      <c r="T394" s="1852"/>
      <c r="U394" s="1852"/>
      <c r="V394" s="1852"/>
      <c r="W394" s="1852"/>
      <c r="X394" s="1852"/>
      <c r="Y394" s="1852"/>
      <c r="Z394" s="1852"/>
      <c r="AA394" s="1852"/>
      <c r="AB394" s="1949"/>
      <c r="AC394" s="1824">
        <f t="shared" si="107"/>
        <v>0</v>
      </c>
      <c r="AD394" s="1825">
        <f t="shared" si="108"/>
        <v>3945333</v>
      </c>
      <c r="AF394" s="848" t="s">
        <v>325</v>
      </c>
      <c r="AG394" s="1291" t="s">
        <v>1497</v>
      </c>
      <c r="AH394" s="1059" t="s">
        <v>537</v>
      </c>
      <c r="AI394" s="1048">
        <f>P394</f>
        <v>92</v>
      </c>
      <c r="AJ394" s="849">
        <v>5380000</v>
      </c>
      <c r="AK394" s="851">
        <f t="shared" si="104"/>
        <v>1434667</v>
      </c>
      <c r="AL394" s="845"/>
      <c r="AM394" s="1518">
        <f t="shared" ref="AM394:AM425" si="110">AJ394-M394</f>
        <v>1434667</v>
      </c>
    </row>
    <row r="395" spans="1:39" s="654" customFormat="1">
      <c r="A395" s="667" t="s">
        <v>86</v>
      </c>
      <c r="B395" s="1969">
        <f t="shared" si="106"/>
        <v>47120000</v>
      </c>
      <c r="C395" s="668" t="s">
        <v>36</v>
      </c>
      <c r="D395" s="668" t="s">
        <v>832</v>
      </c>
      <c r="E395" s="668" t="s">
        <v>1651</v>
      </c>
      <c r="F395" s="668" t="s">
        <v>87</v>
      </c>
      <c r="G395" s="2137" t="s">
        <v>79</v>
      </c>
      <c r="H395" s="2165" t="s">
        <v>1645</v>
      </c>
      <c r="I395" s="2142">
        <v>286</v>
      </c>
      <c r="J395" s="1650">
        <v>14</v>
      </c>
      <c r="K395" s="1651"/>
      <c r="L395" s="1652">
        <v>112</v>
      </c>
      <c r="M395" s="1659">
        <v>47120000</v>
      </c>
      <c r="N395" s="1593">
        <v>90</v>
      </c>
      <c r="O395" s="1604">
        <v>47120000</v>
      </c>
      <c r="P395" s="1655">
        <v>100</v>
      </c>
      <c r="Q395" s="1851"/>
      <c r="R395" s="1852">
        <v>1570667</v>
      </c>
      <c r="S395" s="1852">
        <f>VLOOKUP(N395,[9]Hoja2!N$2:T$77,7,0)</f>
        <v>5890000</v>
      </c>
      <c r="T395" s="1852">
        <v>5890000</v>
      </c>
      <c r="U395" s="1852">
        <v>5890000</v>
      </c>
      <c r="V395" s="1852">
        <v>5890000</v>
      </c>
      <c r="W395" s="1852">
        <v>5890000</v>
      </c>
      <c r="X395" s="1852">
        <v>5890000</v>
      </c>
      <c r="Y395" s="1852">
        <v>5890000</v>
      </c>
      <c r="Z395" s="1852">
        <v>4319333</v>
      </c>
      <c r="AA395" s="1852"/>
      <c r="AB395" s="1949"/>
      <c r="AC395" s="1824">
        <f t="shared" si="107"/>
        <v>47120000</v>
      </c>
      <c r="AD395" s="1825">
        <f t="shared" si="108"/>
        <v>0</v>
      </c>
      <c r="AF395" s="848">
        <v>286</v>
      </c>
      <c r="AG395" s="1291" t="s">
        <v>189</v>
      </c>
      <c r="AH395" s="1059" t="s">
        <v>538</v>
      </c>
      <c r="AI395" s="1048">
        <f t="shared" si="109"/>
        <v>100</v>
      </c>
      <c r="AJ395" s="849">
        <v>47120000</v>
      </c>
      <c r="AK395" s="851">
        <f t="shared" si="104"/>
        <v>0</v>
      </c>
      <c r="AL395" s="845"/>
      <c r="AM395" s="1518">
        <f t="shared" si="110"/>
        <v>0</v>
      </c>
    </row>
    <row r="396" spans="1:39" s="654" customFormat="1">
      <c r="A396" s="667" t="s">
        <v>86</v>
      </c>
      <c r="B396" s="1969">
        <f t="shared" si="106"/>
        <v>19240666</v>
      </c>
      <c r="C396" s="668" t="s">
        <v>36</v>
      </c>
      <c r="D396" s="668" t="s">
        <v>832</v>
      </c>
      <c r="E396" s="668" t="s">
        <v>1651</v>
      </c>
      <c r="F396" s="668" t="s">
        <v>87</v>
      </c>
      <c r="G396" s="2137" t="s">
        <v>79</v>
      </c>
      <c r="H396" s="2165" t="s">
        <v>1645</v>
      </c>
      <c r="I396" s="2142" t="s">
        <v>173</v>
      </c>
      <c r="J396" s="1650"/>
      <c r="K396" s="1651">
        <v>19240666.666666668</v>
      </c>
      <c r="L396" s="1652">
        <v>696</v>
      </c>
      <c r="M396" s="1651">
        <f>19240667-1</f>
        <v>19240666</v>
      </c>
      <c r="N396" s="1658">
        <v>851</v>
      </c>
      <c r="O396" s="1752">
        <v>19240666</v>
      </c>
      <c r="P396" s="1655">
        <v>100</v>
      </c>
      <c r="Q396" s="1851"/>
      <c r="R396" s="1852"/>
      <c r="S396" s="1852"/>
      <c r="T396" s="1852"/>
      <c r="U396" s="1852"/>
      <c r="V396" s="1852"/>
      <c r="W396" s="1852"/>
      <c r="X396" s="1852"/>
      <c r="Y396" s="1852"/>
      <c r="Z396" s="1852">
        <v>1570667</v>
      </c>
      <c r="AA396" s="1852">
        <v>5890000</v>
      </c>
      <c r="AB396" s="1949">
        <f>5890000+5889999</f>
        <v>11779999</v>
      </c>
      <c r="AC396" s="1824">
        <f t="shared" si="107"/>
        <v>19240666</v>
      </c>
      <c r="AD396" s="1825">
        <f t="shared" si="108"/>
        <v>0</v>
      </c>
      <c r="AF396" s="848" t="s">
        <v>1249</v>
      </c>
      <c r="AG396" s="1291" t="s">
        <v>1255</v>
      </c>
      <c r="AH396" s="1059" t="s">
        <v>538</v>
      </c>
      <c r="AI396" s="1048">
        <f>P396</f>
        <v>100</v>
      </c>
      <c r="AJ396" s="849">
        <v>19240667</v>
      </c>
      <c r="AK396" s="851">
        <f t="shared" si="104"/>
        <v>1</v>
      </c>
      <c r="AL396" s="845"/>
      <c r="AM396" s="1518">
        <f t="shared" si="110"/>
        <v>1</v>
      </c>
    </row>
    <row r="397" spans="1:39" s="654" customFormat="1">
      <c r="A397" s="667" t="s">
        <v>86</v>
      </c>
      <c r="B397" s="1969">
        <f t="shared" si="106"/>
        <v>4319334</v>
      </c>
      <c r="C397" s="668" t="s">
        <v>36</v>
      </c>
      <c r="D397" s="668" t="s">
        <v>832</v>
      </c>
      <c r="E397" s="668" t="s">
        <v>1651</v>
      </c>
      <c r="F397" s="668" t="s">
        <v>87</v>
      </c>
      <c r="G397" s="2137" t="s">
        <v>79</v>
      </c>
      <c r="H397" s="2165" t="s">
        <v>1645</v>
      </c>
      <c r="I397" s="2142" t="s">
        <v>325</v>
      </c>
      <c r="J397" s="1650">
        <v>801</v>
      </c>
      <c r="K397" s="1651">
        <v>5890000</v>
      </c>
      <c r="L397" s="1652">
        <v>908</v>
      </c>
      <c r="M397" s="1651">
        <f>5890000-1570666</f>
        <v>4319334</v>
      </c>
      <c r="N397" s="1658">
        <v>1167</v>
      </c>
      <c r="O397" s="1752">
        <v>4319334</v>
      </c>
      <c r="P397" s="1655">
        <v>100</v>
      </c>
      <c r="Q397" s="1851"/>
      <c r="R397" s="1852"/>
      <c r="S397" s="1852"/>
      <c r="T397" s="1852"/>
      <c r="U397" s="1852"/>
      <c r="V397" s="1852"/>
      <c r="W397" s="1852"/>
      <c r="X397" s="1852"/>
      <c r="Y397" s="1852"/>
      <c r="Z397" s="1852"/>
      <c r="AA397" s="1852"/>
      <c r="AB397" s="1949"/>
      <c r="AC397" s="1824">
        <f t="shared" si="107"/>
        <v>0</v>
      </c>
      <c r="AD397" s="1825">
        <f t="shared" si="108"/>
        <v>4319334</v>
      </c>
      <c r="AF397" s="848" t="s">
        <v>325</v>
      </c>
      <c r="AG397" s="1291" t="s">
        <v>1498</v>
      </c>
      <c r="AH397" s="1059" t="s">
        <v>538</v>
      </c>
      <c r="AI397" s="1048">
        <f>P397</f>
        <v>100</v>
      </c>
      <c r="AJ397" s="849">
        <v>5890000</v>
      </c>
      <c r="AK397" s="851">
        <f t="shared" si="104"/>
        <v>1570666</v>
      </c>
      <c r="AL397" s="845"/>
      <c r="AM397" s="1518">
        <f t="shared" si="110"/>
        <v>1570666</v>
      </c>
    </row>
    <row r="398" spans="1:39" s="654" customFormat="1">
      <c r="A398" s="667" t="s">
        <v>86</v>
      </c>
      <c r="B398" s="1969">
        <f t="shared" si="106"/>
        <v>47120000</v>
      </c>
      <c r="C398" s="668" t="s">
        <v>36</v>
      </c>
      <c r="D398" s="668" t="s">
        <v>832</v>
      </c>
      <c r="E398" s="668" t="s">
        <v>1651</v>
      </c>
      <c r="F398" s="668" t="s">
        <v>87</v>
      </c>
      <c r="G398" s="2137" t="s">
        <v>79</v>
      </c>
      <c r="H398" s="2165" t="s">
        <v>1645</v>
      </c>
      <c r="I398" s="2142">
        <v>287</v>
      </c>
      <c r="J398" s="1650">
        <v>15</v>
      </c>
      <c r="K398" s="1651"/>
      <c r="L398" s="1652">
        <v>113</v>
      </c>
      <c r="M398" s="1659">
        <v>47120000</v>
      </c>
      <c r="N398" s="1593">
        <v>72</v>
      </c>
      <c r="O398" s="1604">
        <v>47120000</v>
      </c>
      <c r="P398" s="1655">
        <v>101</v>
      </c>
      <c r="Q398" s="1851"/>
      <c r="R398" s="1852">
        <v>1374333</v>
      </c>
      <c r="S398" s="1852">
        <f>VLOOKUP(N398,[9]Hoja2!N$2:T$77,7,0)</f>
        <v>5890000</v>
      </c>
      <c r="T398" s="1852">
        <v>5890000</v>
      </c>
      <c r="U398" s="1852">
        <v>5890000</v>
      </c>
      <c r="V398" s="1852">
        <v>5890000</v>
      </c>
      <c r="W398" s="1852">
        <v>5890000</v>
      </c>
      <c r="X398" s="1852">
        <v>5890000</v>
      </c>
      <c r="Y398" s="1852">
        <v>5890000</v>
      </c>
      <c r="Z398" s="1852">
        <v>4515667</v>
      </c>
      <c r="AA398" s="1852"/>
      <c r="AB398" s="1949"/>
      <c r="AC398" s="1824">
        <f t="shared" si="107"/>
        <v>47120000</v>
      </c>
      <c r="AD398" s="1825">
        <f t="shared" si="108"/>
        <v>0</v>
      </c>
      <c r="AF398" s="848">
        <v>287</v>
      </c>
      <c r="AG398" s="1291" t="s">
        <v>189</v>
      </c>
      <c r="AH398" s="1059" t="s">
        <v>539</v>
      </c>
      <c r="AI398" s="1048">
        <f t="shared" si="109"/>
        <v>101</v>
      </c>
      <c r="AJ398" s="849">
        <v>47120000</v>
      </c>
      <c r="AK398" s="851">
        <f t="shared" si="104"/>
        <v>0</v>
      </c>
      <c r="AL398" s="845"/>
      <c r="AM398" s="1518">
        <f t="shared" si="110"/>
        <v>0</v>
      </c>
    </row>
    <row r="399" spans="1:39" s="654" customFormat="1">
      <c r="A399" s="667" t="s">
        <v>86</v>
      </c>
      <c r="B399" s="1969">
        <f t="shared" si="106"/>
        <v>19044333</v>
      </c>
      <c r="C399" s="668" t="s">
        <v>36</v>
      </c>
      <c r="D399" s="668" t="s">
        <v>832</v>
      </c>
      <c r="E399" s="668" t="s">
        <v>1651</v>
      </c>
      <c r="F399" s="668" t="s">
        <v>87</v>
      </c>
      <c r="G399" s="2137" t="s">
        <v>79</v>
      </c>
      <c r="H399" s="2165" t="s">
        <v>1645</v>
      </c>
      <c r="I399" s="2142" t="s">
        <v>173</v>
      </c>
      <c r="J399" s="1650"/>
      <c r="K399" s="1651">
        <v>19044333.333333332</v>
      </c>
      <c r="L399" s="1652">
        <v>697</v>
      </c>
      <c r="M399" s="1651">
        <v>19044333</v>
      </c>
      <c r="N399" s="1658">
        <v>850</v>
      </c>
      <c r="O399" s="1651">
        <v>19044333</v>
      </c>
      <c r="P399" s="1655">
        <v>101</v>
      </c>
      <c r="Q399" s="1851"/>
      <c r="R399" s="1852"/>
      <c r="S399" s="1852"/>
      <c r="T399" s="1852"/>
      <c r="U399" s="1852"/>
      <c r="V399" s="1852"/>
      <c r="W399" s="1852"/>
      <c r="X399" s="1852"/>
      <c r="Y399" s="1852"/>
      <c r="Z399" s="1852">
        <v>1374333</v>
      </c>
      <c r="AA399" s="1852">
        <v>5890000</v>
      </c>
      <c r="AB399" s="1949">
        <f>5890000+5890000</f>
        <v>11780000</v>
      </c>
      <c r="AC399" s="1824">
        <f t="shared" si="107"/>
        <v>19044333</v>
      </c>
      <c r="AD399" s="1825">
        <f t="shared" si="108"/>
        <v>0</v>
      </c>
      <c r="AF399" s="848" t="s">
        <v>1249</v>
      </c>
      <c r="AG399" s="1291" t="s">
        <v>1256</v>
      </c>
      <c r="AH399" s="1059" t="s">
        <v>539</v>
      </c>
      <c r="AI399" s="1048">
        <f>P399</f>
        <v>101</v>
      </c>
      <c r="AJ399" s="849">
        <v>19044333</v>
      </c>
      <c r="AK399" s="851">
        <f t="shared" si="104"/>
        <v>0</v>
      </c>
      <c r="AL399" s="845"/>
      <c r="AM399" s="1518">
        <f t="shared" si="110"/>
        <v>0</v>
      </c>
    </row>
    <row r="400" spans="1:39" s="654" customFormat="1">
      <c r="A400" s="667" t="s">
        <v>86</v>
      </c>
      <c r="B400" s="1969">
        <f t="shared" si="106"/>
        <v>87500000</v>
      </c>
      <c r="C400" s="668" t="s">
        <v>36</v>
      </c>
      <c r="D400" s="668" t="s">
        <v>832</v>
      </c>
      <c r="E400" s="668" t="s">
        <v>1651</v>
      </c>
      <c r="F400" s="668" t="s">
        <v>87</v>
      </c>
      <c r="G400" s="2137" t="s">
        <v>79</v>
      </c>
      <c r="H400" s="2165" t="s">
        <v>1645</v>
      </c>
      <c r="I400" s="2142">
        <v>288</v>
      </c>
      <c r="J400" s="1650">
        <v>16</v>
      </c>
      <c r="K400" s="1651"/>
      <c r="L400" s="1652">
        <v>97</v>
      </c>
      <c r="M400" s="1659">
        <v>87500000</v>
      </c>
      <c r="N400" s="1593">
        <v>65</v>
      </c>
      <c r="O400" s="1604">
        <v>87500000</v>
      </c>
      <c r="P400" s="1655">
        <v>72</v>
      </c>
      <c r="Q400" s="1851"/>
      <c r="R400" s="1852">
        <v>2041667</v>
      </c>
      <c r="S400" s="1852">
        <f>VLOOKUP(N400,[9]Hoja2!N$2:T$77,7,0)</f>
        <v>8750000</v>
      </c>
      <c r="T400" s="1852">
        <v>8750000</v>
      </c>
      <c r="U400" s="1852">
        <v>8750000</v>
      </c>
      <c r="V400" s="1852">
        <v>8750000</v>
      </c>
      <c r="W400" s="1852">
        <v>8750000</v>
      </c>
      <c r="X400" s="1852">
        <v>8750000</v>
      </c>
      <c r="Y400" s="1852">
        <v>8750000</v>
      </c>
      <c r="Z400" s="1852">
        <v>8750000</v>
      </c>
      <c r="AA400" s="1852">
        <v>8750000</v>
      </c>
      <c r="AB400" s="1949">
        <v>6708333</v>
      </c>
      <c r="AC400" s="1824">
        <f t="shared" si="107"/>
        <v>87500000</v>
      </c>
      <c r="AD400" s="1825">
        <f t="shared" si="108"/>
        <v>0</v>
      </c>
      <c r="AF400" s="848">
        <v>288</v>
      </c>
      <c r="AG400" s="1291" t="s">
        <v>190</v>
      </c>
      <c r="AH400" s="1059" t="s">
        <v>540</v>
      </c>
      <c r="AI400" s="1048">
        <f t="shared" si="109"/>
        <v>72</v>
      </c>
      <c r="AJ400" s="849">
        <v>87500000</v>
      </c>
      <c r="AK400" s="851">
        <f t="shared" si="104"/>
        <v>0</v>
      </c>
      <c r="AL400" s="845"/>
      <c r="AM400" s="1518">
        <f t="shared" si="110"/>
        <v>0</v>
      </c>
    </row>
    <row r="401" spans="1:39" s="654" customFormat="1">
      <c r="A401" s="667" t="s">
        <v>86</v>
      </c>
      <c r="B401" s="1969">
        <f t="shared" si="106"/>
        <v>17791667</v>
      </c>
      <c r="C401" s="668" t="s">
        <v>36</v>
      </c>
      <c r="D401" s="668" t="s">
        <v>832</v>
      </c>
      <c r="E401" s="668" t="s">
        <v>1651</v>
      </c>
      <c r="F401" s="668" t="s">
        <v>87</v>
      </c>
      <c r="G401" s="2137" t="s">
        <v>79</v>
      </c>
      <c r="H401" s="2165" t="s">
        <v>1645</v>
      </c>
      <c r="I401" s="2142" t="s">
        <v>325</v>
      </c>
      <c r="J401" s="1650" t="s">
        <v>1532</v>
      </c>
      <c r="K401" s="1651">
        <f>10791667-10791667+19541667</f>
        <v>19541667</v>
      </c>
      <c r="L401" s="1652">
        <v>843</v>
      </c>
      <c r="M401" s="1651">
        <f>10791667-10791667+19541667-1750000</f>
        <v>17791667</v>
      </c>
      <c r="N401" s="1652">
        <v>1007</v>
      </c>
      <c r="O401" s="1604">
        <v>17791667</v>
      </c>
      <c r="P401" s="1655">
        <v>72</v>
      </c>
      <c r="Q401" s="1851"/>
      <c r="R401" s="1852"/>
      <c r="S401" s="1852"/>
      <c r="T401" s="1852"/>
      <c r="U401" s="1852"/>
      <c r="V401" s="1852"/>
      <c r="W401" s="1852"/>
      <c r="X401" s="1852"/>
      <c r="Y401" s="1852"/>
      <c r="Z401" s="1852"/>
      <c r="AA401" s="1852"/>
      <c r="AB401" s="1949">
        <v>8750000</v>
      </c>
      <c r="AC401" s="1824">
        <f t="shared" si="107"/>
        <v>8750000</v>
      </c>
      <c r="AD401" s="1825">
        <f t="shared" si="108"/>
        <v>9041667</v>
      </c>
      <c r="AF401" s="848" t="s">
        <v>325</v>
      </c>
      <c r="AG401" s="1291" t="s">
        <v>1401</v>
      </c>
      <c r="AH401" s="1059" t="s">
        <v>540</v>
      </c>
      <c r="AI401" s="1048">
        <f t="shared" si="109"/>
        <v>72</v>
      </c>
      <c r="AJ401" s="849">
        <f>10791667+8750000-1750000+1750000-1750000</f>
        <v>17791667</v>
      </c>
      <c r="AK401" s="851">
        <f t="shared" si="104"/>
        <v>0</v>
      </c>
      <c r="AL401" s="845"/>
      <c r="AM401" s="1518">
        <f t="shared" si="110"/>
        <v>0</v>
      </c>
    </row>
    <row r="402" spans="1:39" s="654" customFormat="1">
      <c r="A402" s="667" t="s">
        <v>86</v>
      </c>
      <c r="B402" s="1969">
        <f t="shared" si="106"/>
        <v>27500000</v>
      </c>
      <c r="C402" s="668" t="s">
        <v>36</v>
      </c>
      <c r="D402" s="668" t="s">
        <v>832</v>
      </c>
      <c r="E402" s="668" t="s">
        <v>1651</v>
      </c>
      <c r="F402" s="668" t="s">
        <v>87</v>
      </c>
      <c r="G402" s="2137" t="s">
        <v>79</v>
      </c>
      <c r="H402" s="2165" t="s">
        <v>1645</v>
      </c>
      <c r="I402" s="2142">
        <v>289</v>
      </c>
      <c r="J402" s="1650">
        <v>17</v>
      </c>
      <c r="K402" s="1651"/>
      <c r="L402" s="1652">
        <v>534</v>
      </c>
      <c r="M402" s="1659">
        <v>27500000</v>
      </c>
      <c r="N402" s="1658">
        <v>616</v>
      </c>
      <c r="O402" s="1752">
        <v>27500000</v>
      </c>
      <c r="P402" s="1655">
        <v>382</v>
      </c>
      <c r="Q402" s="1851"/>
      <c r="R402" s="1852"/>
      <c r="S402" s="1852"/>
      <c r="T402" s="1852"/>
      <c r="U402" s="1852"/>
      <c r="V402" s="1852"/>
      <c r="W402" s="1852">
        <v>3116667</v>
      </c>
      <c r="X402" s="1852">
        <v>5500000</v>
      </c>
      <c r="Y402" s="1852">
        <v>5500000</v>
      </c>
      <c r="Z402" s="1852">
        <v>5500000</v>
      </c>
      <c r="AA402" s="1852">
        <v>5500000</v>
      </c>
      <c r="AB402" s="1949">
        <v>2383333</v>
      </c>
      <c r="AC402" s="1824">
        <f t="shared" si="107"/>
        <v>27500000</v>
      </c>
      <c r="AD402" s="1825">
        <f t="shared" si="108"/>
        <v>0</v>
      </c>
      <c r="AF402" s="848">
        <v>289</v>
      </c>
      <c r="AG402" s="1291" t="s">
        <v>958</v>
      </c>
      <c r="AH402" s="1059" t="s">
        <v>989</v>
      </c>
      <c r="AI402" s="1048">
        <f t="shared" si="109"/>
        <v>382</v>
      </c>
      <c r="AJ402" s="849">
        <f>39200000-11700000</f>
        <v>27500000</v>
      </c>
      <c r="AK402" s="851">
        <f t="shared" si="104"/>
        <v>0</v>
      </c>
      <c r="AL402" s="845"/>
      <c r="AM402" s="1518">
        <f t="shared" si="110"/>
        <v>0</v>
      </c>
    </row>
    <row r="403" spans="1:39" s="654" customFormat="1">
      <c r="A403" s="667" t="s">
        <v>86</v>
      </c>
      <c r="B403" s="1969">
        <f t="shared" si="106"/>
        <v>0</v>
      </c>
      <c r="C403" s="668" t="s">
        <v>36</v>
      </c>
      <c r="D403" s="668" t="s">
        <v>832</v>
      </c>
      <c r="E403" s="668" t="s">
        <v>1651</v>
      </c>
      <c r="F403" s="668" t="s">
        <v>87</v>
      </c>
      <c r="G403" s="2137" t="s">
        <v>79</v>
      </c>
      <c r="H403" s="2165" t="s">
        <v>1645</v>
      </c>
      <c r="I403" s="2142" t="s">
        <v>325</v>
      </c>
      <c r="J403" s="1650">
        <v>674</v>
      </c>
      <c r="K403" s="1651">
        <v>8616667</v>
      </c>
      <c r="L403" s="1652">
        <v>772</v>
      </c>
      <c r="M403" s="1659">
        <f>8616667-8616667</f>
        <v>0</v>
      </c>
      <c r="N403" s="1658"/>
      <c r="O403" s="1752"/>
      <c r="P403" s="1655">
        <v>382</v>
      </c>
      <c r="Q403" s="1851"/>
      <c r="R403" s="1852"/>
      <c r="S403" s="1852"/>
      <c r="T403" s="1852"/>
      <c r="U403" s="1852"/>
      <c r="V403" s="1852"/>
      <c r="W403" s="1852"/>
      <c r="X403" s="1852"/>
      <c r="Y403" s="1852"/>
      <c r="Z403" s="1852"/>
      <c r="AA403" s="1852"/>
      <c r="AB403" s="1949"/>
      <c r="AC403" s="1824">
        <f t="shared" si="107"/>
        <v>0</v>
      </c>
      <c r="AD403" s="1825">
        <f t="shared" si="108"/>
        <v>0</v>
      </c>
      <c r="AF403" s="848" t="s">
        <v>325</v>
      </c>
      <c r="AG403" s="1291" t="s">
        <v>1329</v>
      </c>
      <c r="AH403" s="1059" t="s">
        <v>989</v>
      </c>
      <c r="AI403" s="1048">
        <f t="shared" si="109"/>
        <v>382</v>
      </c>
      <c r="AJ403" s="849">
        <f>8616667-8616667+8616667-8616667</f>
        <v>0</v>
      </c>
      <c r="AK403" s="851">
        <f t="shared" si="104"/>
        <v>0</v>
      </c>
      <c r="AL403" s="845"/>
      <c r="AM403" s="1518">
        <f t="shared" si="110"/>
        <v>0</v>
      </c>
    </row>
    <row r="404" spans="1:39" s="654" customFormat="1">
      <c r="A404" s="667" t="s">
        <v>86</v>
      </c>
      <c r="B404" s="1969">
        <f t="shared" si="106"/>
        <v>43040000</v>
      </c>
      <c r="C404" s="668" t="s">
        <v>36</v>
      </c>
      <c r="D404" s="668" t="s">
        <v>832</v>
      </c>
      <c r="E404" s="668" t="s">
        <v>1651</v>
      </c>
      <c r="F404" s="668" t="s">
        <v>87</v>
      </c>
      <c r="G404" s="2137" t="s">
        <v>79</v>
      </c>
      <c r="H404" s="2165" t="s">
        <v>1645</v>
      </c>
      <c r="I404" s="2142">
        <v>290</v>
      </c>
      <c r="J404" s="1650">
        <v>18</v>
      </c>
      <c r="K404" s="1651"/>
      <c r="L404" s="1652">
        <v>303</v>
      </c>
      <c r="M404" s="1659">
        <v>43040000</v>
      </c>
      <c r="N404" s="1593">
        <v>301</v>
      </c>
      <c r="O404" s="1752">
        <v>43040000</v>
      </c>
      <c r="P404" s="1655">
        <v>254</v>
      </c>
      <c r="Q404" s="1851"/>
      <c r="R404" s="1852"/>
      <c r="S404" s="1852"/>
      <c r="T404" s="1852">
        <v>6276667</v>
      </c>
      <c r="U404" s="1852">
        <v>5380000</v>
      </c>
      <c r="V404" s="1852">
        <v>5380000</v>
      </c>
      <c r="W404" s="1852">
        <v>5380000</v>
      </c>
      <c r="X404" s="1852">
        <v>5380000</v>
      </c>
      <c r="Y404" s="1852">
        <v>5380000</v>
      </c>
      <c r="Z404" s="1852">
        <v>5380000</v>
      </c>
      <c r="AA404" s="1852">
        <v>4483333</v>
      </c>
      <c r="AB404" s="1949"/>
      <c r="AC404" s="1824">
        <f t="shared" si="107"/>
        <v>43040000</v>
      </c>
      <c r="AD404" s="1825">
        <f t="shared" si="108"/>
        <v>0</v>
      </c>
      <c r="AF404" s="848">
        <v>290</v>
      </c>
      <c r="AG404" s="1291" t="s">
        <v>191</v>
      </c>
      <c r="AH404" s="1059" t="s">
        <v>743</v>
      </c>
      <c r="AI404" s="1048">
        <f t="shared" si="109"/>
        <v>254</v>
      </c>
      <c r="AJ404" s="849">
        <f>39360000+3680000</f>
        <v>43040000</v>
      </c>
      <c r="AK404" s="851">
        <f t="shared" si="104"/>
        <v>0</v>
      </c>
      <c r="AL404" s="845"/>
      <c r="AM404" s="1518">
        <f t="shared" si="110"/>
        <v>0</v>
      </c>
    </row>
    <row r="405" spans="1:39" s="654" customFormat="1">
      <c r="A405" s="667" t="s">
        <v>86</v>
      </c>
      <c r="B405" s="1969">
        <f t="shared" si="106"/>
        <v>11656667</v>
      </c>
      <c r="C405" s="668" t="s">
        <v>36</v>
      </c>
      <c r="D405" s="668" t="s">
        <v>832</v>
      </c>
      <c r="E405" s="668" t="s">
        <v>1651</v>
      </c>
      <c r="F405" s="668" t="s">
        <v>87</v>
      </c>
      <c r="G405" s="2137" t="s">
        <v>79</v>
      </c>
      <c r="H405" s="2165" t="s">
        <v>1645</v>
      </c>
      <c r="I405" s="2142" t="s">
        <v>325</v>
      </c>
      <c r="J405" s="1650">
        <v>668</v>
      </c>
      <c r="K405" s="1651">
        <v>11656667</v>
      </c>
      <c r="L405" s="1652">
        <v>765</v>
      </c>
      <c r="M405" s="1659">
        <v>11656667</v>
      </c>
      <c r="N405" s="1593">
        <v>929</v>
      </c>
      <c r="O405" s="1752">
        <v>11656667</v>
      </c>
      <c r="P405" s="1655">
        <v>254</v>
      </c>
      <c r="Q405" s="1851"/>
      <c r="R405" s="1852"/>
      <c r="S405" s="1852"/>
      <c r="T405" s="1852"/>
      <c r="U405" s="1852"/>
      <c r="V405" s="1852"/>
      <c r="W405" s="1852"/>
      <c r="X405" s="1852"/>
      <c r="Y405" s="1852"/>
      <c r="Z405" s="1852"/>
      <c r="AA405" s="1852">
        <v>896667</v>
      </c>
      <c r="AB405" s="1949">
        <f>5380000+5380000</f>
        <v>10760000</v>
      </c>
      <c r="AC405" s="1824">
        <f t="shared" si="107"/>
        <v>11656667</v>
      </c>
      <c r="AD405" s="1825">
        <f t="shared" si="108"/>
        <v>0</v>
      </c>
      <c r="AF405" s="848" t="s">
        <v>325</v>
      </c>
      <c r="AG405" s="1291" t="s">
        <v>1325</v>
      </c>
      <c r="AH405" s="1059" t="s">
        <v>743</v>
      </c>
      <c r="AI405" s="1048">
        <f t="shared" si="109"/>
        <v>254</v>
      </c>
      <c r="AJ405" s="849">
        <v>11656667</v>
      </c>
      <c r="AK405" s="851">
        <f t="shared" si="104"/>
        <v>0</v>
      </c>
      <c r="AL405" s="845"/>
      <c r="AM405" s="1518">
        <f t="shared" si="110"/>
        <v>0</v>
      </c>
    </row>
    <row r="406" spans="1:39" s="654" customFormat="1">
      <c r="A406" s="667" t="s">
        <v>86</v>
      </c>
      <c r="B406" s="1969">
        <f t="shared" si="106"/>
        <v>5380000</v>
      </c>
      <c r="C406" s="668" t="s">
        <v>36</v>
      </c>
      <c r="D406" s="668" t="s">
        <v>832</v>
      </c>
      <c r="E406" s="668" t="s">
        <v>1651</v>
      </c>
      <c r="F406" s="668" t="s">
        <v>87</v>
      </c>
      <c r="G406" s="2137" t="s">
        <v>79</v>
      </c>
      <c r="H406" s="2165" t="s">
        <v>1645</v>
      </c>
      <c r="I406" s="2142" t="s">
        <v>325</v>
      </c>
      <c r="J406" s="1650">
        <v>794</v>
      </c>
      <c r="K406" s="1651">
        <v>5380000</v>
      </c>
      <c r="L406" s="1652">
        <v>911</v>
      </c>
      <c r="M406" s="1659">
        <v>5380000</v>
      </c>
      <c r="N406" s="1593">
        <v>1176</v>
      </c>
      <c r="O406" s="1752">
        <v>5380000</v>
      </c>
      <c r="P406" s="1655">
        <v>254</v>
      </c>
      <c r="Q406" s="1851"/>
      <c r="R406" s="1852"/>
      <c r="S406" s="1852"/>
      <c r="T406" s="1852"/>
      <c r="U406" s="1852"/>
      <c r="V406" s="1852"/>
      <c r="W406" s="1852"/>
      <c r="X406" s="1852"/>
      <c r="Y406" s="1852"/>
      <c r="Z406" s="1852"/>
      <c r="AA406" s="1852"/>
      <c r="AB406" s="1949"/>
      <c r="AC406" s="1824">
        <f t="shared" si="107"/>
        <v>0</v>
      </c>
      <c r="AD406" s="1825">
        <f t="shared" si="108"/>
        <v>5380000</v>
      </c>
      <c r="AF406" s="848" t="s">
        <v>325</v>
      </c>
      <c r="AG406" s="1291" t="s">
        <v>1500</v>
      </c>
      <c r="AH406" s="1059" t="s">
        <v>743</v>
      </c>
      <c r="AI406" s="1048">
        <f t="shared" si="109"/>
        <v>254</v>
      </c>
      <c r="AJ406" s="849">
        <v>5380000</v>
      </c>
      <c r="AK406" s="851">
        <f t="shared" si="104"/>
        <v>0</v>
      </c>
      <c r="AL406" s="845"/>
      <c r="AM406" s="1518">
        <f t="shared" si="110"/>
        <v>0</v>
      </c>
    </row>
    <row r="407" spans="1:39" s="654" customFormat="1">
      <c r="A407" s="667" t="s">
        <v>86</v>
      </c>
      <c r="B407" s="1969">
        <f t="shared" si="106"/>
        <v>43040000</v>
      </c>
      <c r="C407" s="668" t="s">
        <v>36</v>
      </c>
      <c r="D407" s="668" t="s">
        <v>832</v>
      </c>
      <c r="E407" s="668" t="s">
        <v>1651</v>
      </c>
      <c r="F407" s="668" t="s">
        <v>87</v>
      </c>
      <c r="G407" s="2137" t="s">
        <v>79</v>
      </c>
      <c r="H407" s="2165" t="s">
        <v>1645</v>
      </c>
      <c r="I407" s="2142">
        <v>291</v>
      </c>
      <c r="J407" s="1650">
        <v>19</v>
      </c>
      <c r="K407" s="1651"/>
      <c r="L407" s="1652">
        <v>128</v>
      </c>
      <c r="M407" s="1659">
        <v>43040000</v>
      </c>
      <c r="N407" s="1593">
        <v>120</v>
      </c>
      <c r="O407" s="1604">
        <v>43040000</v>
      </c>
      <c r="P407" s="1655">
        <v>123</v>
      </c>
      <c r="Q407" s="1851"/>
      <c r="R407" s="1852">
        <v>1434667</v>
      </c>
      <c r="S407" s="1852">
        <f>VLOOKUP(N407,[9]Hoja2!N$2:T$77,7,0)</f>
        <v>5380000</v>
      </c>
      <c r="T407" s="1852">
        <v>5380000</v>
      </c>
      <c r="U407" s="1852">
        <v>5380000</v>
      </c>
      <c r="V407" s="1852">
        <v>5380000</v>
      </c>
      <c r="W407" s="1852">
        <v>5380000</v>
      </c>
      <c r="X407" s="1852">
        <v>5380000</v>
      </c>
      <c r="Y407" s="1852">
        <v>5380000</v>
      </c>
      <c r="Z407" s="1852">
        <v>3945333</v>
      </c>
      <c r="AA407" s="1852"/>
      <c r="AB407" s="1949"/>
      <c r="AC407" s="1824">
        <f t="shared" si="107"/>
        <v>43040000</v>
      </c>
      <c r="AD407" s="1825">
        <f t="shared" si="108"/>
        <v>0</v>
      </c>
      <c r="AF407" s="848">
        <v>291</v>
      </c>
      <c r="AG407" s="1291" t="s">
        <v>192</v>
      </c>
      <c r="AH407" s="1059" t="s">
        <v>541</v>
      </c>
      <c r="AI407" s="1048">
        <f t="shared" si="109"/>
        <v>123</v>
      </c>
      <c r="AJ407" s="849">
        <v>43040000</v>
      </c>
      <c r="AK407" s="851">
        <f t="shared" si="104"/>
        <v>0</v>
      </c>
      <c r="AL407" s="845"/>
      <c r="AM407" s="1518">
        <f t="shared" si="110"/>
        <v>0</v>
      </c>
    </row>
    <row r="408" spans="1:39" s="654" customFormat="1">
      <c r="A408" s="667" t="s">
        <v>86</v>
      </c>
      <c r="B408" s="1969">
        <f t="shared" si="106"/>
        <v>17574666</v>
      </c>
      <c r="C408" s="668" t="s">
        <v>36</v>
      </c>
      <c r="D408" s="668" t="s">
        <v>832</v>
      </c>
      <c r="E408" s="668" t="s">
        <v>1651</v>
      </c>
      <c r="F408" s="668" t="s">
        <v>87</v>
      </c>
      <c r="G408" s="2137" t="s">
        <v>79</v>
      </c>
      <c r="H408" s="2165" t="s">
        <v>1645</v>
      </c>
      <c r="I408" s="2142" t="s">
        <v>173</v>
      </c>
      <c r="J408" s="1650"/>
      <c r="K408" s="1651">
        <v>17574666.666666668</v>
      </c>
      <c r="L408" s="1652">
        <v>707</v>
      </c>
      <c r="M408" s="1651">
        <f>17574667-1</f>
        <v>17574666</v>
      </c>
      <c r="N408" s="1658">
        <v>841</v>
      </c>
      <c r="O408" s="1752">
        <v>17574666</v>
      </c>
      <c r="P408" s="1655">
        <v>123</v>
      </c>
      <c r="Q408" s="1851"/>
      <c r="R408" s="1852"/>
      <c r="S408" s="1852"/>
      <c r="T408" s="1852"/>
      <c r="U408" s="1852"/>
      <c r="V408" s="1852"/>
      <c r="W408" s="1852"/>
      <c r="X408" s="1852"/>
      <c r="Y408" s="1852"/>
      <c r="Z408" s="1852">
        <v>1434667</v>
      </c>
      <c r="AA408" s="1852">
        <v>5380000</v>
      </c>
      <c r="AB408" s="1949">
        <f>5380000+5379999</f>
        <v>10759999</v>
      </c>
      <c r="AC408" s="1824">
        <f t="shared" si="107"/>
        <v>17574666</v>
      </c>
      <c r="AD408" s="1825">
        <f t="shared" si="108"/>
        <v>0</v>
      </c>
      <c r="AF408" s="848" t="s">
        <v>1249</v>
      </c>
      <c r="AG408" s="1291" t="s">
        <v>1257</v>
      </c>
      <c r="AH408" s="1059" t="s">
        <v>541</v>
      </c>
      <c r="AI408" s="1048">
        <f>P408</f>
        <v>123</v>
      </c>
      <c r="AJ408" s="849">
        <v>17574667</v>
      </c>
      <c r="AK408" s="851">
        <f t="shared" si="104"/>
        <v>1</v>
      </c>
      <c r="AL408" s="845"/>
      <c r="AM408" s="1518">
        <f t="shared" si="110"/>
        <v>1</v>
      </c>
    </row>
    <row r="409" spans="1:39" s="654" customFormat="1">
      <c r="A409" s="667" t="s">
        <v>86</v>
      </c>
      <c r="B409" s="1969">
        <f t="shared" si="106"/>
        <v>66060000</v>
      </c>
      <c r="C409" s="668" t="s">
        <v>36</v>
      </c>
      <c r="D409" s="668" t="s">
        <v>832</v>
      </c>
      <c r="E409" s="668" t="s">
        <v>1651</v>
      </c>
      <c r="F409" s="668" t="s">
        <v>87</v>
      </c>
      <c r="G409" s="2137" t="s">
        <v>79</v>
      </c>
      <c r="H409" s="2165" t="s">
        <v>1645</v>
      </c>
      <c r="I409" s="2142">
        <v>292</v>
      </c>
      <c r="J409" s="1650">
        <v>20</v>
      </c>
      <c r="K409" s="1651"/>
      <c r="L409" s="1652">
        <v>114</v>
      </c>
      <c r="M409" s="1659">
        <v>66060000</v>
      </c>
      <c r="N409" s="1593">
        <v>130</v>
      </c>
      <c r="O409" s="1604">
        <v>66060000</v>
      </c>
      <c r="P409" s="1655">
        <v>126</v>
      </c>
      <c r="Q409" s="1851"/>
      <c r="R409" s="1852">
        <v>1761600</v>
      </c>
      <c r="S409" s="1852">
        <f>VLOOKUP(N409,[9]Hoja2!N$2:T$77,7,0)</f>
        <v>6606000</v>
      </c>
      <c r="T409" s="1852">
        <v>6606000</v>
      </c>
      <c r="U409" s="1852">
        <v>6606000</v>
      </c>
      <c r="V409" s="1852">
        <v>6606000</v>
      </c>
      <c r="W409" s="1852">
        <v>6606000</v>
      </c>
      <c r="X409" s="1852">
        <v>6606000</v>
      </c>
      <c r="Y409" s="1852">
        <v>6606000</v>
      </c>
      <c r="Z409" s="1852">
        <v>6606000</v>
      </c>
      <c r="AA409" s="1852">
        <v>6606000</v>
      </c>
      <c r="AB409" s="1949">
        <v>4844400</v>
      </c>
      <c r="AC409" s="1824">
        <f t="shared" si="107"/>
        <v>66060000</v>
      </c>
      <c r="AD409" s="1825">
        <f t="shared" si="108"/>
        <v>0</v>
      </c>
      <c r="AF409" s="848">
        <v>292</v>
      </c>
      <c r="AG409" s="1291" t="s">
        <v>193</v>
      </c>
      <c r="AH409" s="1059" t="s">
        <v>542</v>
      </c>
      <c r="AI409" s="1048">
        <f t="shared" si="109"/>
        <v>126</v>
      </c>
      <c r="AJ409" s="849">
        <v>66060000</v>
      </c>
      <c r="AK409" s="851">
        <f t="shared" si="104"/>
        <v>0</v>
      </c>
      <c r="AL409" s="845"/>
      <c r="AM409" s="1518">
        <f t="shared" si="110"/>
        <v>0</v>
      </c>
    </row>
    <row r="410" spans="1:39" s="654" customFormat="1">
      <c r="A410" s="667" t="s">
        <v>86</v>
      </c>
      <c r="B410" s="1969">
        <f t="shared" si="106"/>
        <v>8367600</v>
      </c>
      <c r="C410" s="668" t="s">
        <v>36</v>
      </c>
      <c r="D410" s="668" t="s">
        <v>832</v>
      </c>
      <c r="E410" s="668" t="s">
        <v>1651</v>
      </c>
      <c r="F410" s="668" t="s">
        <v>87</v>
      </c>
      <c r="G410" s="2137" t="s">
        <v>79</v>
      </c>
      <c r="H410" s="2165" t="s">
        <v>1645</v>
      </c>
      <c r="I410" s="2142" t="s">
        <v>325</v>
      </c>
      <c r="J410" s="1650">
        <v>712</v>
      </c>
      <c r="K410" s="1651">
        <v>8367600</v>
      </c>
      <c r="L410" s="1652">
        <v>810</v>
      </c>
      <c r="M410" s="1659">
        <v>8367600</v>
      </c>
      <c r="N410" s="1593">
        <v>988</v>
      </c>
      <c r="O410" s="1604">
        <v>8367600</v>
      </c>
      <c r="P410" s="1655">
        <v>126</v>
      </c>
      <c r="Q410" s="1851"/>
      <c r="R410" s="1852"/>
      <c r="S410" s="1852"/>
      <c r="T410" s="1852"/>
      <c r="U410" s="1852"/>
      <c r="V410" s="1852"/>
      <c r="W410" s="1852"/>
      <c r="X410" s="1852"/>
      <c r="Y410" s="1852"/>
      <c r="Z410" s="1852"/>
      <c r="AA410" s="1852"/>
      <c r="AB410" s="1949">
        <f>1761600+6606000</f>
        <v>8367600</v>
      </c>
      <c r="AC410" s="1824">
        <f t="shared" si="107"/>
        <v>8367600</v>
      </c>
      <c r="AD410" s="1825">
        <f t="shared" si="108"/>
        <v>0</v>
      </c>
      <c r="AF410" s="848" t="s">
        <v>325</v>
      </c>
      <c r="AG410" s="1291" t="s">
        <v>1405</v>
      </c>
      <c r="AH410" s="1059" t="s">
        <v>542</v>
      </c>
      <c r="AI410" s="1048">
        <f t="shared" si="109"/>
        <v>126</v>
      </c>
      <c r="AJ410" s="849">
        <v>8367600</v>
      </c>
      <c r="AK410" s="851">
        <f t="shared" si="104"/>
        <v>0</v>
      </c>
      <c r="AL410" s="845"/>
      <c r="AM410" s="1518">
        <f t="shared" si="110"/>
        <v>0</v>
      </c>
    </row>
    <row r="411" spans="1:39" s="654" customFormat="1">
      <c r="A411" s="667" t="s">
        <v>86</v>
      </c>
      <c r="B411" s="1969">
        <f t="shared" si="106"/>
        <v>6606000</v>
      </c>
      <c r="C411" s="668" t="s">
        <v>36</v>
      </c>
      <c r="D411" s="668" t="s">
        <v>832</v>
      </c>
      <c r="E411" s="668" t="s">
        <v>1651</v>
      </c>
      <c r="F411" s="668" t="s">
        <v>87</v>
      </c>
      <c r="G411" s="2137" t="s">
        <v>79</v>
      </c>
      <c r="H411" s="2165" t="s">
        <v>1645</v>
      </c>
      <c r="I411" s="2142" t="s">
        <v>325</v>
      </c>
      <c r="J411" s="1650">
        <v>802</v>
      </c>
      <c r="K411" s="1651">
        <v>6606000</v>
      </c>
      <c r="L411" s="1652">
        <v>909</v>
      </c>
      <c r="M411" s="1659">
        <v>6606000</v>
      </c>
      <c r="N411" s="1593">
        <v>1170</v>
      </c>
      <c r="O411" s="1604">
        <v>6606000</v>
      </c>
      <c r="P411" s="1655">
        <v>126</v>
      </c>
      <c r="Q411" s="1851"/>
      <c r="R411" s="1852"/>
      <c r="S411" s="1852"/>
      <c r="T411" s="1852"/>
      <c r="U411" s="1852"/>
      <c r="V411" s="1852"/>
      <c r="W411" s="1852"/>
      <c r="X411" s="1852"/>
      <c r="Y411" s="1852"/>
      <c r="Z411" s="1852"/>
      <c r="AA411" s="1852"/>
      <c r="AB411" s="1949"/>
      <c r="AC411" s="1824">
        <f t="shared" si="107"/>
        <v>0</v>
      </c>
      <c r="AD411" s="1825">
        <f t="shared" si="108"/>
        <v>6606000</v>
      </c>
      <c r="AF411" s="848" t="s">
        <v>325</v>
      </c>
      <c r="AG411" s="1291" t="s">
        <v>1505</v>
      </c>
      <c r="AH411" s="1059" t="s">
        <v>542</v>
      </c>
      <c r="AI411" s="1048">
        <f t="shared" si="109"/>
        <v>126</v>
      </c>
      <c r="AJ411" s="849">
        <v>6606000</v>
      </c>
      <c r="AK411" s="851">
        <f t="shared" si="104"/>
        <v>0</v>
      </c>
      <c r="AL411" s="845"/>
      <c r="AM411" s="1518">
        <f t="shared" si="110"/>
        <v>0</v>
      </c>
    </row>
    <row r="412" spans="1:39" s="654" customFormat="1">
      <c r="A412" s="667" t="s">
        <v>86</v>
      </c>
      <c r="B412" s="1969">
        <f t="shared" si="106"/>
        <v>22080000</v>
      </c>
      <c r="C412" s="668" t="s">
        <v>36</v>
      </c>
      <c r="D412" s="668" t="s">
        <v>832</v>
      </c>
      <c r="E412" s="668" t="s">
        <v>1651</v>
      </c>
      <c r="F412" s="668" t="s">
        <v>87</v>
      </c>
      <c r="G412" s="2137" t="s">
        <v>79</v>
      </c>
      <c r="H412" s="2165" t="s">
        <v>1645</v>
      </c>
      <c r="I412" s="2142">
        <v>293</v>
      </c>
      <c r="J412" s="1650">
        <v>21</v>
      </c>
      <c r="K412" s="1651"/>
      <c r="L412" s="1652">
        <v>115</v>
      </c>
      <c r="M412" s="1659">
        <f>38400000-16320000</f>
        <v>22080000</v>
      </c>
      <c r="N412" s="1593">
        <v>127</v>
      </c>
      <c r="O412" s="1604">
        <f>38400000-16320000</f>
        <v>22080000</v>
      </c>
      <c r="P412" s="1655">
        <v>97</v>
      </c>
      <c r="Q412" s="1851"/>
      <c r="R412" s="1852">
        <v>1280000</v>
      </c>
      <c r="S412" s="1852">
        <f>VLOOKUP(N412,[9]Hoja2!N$2:T$77,7,0)</f>
        <v>4800000</v>
      </c>
      <c r="T412" s="1852">
        <v>4800000</v>
      </c>
      <c r="U412" s="1852">
        <v>4800000</v>
      </c>
      <c r="V412" s="1852">
        <v>4800000</v>
      </c>
      <c r="W412" s="1852">
        <v>1600000</v>
      </c>
      <c r="X412" s="1852"/>
      <c r="Y412" s="1852"/>
      <c r="Z412" s="1852"/>
      <c r="AA412" s="1852"/>
      <c r="AB412" s="1949"/>
      <c r="AC412" s="1824">
        <f t="shared" si="107"/>
        <v>22080000</v>
      </c>
      <c r="AD412" s="1825">
        <f t="shared" si="108"/>
        <v>0</v>
      </c>
      <c r="AF412" s="848">
        <v>293</v>
      </c>
      <c r="AG412" s="1291" t="s">
        <v>194</v>
      </c>
      <c r="AH412" s="1059" t="s">
        <v>543</v>
      </c>
      <c r="AI412" s="1048">
        <f t="shared" si="109"/>
        <v>97</v>
      </c>
      <c r="AJ412" s="849">
        <f>38400000-16320000</f>
        <v>22080000</v>
      </c>
      <c r="AK412" s="851">
        <f t="shared" si="104"/>
        <v>0</v>
      </c>
      <c r="AL412" s="845"/>
      <c r="AM412" s="1518">
        <f t="shared" si="110"/>
        <v>0</v>
      </c>
    </row>
    <row r="413" spans="1:39" s="654" customFormat="1">
      <c r="A413" s="667" t="s">
        <v>86</v>
      </c>
      <c r="B413" s="1969">
        <f t="shared" si="106"/>
        <v>38400000</v>
      </c>
      <c r="C413" s="668" t="s">
        <v>36</v>
      </c>
      <c r="D413" s="668" t="s">
        <v>832</v>
      </c>
      <c r="E413" s="668" t="s">
        <v>1651</v>
      </c>
      <c r="F413" s="668" t="s">
        <v>87</v>
      </c>
      <c r="G413" s="2137" t="s">
        <v>79</v>
      </c>
      <c r="H413" s="2165" t="s">
        <v>1645</v>
      </c>
      <c r="I413" s="2142">
        <v>294</v>
      </c>
      <c r="J413" s="1650">
        <v>22</v>
      </c>
      <c r="K413" s="1651"/>
      <c r="L413" s="1652">
        <v>129</v>
      </c>
      <c r="M413" s="1659">
        <v>38400000</v>
      </c>
      <c r="N413" s="1593">
        <v>69</v>
      </c>
      <c r="O413" s="1604">
        <v>38400000</v>
      </c>
      <c r="P413" s="1655">
        <v>108</v>
      </c>
      <c r="Q413" s="1851"/>
      <c r="R413" s="1852"/>
      <c r="S413" s="1852">
        <f>VLOOKUP(N413,[9]Hoja2!N$2:T$77,7,0)</f>
        <v>5280000</v>
      </c>
      <c r="T413" s="1852">
        <v>4800000</v>
      </c>
      <c r="U413" s="1852">
        <v>4800000</v>
      </c>
      <c r="V413" s="1852">
        <v>4800000</v>
      </c>
      <c r="W413" s="1852">
        <v>4800000</v>
      </c>
      <c r="X413" s="1852">
        <v>4800000</v>
      </c>
      <c r="Y413" s="1852">
        <v>4800000</v>
      </c>
      <c r="Z413" s="1852">
        <v>4320000</v>
      </c>
      <c r="AA413" s="1852"/>
      <c r="AB413" s="1949"/>
      <c r="AC413" s="1824">
        <f t="shared" si="107"/>
        <v>38400000</v>
      </c>
      <c r="AD413" s="1825">
        <f t="shared" si="108"/>
        <v>0</v>
      </c>
      <c r="AF413" s="848">
        <v>294</v>
      </c>
      <c r="AG413" s="1291" t="s">
        <v>194</v>
      </c>
      <c r="AH413" s="1059" t="s">
        <v>544</v>
      </c>
      <c r="AI413" s="1048">
        <f t="shared" si="109"/>
        <v>108</v>
      </c>
      <c r="AJ413" s="849">
        <v>38400000</v>
      </c>
      <c r="AK413" s="851">
        <f t="shared" si="104"/>
        <v>0</v>
      </c>
      <c r="AL413" s="845"/>
      <c r="AM413" s="1518">
        <f t="shared" si="110"/>
        <v>0</v>
      </c>
    </row>
    <row r="414" spans="1:39" s="654" customFormat="1">
      <c r="A414" s="667" t="s">
        <v>86</v>
      </c>
      <c r="B414" s="1969">
        <f t="shared" si="106"/>
        <v>14880000</v>
      </c>
      <c r="C414" s="668" t="s">
        <v>36</v>
      </c>
      <c r="D414" s="668" t="s">
        <v>832</v>
      </c>
      <c r="E414" s="668" t="s">
        <v>1651</v>
      </c>
      <c r="F414" s="668" t="s">
        <v>87</v>
      </c>
      <c r="G414" s="2137" t="s">
        <v>79</v>
      </c>
      <c r="H414" s="2165" t="s">
        <v>1645</v>
      </c>
      <c r="I414" s="2142" t="s">
        <v>173</v>
      </c>
      <c r="J414" s="1650"/>
      <c r="K414" s="1651">
        <v>14880000</v>
      </c>
      <c r="L414" s="1652">
        <v>700</v>
      </c>
      <c r="M414" s="1651">
        <v>14880000</v>
      </c>
      <c r="N414" s="1658">
        <v>860</v>
      </c>
      <c r="O414" s="1752">
        <v>14880000</v>
      </c>
      <c r="P414" s="1655">
        <v>108</v>
      </c>
      <c r="Q414" s="1851"/>
      <c r="R414" s="1852"/>
      <c r="S414" s="1852"/>
      <c r="T414" s="1852"/>
      <c r="U414" s="1852"/>
      <c r="V414" s="1852"/>
      <c r="W414" s="1852"/>
      <c r="X414" s="1852"/>
      <c r="Y414" s="1852"/>
      <c r="Z414" s="1852">
        <v>480000</v>
      </c>
      <c r="AA414" s="1852">
        <v>4800000</v>
      </c>
      <c r="AB414" s="1949">
        <f>4800000+4800000</f>
        <v>9600000</v>
      </c>
      <c r="AC414" s="1824">
        <f t="shared" si="107"/>
        <v>14880000</v>
      </c>
      <c r="AD414" s="1825">
        <f t="shared" si="108"/>
        <v>0</v>
      </c>
      <c r="AF414" s="848" t="s">
        <v>1249</v>
      </c>
      <c r="AG414" s="1291" t="s">
        <v>1258</v>
      </c>
      <c r="AH414" s="1059" t="s">
        <v>544</v>
      </c>
      <c r="AI414" s="1048">
        <f>P414</f>
        <v>108</v>
      </c>
      <c r="AJ414" s="849">
        <v>14880000</v>
      </c>
      <c r="AK414" s="851">
        <f t="shared" si="104"/>
        <v>0</v>
      </c>
      <c r="AL414" s="845"/>
      <c r="AM414" s="1518">
        <f t="shared" si="110"/>
        <v>0</v>
      </c>
    </row>
    <row r="415" spans="1:39" s="654" customFormat="1">
      <c r="A415" s="667" t="s">
        <v>86</v>
      </c>
      <c r="B415" s="1969">
        <f t="shared" si="106"/>
        <v>38400000</v>
      </c>
      <c r="C415" s="668" t="s">
        <v>36</v>
      </c>
      <c r="D415" s="668" t="s">
        <v>832</v>
      </c>
      <c r="E415" s="668" t="s">
        <v>1651</v>
      </c>
      <c r="F415" s="668" t="s">
        <v>87</v>
      </c>
      <c r="G415" s="2137" t="s">
        <v>79</v>
      </c>
      <c r="H415" s="2165" t="s">
        <v>1645</v>
      </c>
      <c r="I415" s="2142">
        <v>295</v>
      </c>
      <c r="J415" s="1650">
        <v>23</v>
      </c>
      <c r="K415" s="1651"/>
      <c r="L415" s="1652">
        <v>116</v>
      </c>
      <c r="M415" s="1659">
        <v>38400000</v>
      </c>
      <c r="N415" s="1593">
        <v>74</v>
      </c>
      <c r="O415" s="1604">
        <v>38400000</v>
      </c>
      <c r="P415" s="1655">
        <v>105</v>
      </c>
      <c r="Q415" s="1851"/>
      <c r="R415" s="1852">
        <v>1280000</v>
      </c>
      <c r="S415" s="1852">
        <f>VLOOKUP(N415,[9]Hoja2!N$2:T$77,7,0)</f>
        <v>4800000</v>
      </c>
      <c r="T415" s="1852">
        <v>4800000</v>
      </c>
      <c r="U415" s="1852">
        <v>4800000</v>
      </c>
      <c r="V415" s="1852">
        <v>4800000</v>
      </c>
      <c r="W415" s="1852">
        <v>4800000</v>
      </c>
      <c r="X415" s="1852">
        <v>4800000</v>
      </c>
      <c r="Y415" s="1852">
        <v>4800000</v>
      </c>
      <c r="Z415" s="1852">
        <v>3520000</v>
      </c>
      <c r="AA415" s="1852"/>
      <c r="AB415" s="1949"/>
      <c r="AC415" s="1824">
        <f t="shared" si="107"/>
        <v>38400000</v>
      </c>
      <c r="AD415" s="1825">
        <f t="shared" si="108"/>
        <v>0</v>
      </c>
      <c r="AF415" s="848">
        <v>295</v>
      </c>
      <c r="AG415" s="1291" t="s">
        <v>194</v>
      </c>
      <c r="AH415" s="1059" t="s">
        <v>545</v>
      </c>
      <c r="AI415" s="1048">
        <f t="shared" si="109"/>
        <v>105</v>
      </c>
      <c r="AJ415" s="849">
        <v>38400000</v>
      </c>
      <c r="AK415" s="851">
        <f t="shared" si="104"/>
        <v>0</v>
      </c>
      <c r="AL415" s="845"/>
      <c r="AM415" s="1518">
        <f t="shared" si="110"/>
        <v>0</v>
      </c>
    </row>
    <row r="416" spans="1:39" s="654" customFormat="1">
      <c r="A416" s="667" t="s">
        <v>86</v>
      </c>
      <c r="B416" s="1969">
        <f t="shared" si="106"/>
        <v>15680000</v>
      </c>
      <c r="C416" s="668" t="s">
        <v>36</v>
      </c>
      <c r="D416" s="668" t="s">
        <v>832</v>
      </c>
      <c r="E416" s="668" t="s">
        <v>1651</v>
      </c>
      <c r="F416" s="668" t="s">
        <v>87</v>
      </c>
      <c r="G416" s="2137" t="s">
        <v>79</v>
      </c>
      <c r="H416" s="2165" t="s">
        <v>1645</v>
      </c>
      <c r="I416" s="2142" t="s">
        <v>173</v>
      </c>
      <c r="J416" s="1650"/>
      <c r="K416" s="1651">
        <v>15680000</v>
      </c>
      <c r="L416" s="1652">
        <v>699</v>
      </c>
      <c r="M416" s="1651">
        <v>15680000</v>
      </c>
      <c r="N416" s="1658">
        <v>849</v>
      </c>
      <c r="O416" s="1752">
        <v>15680000</v>
      </c>
      <c r="P416" s="1655">
        <v>105</v>
      </c>
      <c r="Q416" s="1851"/>
      <c r="R416" s="1852"/>
      <c r="S416" s="1852"/>
      <c r="T416" s="1852"/>
      <c r="U416" s="1852"/>
      <c r="V416" s="1852"/>
      <c r="W416" s="1852"/>
      <c r="X416" s="1852"/>
      <c r="Y416" s="1852"/>
      <c r="Z416" s="1852">
        <f>160000+1120000</f>
        <v>1280000</v>
      </c>
      <c r="AA416" s="1852">
        <v>4800000</v>
      </c>
      <c r="AB416" s="1949">
        <f>4800000+4800000</f>
        <v>9600000</v>
      </c>
      <c r="AC416" s="1824">
        <f t="shared" si="107"/>
        <v>15680000</v>
      </c>
      <c r="AD416" s="1825">
        <f t="shared" si="108"/>
        <v>0</v>
      </c>
      <c r="AF416" s="848" t="s">
        <v>325</v>
      </c>
      <c r="AG416" s="1291" t="s">
        <v>1259</v>
      </c>
      <c r="AH416" s="1059" t="s">
        <v>545</v>
      </c>
      <c r="AI416" s="1048">
        <f>P416</f>
        <v>105</v>
      </c>
      <c r="AJ416" s="849">
        <v>15680000</v>
      </c>
      <c r="AK416" s="851">
        <f t="shared" si="104"/>
        <v>0</v>
      </c>
      <c r="AL416" s="845"/>
      <c r="AM416" s="1518">
        <f t="shared" si="110"/>
        <v>0</v>
      </c>
    </row>
    <row r="417" spans="1:39" s="654" customFormat="1">
      <c r="A417" s="667" t="s">
        <v>86</v>
      </c>
      <c r="B417" s="1969">
        <f t="shared" si="106"/>
        <v>3520000</v>
      </c>
      <c r="C417" s="668" t="s">
        <v>36</v>
      </c>
      <c r="D417" s="668" t="s">
        <v>832</v>
      </c>
      <c r="E417" s="668" t="s">
        <v>1651</v>
      </c>
      <c r="F417" s="668" t="s">
        <v>87</v>
      </c>
      <c r="G417" s="2137" t="s">
        <v>79</v>
      </c>
      <c r="H417" s="2165" t="s">
        <v>1645</v>
      </c>
      <c r="I417" s="2142" t="s">
        <v>325</v>
      </c>
      <c r="J417" s="1650">
        <v>862</v>
      </c>
      <c r="K417" s="1651">
        <v>4800000</v>
      </c>
      <c r="L417" s="1652">
        <v>979</v>
      </c>
      <c r="M417" s="1651">
        <f>4800000-1280000</f>
        <v>3520000</v>
      </c>
      <c r="N417" s="1658">
        <v>1184</v>
      </c>
      <c r="O417" s="1752">
        <v>3520000</v>
      </c>
      <c r="P417" s="1655">
        <v>105</v>
      </c>
      <c r="Q417" s="1851"/>
      <c r="R417" s="1852"/>
      <c r="S417" s="1852"/>
      <c r="T417" s="1852"/>
      <c r="U417" s="1852"/>
      <c r="V417" s="1852"/>
      <c r="W417" s="1852"/>
      <c r="X417" s="1852"/>
      <c r="Y417" s="1852"/>
      <c r="Z417" s="1852"/>
      <c r="AA417" s="1852"/>
      <c r="AB417" s="1949"/>
      <c r="AC417" s="1824">
        <f t="shared" si="107"/>
        <v>0</v>
      </c>
      <c r="AD417" s="1825">
        <f t="shared" si="108"/>
        <v>3520000</v>
      </c>
      <c r="AF417" s="848" t="s">
        <v>325</v>
      </c>
      <c r="AG417" s="1291" t="s">
        <v>1548</v>
      </c>
      <c r="AH417" s="1059" t="s">
        <v>545</v>
      </c>
      <c r="AI417" s="1048">
        <f>P417</f>
        <v>105</v>
      </c>
      <c r="AJ417" s="849">
        <f>4800000-4800000+4800000</f>
        <v>4800000</v>
      </c>
      <c r="AK417" s="851">
        <f t="shared" si="104"/>
        <v>1280000</v>
      </c>
      <c r="AL417" s="845"/>
      <c r="AM417" s="1518">
        <f t="shared" si="110"/>
        <v>1280000</v>
      </c>
    </row>
    <row r="418" spans="1:39" s="654" customFormat="1">
      <c r="A418" s="667" t="s">
        <v>86</v>
      </c>
      <c r="B418" s="1969">
        <f t="shared" si="106"/>
        <v>38400000</v>
      </c>
      <c r="C418" s="668" t="s">
        <v>36</v>
      </c>
      <c r="D418" s="668" t="s">
        <v>832</v>
      </c>
      <c r="E418" s="668" t="s">
        <v>1651</v>
      </c>
      <c r="F418" s="668" t="s">
        <v>87</v>
      </c>
      <c r="G418" s="2137" t="s">
        <v>79</v>
      </c>
      <c r="H418" s="2165" t="s">
        <v>1645</v>
      </c>
      <c r="I418" s="2142">
        <v>296</v>
      </c>
      <c r="J418" s="1650">
        <v>24</v>
      </c>
      <c r="K418" s="1651"/>
      <c r="L418" s="1652">
        <v>117</v>
      </c>
      <c r="M418" s="1659">
        <v>38400000</v>
      </c>
      <c r="N418" s="1593">
        <v>73</v>
      </c>
      <c r="O418" s="1604">
        <v>38400000</v>
      </c>
      <c r="P418" s="1655">
        <v>95</v>
      </c>
      <c r="Q418" s="1851"/>
      <c r="R418" s="1852">
        <v>1280000</v>
      </c>
      <c r="S418" s="1852">
        <f>VLOOKUP(N418,[9]Hoja2!N$2:T$77,7,0)</f>
        <v>4800000</v>
      </c>
      <c r="T418" s="1852">
        <v>4800000</v>
      </c>
      <c r="U418" s="1852">
        <v>4800000</v>
      </c>
      <c r="V418" s="1852">
        <v>4800000</v>
      </c>
      <c r="W418" s="1852">
        <v>4000000</v>
      </c>
      <c r="X418" s="1852">
        <v>5600000</v>
      </c>
      <c r="Y418" s="1852">
        <v>4800000</v>
      </c>
      <c r="Z418" s="1852">
        <v>3520000</v>
      </c>
      <c r="AA418" s="1852"/>
      <c r="AB418" s="1949"/>
      <c r="AC418" s="1824">
        <f t="shared" si="107"/>
        <v>38400000</v>
      </c>
      <c r="AD418" s="1825">
        <f t="shared" si="108"/>
        <v>0</v>
      </c>
      <c r="AF418" s="848">
        <v>296</v>
      </c>
      <c r="AG418" s="1291" t="s">
        <v>194</v>
      </c>
      <c r="AH418" s="1059" t="s">
        <v>546</v>
      </c>
      <c r="AI418" s="1048">
        <f t="shared" si="109"/>
        <v>95</v>
      </c>
      <c r="AJ418" s="849">
        <v>38400000</v>
      </c>
      <c r="AK418" s="851">
        <f t="shared" si="104"/>
        <v>0</v>
      </c>
      <c r="AL418" s="845"/>
      <c r="AM418" s="1518">
        <f t="shared" si="110"/>
        <v>0</v>
      </c>
    </row>
    <row r="419" spans="1:39" s="654" customFormat="1">
      <c r="A419" s="667" t="s">
        <v>86</v>
      </c>
      <c r="B419" s="1969">
        <f t="shared" si="106"/>
        <v>15680000</v>
      </c>
      <c r="C419" s="668" t="s">
        <v>36</v>
      </c>
      <c r="D419" s="668" t="s">
        <v>832</v>
      </c>
      <c r="E419" s="668" t="s">
        <v>1651</v>
      </c>
      <c r="F419" s="668" t="s">
        <v>87</v>
      </c>
      <c r="G419" s="2137" t="s">
        <v>79</v>
      </c>
      <c r="H419" s="2165" t="s">
        <v>1645</v>
      </c>
      <c r="I419" s="2142" t="s">
        <v>173</v>
      </c>
      <c r="J419" s="1650"/>
      <c r="K419" s="1651">
        <v>15680000</v>
      </c>
      <c r="L419" s="1652">
        <v>695</v>
      </c>
      <c r="M419" s="1651">
        <v>15680000</v>
      </c>
      <c r="N419" s="1658">
        <v>843</v>
      </c>
      <c r="O419" s="1752">
        <v>15680000</v>
      </c>
      <c r="P419" s="1655">
        <v>95</v>
      </c>
      <c r="Q419" s="1851"/>
      <c r="R419" s="1852"/>
      <c r="S419" s="1852"/>
      <c r="T419" s="1852"/>
      <c r="U419" s="1852"/>
      <c r="V419" s="1852"/>
      <c r="W419" s="1852"/>
      <c r="X419" s="1852"/>
      <c r="Y419" s="1852"/>
      <c r="Z419" s="1852">
        <v>1280000</v>
      </c>
      <c r="AA419" s="1852">
        <v>4800000</v>
      </c>
      <c r="AB419" s="1949">
        <f>4800000+4800000</f>
        <v>9600000</v>
      </c>
      <c r="AC419" s="1824">
        <f t="shared" si="107"/>
        <v>15680000</v>
      </c>
      <c r="AD419" s="1825">
        <f t="shared" si="108"/>
        <v>0</v>
      </c>
      <c r="AF419" s="848" t="s">
        <v>1249</v>
      </c>
      <c r="AG419" s="1291" t="s">
        <v>1260</v>
      </c>
      <c r="AH419" s="1059" t="s">
        <v>546</v>
      </c>
      <c r="AI419" s="1048">
        <f>P419</f>
        <v>95</v>
      </c>
      <c r="AJ419" s="849">
        <v>15680000</v>
      </c>
      <c r="AK419" s="851">
        <f t="shared" si="104"/>
        <v>0</v>
      </c>
      <c r="AL419" s="845"/>
      <c r="AM419" s="1518">
        <f t="shared" si="110"/>
        <v>0</v>
      </c>
    </row>
    <row r="420" spans="1:39" s="654" customFormat="1">
      <c r="A420" s="667" t="s">
        <v>86</v>
      </c>
      <c r="B420" s="1969">
        <f t="shared" si="106"/>
        <v>38400000</v>
      </c>
      <c r="C420" s="668" t="s">
        <v>36</v>
      </c>
      <c r="D420" s="668" t="s">
        <v>832</v>
      </c>
      <c r="E420" s="668" t="s">
        <v>1651</v>
      </c>
      <c r="F420" s="668" t="s">
        <v>87</v>
      </c>
      <c r="G420" s="2137" t="s">
        <v>79</v>
      </c>
      <c r="H420" s="2165" t="s">
        <v>1645</v>
      </c>
      <c r="I420" s="2142">
        <v>297</v>
      </c>
      <c r="J420" s="1650">
        <v>25</v>
      </c>
      <c r="K420" s="1651"/>
      <c r="L420" s="1652">
        <v>118</v>
      </c>
      <c r="M420" s="1659">
        <v>38400000</v>
      </c>
      <c r="N420" s="1593">
        <v>92</v>
      </c>
      <c r="O420" s="1604">
        <v>38400000</v>
      </c>
      <c r="P420" s="1655">
        <v>104</v>
      </c>
      <c r="Q420" s="1851"/>
      <c r="R420" s="1852">
        <v>1280000</v>
      </c>
      <c r="S420" s="1852">
        <f>VLOOKUP(N420,[9]Hoja2!N$2:T$77,7,0)</f>
        <v>4800000</v>
      </c>
      <c r="T420" s="1852">
        <v>4800000</v>
      </c>
      <c r="U420" s="1852">
        <v>4800000</v>
      </c>
      <c r="V420" s="1852">
        <v>4800000</v>
      </c>
      <c r="W420" s="1852">
        <v>4800000</v>
      </c>
      <c r="X420" s="1852">
        <v>4800000</v>
      </c>
      <c r="Y420" s="1852">
        <v>4800000</v>
      </c>
      <c r="Z420" s="1852">
        <v>3520000</v>
      </c>
      <c r="AA420" s="1852"/>
      <c r="AB420" s="1949"/>
      <c r="AC420" s="1824">
        <f t="shared" si="107"/>
        <v>38400000</v>
      </c>
      <c r="AD420" s="1825">
        <f t="shared" si="108"/>
        <v>0</v>
      </c>
      <c r="AF420" s="848">
        <v>297</v>
      </c>
      <c r="AG420" s="1291" t="s">
        <v>194</v>
      </c>
      <c r="AH420" s="1059" t="s">
        <v>547</v>
      </c>
      <c r="AI420" s="1048">
        <f t="shared" si="109"/>
        <v>104</v>
      </c>
      <c r="AJ420" s="849">
        <v>38400000</v>
      </c>
      <c r="AK420" s="851">
        <f t="shared" si="104"/>
        <v>0</v>
      </c>
      <c r="AL420" s="845"/>
      <c r="AM420" s="1518">
        <f t="shared" si="110"/>
        <v>0</v>
      </c>
    </row>
    <row r="421" spans="1:39" s="654" customFormat="1">
      <c r="A421" s="667" t="s">
        <v>86</v>
      </c>
      <c r="B421" s="1969">
        <f t="shared" si="106"/>
        <v>66000000</v>
      </c>
      <c r="C421" s="668" t="s">
        <v>36</v>
      </c>
      <c r="D421" s="668" t="s">
        <v>832</v>
      </c>
      <c r="E421" s="668" t="s">
        <v>1651</v>
      </c>
      <c r="F421" s="668" t="s">
        <v>87</v>
      </c>
      <c r="G421" s="2137" t="s">
        <v>79</v>
      </c>
      <c r="H421" s="2165" t="s">
        <v>1645</v>
      </c>
      <c r="I421" s="2142">
        <v>298</v>
      </c>
      <c r="J421" s="1650">
        <v>26</v>
      </c>
      <c r="K421" s="1651"/>
      <c r="L421" s="1652">
        <v>195</v>
      </c>
      <c r="M421" s="1659">
        <v>66000000</v>
      </c>
      <c r="N421" s="1593">
        <v>234</v>
      </c>
      <c r="O421" s="1752">
        <v>66000000</v>
      </c>
      <c r="P421" s="1655">
        <v>212</v>
      </c>
      <c r="Q421" s="1851"/>
      <c r="R421" s="1852"/>
      <c r="S421" s="1852">
        <f>VLOOKUP(N421,[9]Hoja2!N$2:T$77,7,0)</f>
        <v>5500000</v>
      </c>
      <c r="T421" s="1852">
        <v>6600000</v>
      </c>
      <c r="U421" s="1852">
        <v>6600000</v>
      </c>
      <c r="V421" s="1852">
        <v>6600000</v>
      </c>
      <c r="W421" s="1852">
        <v>6930000</v>
      </c>
      <c r="X421" s="1852">
        <v>6000000</v>
      </c>
      <c r="Y421" s="1852">
        <v>6600000</v>
      </c>
      <c r="Z421" s="1852">
        <v>6600000</v>
      </c>
      <c r="AA421" s="1852">
        <v>6600000</v>
      </c>
      <c r="AB421" s="1949">
        <f>6630000+1340000</f>
        <v>7970000</v>
      </c>
      <c r="AC421" s="1824">
        <f t="shared" si="107"/>
        <v>66000000</v>
      </c>
      <c r="AD421" s="1825">
        <f t="shared" si="108"/>
        <v>0</v>
      </c>
      <c r="AF421" s="848">
        <v>298</v>
      </c>
      <c r="AG421" s="1291" t="s">
        <v>195</v>
      </c>
      <c r="AH421" s="1059" t="s">
        <v>726</v>
      </c>
      <c r="AI421" s="1048">
        <f t="shared" si="109"/>
        <v>212</v>
      </c>
      <c r="AJ421" s="849">
        <v>66000000</v>
      </c>
      <c r="AK421" s="851">
        <f t="shared" si="104"/>
        <v>0</v>
      </c>
      <c r="AL421" s="845"/>
      <c r="AM421" s="1518">
        <f t="shared" si="110"/>
        <v>0</v>
      </c>
    </row>
    <row r="422" spans="1:39" s="654" customFormat="1">
      <c r="A422" s="667" t="s">
        <v>86</v>
      </c>
      <c r="B422" s="1969">
        <f t="shared" si="106"/>
        <v>5070000</v>
      </c>
      <c r="C422" s="668" t="s">
        <v>36</v>
      </c>
      <c r="D422" s="668" t="s">
        <v>832</v>
      </c>
      <c r="E422" s="668" t="s">
        <v>1651</v>
      </c>
      <c r="F422" s="668" t="s">
        <v>87</v>
      </c>
      <c r="G422" s="2137" t="s">
        <v>79</v>
      </c>
      <c r="H422" s="2165" t="s">
        <v>1645</v>
      </c>
      <c r="I422" s="2142" t="s">
        <v>173</v>
      </c>
      <c r="J422" s="1650"/>
      <c r="K422" s="1651"/>
      <c r="L422" s="1652">
        <v>526</v>
      </c>
      <c r="M422" s="1659">
        <f>7550000-2480000</f>
        <v>5070000</v>
      </c>
      <c r="N422" s="1593">
        <v>626</v>
      </c>
      <c r="O422" s="1752">
        <v>5070000</v>
      </c>
      <c r="P422" s="1655">
        <v>212</v>
      </c>
      <c r="Q422" s="1851"/>
      <c r="R422" s="1852"/>
      <c r="S422" s="1852"/>
      <c r="T422" s="1852"/>
      <c r="U422" s="1852"/>
      <c r="V422" s="1852"/>
      <c r="W422" s="1852"/>
      <c r="X422" s="1852">
        <v>1500000</v>
      </c>
      <c r="Y422" s="1852">
        <v>900000</v>
      </c>
      <c r="Z422" s="1852">
        <v>900000</v>
      </c>
      <c r="AA422" s="1852">
        <v>900000</v>
      </c>
      <c r="AB422" s="1949">
        <v>870000</v>
      </c>
      <c r="AC422" s="1824">
        <f t="shared" si="107"/>
        <v>5070000</v>
      </c>
      <c r="AD422" s="1825">
        <f t="shared" si="108"/>
        <v>0</v>
      </c>
      <c r="AF422" s="848" t="s">
        <v>325</v>
      </c>
      <c r="AG422" s="1291" t="s">
        <v>927</v>
      </c>
      <c r="AH422" s="1059" t="s">
        <v>726</v>
      </c>
      <c r="AI422" s="1048">
        <f t="shared" si="109"/>
        <v>212</v>
      </c>
      <c r="AJ422" s="849">
        <f>7550000-2480000</f>
        <v>5070000</v>
      </c>
      <c r="AK422" s="851">
        <f t="shared" si="104"/>
        <v>0</v>
      </c>
      <c r="AL422" s="845"/>
      <c r="AM422" s="1518">
        <f t="shared" si="110"/>
        <v>0</v>
      </c>
    </row>
    <row r="423" spans="1:39" s="654" customFormat="1">
      <c r="A423" s="667" t="s">
        <v>86</v>
      </c>
      <c r="B423" s="1969">
        <f t="shared" si="106"/>
        <v>13750000</v>
      </c>
      <c r="C423" s="668" t="s">
        <v>36</v>
      </c>
      <c r="D423" s="668" t="s">
        <v>832</v>
      </c>
      <c r="E423" s="668" t="s">
        <v>1651</v>
      </c>
      <c r="F423" s="668" t="s">
        <v>87</v>
      </c>
      <c r="G423" s="2137" t="s">
        <v>79</v>
      </c>
      <c r="H423" s="2165" t="s">
        <v>1645</v>
      </c>
      <c r="I423" s="2142" t="s">
        <v>325</v>
      </c>
      <c r="J423" s="1650">
        <v>743</v>
      </c>
      <c r="K423" s="1651">
        <v>13750000</v>
      </c>
      <c r="L423" s="1652">
        <v>851</v>
      </c>
      <c r="M423" s="1659">
        <f>13750000</f>
        <v>13750000</v>
      </c>
      <c r="N423" s="1593">
        <v>1023</v>
      </c>
      <c r="O423" s="1752">
        <v>13750000</v>
      </c>
      <c r="P423" s="1655">
        <v>212</v>
      </c>
      <c r="Q423" s="1851"/>
      <c r="R423" s="1852"/>
      <c r="S423" s="1852"/>
      <c r="T423" s="1852"/>
      <c r="U423" s="1852"/>
      <c r="V423" s="1852"/>
      <c r="W423" s="1852"/>
      <c r="X423" s="1852"/>
      <c r="Y423" s="1852"/>
      <c r="Z423" s="1852"/>
      <c r="AA423" s="1852"/>
      <c r="AB423" s="1949">
        <v>6160000</v>
      </c>
      <c r="AC423" s="1824">
        <f t="shared" si="107"/>
        <v>6160000</v>
      </c>
      <c r="AD423" s="1825">
        <f t="shared" si="108"/>
        <v>7590000</v>
      </c>
      <c r="AF423" s="848" t="s">
        <v>325</v>
      </c>
      <c r="AG423" s="1291" t="s">
        <v>1511</v>
      </c>
      <c r="AH423" s="1059" t="s">
        <v>726</v>
      </c>
      <c r="AI423" s="1048">
        <f t="shared" si="109"/>
        <v>212</v>
      </c>
      <c r="AJ423" s="849">
        <v>13750000</v>
      </c>
      <c r="AK423" s="851">
        <f t="shared" si="104"/>
        <v>0</v>
      </c>
      <c r="AL423" s="845"/>
      <c r="AM423" s="1518">
        <f t="shared" si="110"/>
        <v>0</v>
      </c>
    </row>
    <row r="424" spans="1:39" s="654" customFormat="1">
      <c r="A424" s="667" t="s">
        <v>86</v>
      </c>
      <c r="B424" s="1969">
        <f t="shared" si="106"/>
        <v>38400000</v>
      </c>
      <c r="C424" s="668" t="s">
        <v>36</v>
      </c>
      <c r="D424" s="668" t="s">
        <v>832</v>
      </c>
      <c r="E424" s="668" t="s">
        <v>1651</v>
      </c>
      <c r="F424" s="668" t="s">
        <v>87</v>
      </c>
      <c r="G424" s="2137" t="s">
        <v>79</v>
      </c>
      <c r="H424" s="2165" t="s">
        <v>1645</v>
      </c>
      <c r="I424" s="2142">
        <v>299</v>
      </c>
      <c r="J424" s="1650">
        <v>27</v>
      </c>
      <c r="K424" s="1651"/>
      <c r="L424" s="1652">
        <v>130</v>
      </c>
      <c r="M424" s="1659">
        <v>38400000</v>
      </c>
      <c r="N424" s="1593">
        <v>78</v>
      </c>
      <c r="O424" s="1604">
        <v>38400000</v>
      </c>
      <c r="P424" s="1655">
        <v>115</v>
      </c>
      <c r="Q424" s="1851"/>
      <c r="R424" s="1852">
        <v>1280000</v>
      </c>
      <c r="S424" s="1852">
        <f>VLOOKUP(N424,[9]Hoja2!N$2:T$77,7,0)</f>
        <v>4800000</v>
      </c>
      <c r="T424" s="1852">
        <v>4800000</v>
      </c>
      <c r="U424" s="1852">
        <v>4800000</v>
      </c>
      <c r="V424" s="1852">
        <v>4800000</v>
      </c>
      <c r="W424" s="1852">
        <v>4800000</v>
      </c>
      <c r="X424" s="1852">
        <v>4800000</v>
      </c>
      <c r="Y424" s="1852">
        <v>4800000</v>
      </c>
      <c r="Z424" s="1852">
        <v>3520000</v>
      </c>
      <c r="AA424" s="1852"/>
      <c r="AB424" s="1949"/>
      <c r="AC424" s="1824">
        <f t="shared" si="107"/>
        <v>38400000</v>
      </c>
      <c r="AD424" s="1825">
        <f t="shared" si="108"/>
        <v>0</v>
      </c>
      <c r="AF424" s="848">
        <v>299</v>
      </c>
      <c r="AG424" s="1291" t="s">
        <v>196</v>
      </c>
      <c r="AH424" s="1059" t="s">
        <v>548</v>
      </c>
      <c r="AI424" s="1048">
        <f t="shared" si="109"/>
        <v>115</v>
      </c>
      <c r="AJ424" s="849">
        <v>38400000</v>
      </c>
      <c r="AK424" s="851">
        <f t="shared" si="104"/>
        <v>0</v>
      </c>
      <c r="AL424" s="845"/>
      <c r="AM424" s="1518">
        <f t="shared" si="110"/>
        <v>0</v>
      </c>
    </row>
    <row r="425" spans="1:39" s="654" customFormat="1">
      <c r="A425" s="667" t="s">
        <v>86</v>
      </c>
      <c r="B425" s="1969">
        <f t="shared" si="106"/>
        <v>15680000</v>
      </c>
      <c r="C425" s="668" t="s">
        <v>36</v>
      </c>
      <c r="D425" s="668" t="s">
        <v>832</v>
      </c>
      <c r="E425" s="668" t="s">
        <v>1651</v>
      </c>
      <c r="F425" s="668" t="s">
        <v>87</v>
      </c>
      <c r="G425" s="2137" t="s">
        <v>79</v>
      </c>
      <c r="H425" s="2165" t="s">
        <v>1645</v>
      </c>
      <c r="I425" s="2142" t="s">
        <v>173</v>
      </c>
      <c r="J425" s="1650"/>
      <c r="K425" s="1651">
        <v>15680000</v>
      </c>
      <c r="L425" s="1652">
        <v>701</v>
      </c>
      <c r="M425" s="1651">
        <v>15680000</v>
      </c>
      <c r="N425" s="1658">
        <v>847</v>
      </c>
      <c r="O425" s="1752">
        <v>15680000</v>
      </c>
      <c r="P425" s="1655">
        <v>115</v>
      </c>
      <c r="Q425" s="1851"/>
      <c r="R425" s="1852"/>
      <c r="S425" s="1852"/>
      <c r="T425" s="1852"/>
      <c r="U425" s="1852"/>
      <c r="V425" s="1852"/>
      <c r="W425" s="1852"/>
      <c r="X425" s="1852"/>
      <c r="Y425" s="1852"/>
      <c r="Z425" s="1852">
        <v>1280000</v>
      </c>
      <c r="AA425" s="1852">
        <v>4800000</v>
      </c>
      <c r="AB425" s="1949">
        <f>4800000+4800000</f>
        <v>9600000</v>
      </c>
      <c r="AC425" s="1824">
        <f t="shared" si="107"/>
        <v>15680000</v>
      </c>
      <c r="AD425" s="1825">
        <f t="shared" si="108"/>
        <v>0</v>
      </c>
      <c r="AF425" s="848" t="s">
        <v>1249</v>
      </c>
      <c r="AG425" s="1291" t="s">
        <v>1261</v>
      </c>
      <c r="AH425" s="1059" t="s">
        <v>548</v>
      </c>
      <c r="AI425" s="1048">
        <f>P425</f>
        <v>115</v>
      </c>
      <c r="AJ425" s="849">
        <v>15680000</v>
      </c>
      <c r="AK425" s="851">
        <f t="shared" si="104"/>
        <v>0</v>
      </c>
      <c r="AL425" s="845"/>
      <c r="AM425" s="1518">
        <f t="shared" si="110"/>
        <v>0</v>
      </c>
    </row>
    <row r="426" spans="1:39" s="654" customFormat="1">
      <c r="A426" s="667" t="s">
        <v>86</v>
      </c>
      <c r="B426" s="1969">
        <f t="shared" si="106"/>
        <v>38400000</v>
      </c>
      <c r="C426" s="668" t="s">
        <v>36</v>
      </c>
      <c r="D426" s="668" t="s">
        <v>832</v>
      </c>
      <c r="E426" s="668" t="s">
        <v>1651</v>
      </c>
      <c r="F426" s="668" t="s">
        <v>87</v>
      </c>
      <c r="G426" s="2137" t="s">
        <v>79</v>
      </c>
      <c r="H426" s="2165" t="s">
        <v>1645</v>
      </c>
      <c r="I426" s="2142">
        <v>300</v>
      </c>
      <c r="J426" s="1650">
        <v>28</v>
      </c>
      <c r="K426" s="1651"/>
      <c r="L426" s="1652">
        <v>131</v>
      </c>
      <c r="M426" s="1659">
        <v>38400000</v>
      </c>
      <c r="N426" s="1593">
        <v>134</v>
      </c>
      <c r="O426" s="1604">
        <v>38400000</v>
      </c>
      <c r="P426" s="1655">
        <v>122</v>
      </c>
      <c r="Q426" s="1851"/>
      <c r="R426" s="1852">
        <v>1280000</v>
      </c>
      <c r="S426" s="1852">
        <f>VLOOKUP(N426,[9]Hoja2!N$2:T$77,7,0)</f>
        <v>4800000</v>
      </c>
      <c r="T426" s="1852">
        <v>4800000</v>
      </c>
      <c r="U426" s="1852">
        <v>4480000</v>
      </c>
      <c r="V426" s="1852">
        <v>4000000</v>
      </c>
      <c r="W426" s="1852">
        <v>4800000</v>
      </c>
      <c r="X426" s="1852">
        <v>4800000</v>
      </c>
      <c r="Y426" s="1852">
        <v>4800000</v>
      </c>
      <c r="Z426" s="1852">
        <v>4640000</v>
      </c>
      <c r="AA426" s="1852"/>
      <c r="AB426" s="1949"/>
      <c r="AC426" s="1824">
        <f t="shared" si="107"/>
        <v>38400000</v>
      </c>
      <c r="AD426" s="1825">
        <f t="shared" si="108"/>
        <v>0</v>
      </c>
      <c r="AF426" s="848">
        <v>300</v>
      </c>
      <c r="AG426" s="1291" t="s">
        <v>196</v>
      </c>
      <c r="AH426" s="1059" t="s">
        <v>549</v>
      </c>
      <c r="AI426" s="1048">
        <f t="shared" si="109"/>
        <v>122</v>
      </c>
      <c r="AJ426" s="849">
        <v>38400000</v>
      </c>
      <c r="AK426" s="851">
        <f t="shared" ref="AK426:AK459" si="111">AJ426-O426</f>
        <v>0</v>
      </c>
      <c r="AL426" s="845"/>
      <c r="AM426" s="1518">
        <f t="shared" ref="AM426:AM460" si="112">AJ426-M426</f>
        <v>0</v>
      </c>
    </row>
    <row r="427" spans="1:39" s="654" customFormat="1">
      <c r="A427" s="667" t="s">
        <v>86</v>
      </c>
      <c r="B427" s="1969">
        <f t="shared" si="106"/>
        <v>14560000</v>
      </c>
      <c r="C427" s="668" t="s">
        <v>36</v>
      </c>
      <c r="D427" s="668" t="s">
        <v>832</v>
      </c>
      <c r="E427" s="668" t="s">
        <v>1651</v>
      </c>
      <c r="F427" s="668" t="s">
        <v>87</v>
      </c>
      <c r="G427" s="2137" t="s">
        <v>79</v>
      </c>
      <c r="H427" s="2165" t="s">
        <v>1645</v>
      </c>
      <c r="I427" s="2142" t="s">
        <v>173</v>
      </c>
      <c r="J427" s="1650"/>
      <c r="K427" s="1651">
        <v>14560000</v>
      </c>
      <c r="L427" s="1652">
        <v>702</v>
      </c>
      <c r="M427" s="1651">
        <v>14560000</v>
      </c>
      <c r="N427" s="1658">
        <v>858</v>
      </c>
      <c r="O427" s="1752">
        <v>14560000</v>
      </c>
      <c r="P427" s="1655">
        <v>122</v>
      </c>
      <c r="Q427" s="1851"/>
      <c r="R427" s="1852"/>
      <c r="S427" s="1852"/>
      <c r="T427" s="1852"/>
      <c r="U427" s="1852"/>
      <c r="V427" s="1852"/>
      <c r="W427" s="1852"/>
      <c r="X427" s="1852"/>
      <c r="Y427" s="1852"/>
      <c r="Z427" s="1852">
        <v>160000</v>
      </c>
      <c r="AA427" s="1852">
        <v>4800000</v>
      </c>
      <c r="AB427" s="1949">
        <f>4800000+4800000</f>
        <v>9600000</v>
      </c>
      <c r="AC427" s="1824">
        <f t="shared" ref="AC427:AC460" si="113">SUM(Q427:AB427)</f>
        <v>14560000</v>
      </c>
      <c r="AD427" s="1825">
        <f t="shared" ref="AD427:AD460" si="114">O427-AC427</f>
        <v>0</v>
      </c>
      <c r="AF427" s="848" t="s">
        <v>1249</v>
      </c>
      <c r="AG427" s="1291" t="s">
        <v>1262</v>
      </c>
      <c r="AH427" s="1059" t="s">
        <v>549</v>
      </c>
      <c r="AI427" s="1048">
        <f>P427</f>
        <v>122</v>
      </c>
      <c r="AJ427" s="849">
        <v>14560000</v>
      </c>
      <c r="AK427" s="851">
        <f t="shared" si="111"/>
        <v>0</v>
      </c>
      <c r="AL427" s="845"/>
      <c r="AM427" s="1518">
        <f t="shared" si="112"/>
        <v>0</v>
      </c>
    </row>
    <row r="428" spans="1:39" s="654" customFormat="1">
      <c r="A428" s="667" t="s">
        <v>86</v>
      </c>
      <c r="B428" s="1969">
        <f t="shared" ref="B428:B460" si="115">M428</f>
        <v>38400000</v>
      </c>
      <c r="C428" s="668" t="s">
        <v>36</v>
      </c>
      <c r="D428" s="668" t="s">
        <v>832</v>
      </c>
      <c r="E428" s="668" t="s">
        <v>1651</v>
      </c>
      <c r="F428" s="668" t="s">
        <v>87</v>
      </c>
      <c r="G428" s="2137" t="s">
        <v>79</v>
      </c>
      <c r="H428" s="2165" t="s">
        <v>1645</v>
      </c>
      <c r="I428" s="2142">
        <v>301</v>
      </c>
      <c r="J428" s="1650">
        <v>29</v>
      </c>
      <c r="K428" s="1651"/>
      <c r="L428" s="1652">
        <v>196</v>
      </c>
      <c r="M428" s="1659">
        <v>38400000</v>
      </c>
      <c r="N428" s="1593">
        <v>236</v>
      </c>
      <c r="O428" s="1752">
        <v>38400000</v>
      </c>
      <c r="P428" s="1655">
        <v>222</v>
      </c>
      <c r="Q428" s="1851"/>
      <c r="R428" s="1852"/>
      <c r="S428" s="1852">
        <f>VLOOKUP(N428,[9]Hoja2!N$2:T$77,7,0)</f>
        <v>4000000</v>
      </c>
      <c r="T428" s="1852">
        <v>4800000</v>
      </c>
      <c r="U428" s="1852">
        <v>4800000</v>
      </c>
      <c r="V428" s="1852">
        <v>4800000</v>
      </c>
      <c r="W428" s="1852">
        <v>4800000</v>
      </c>
      <c r="X428" s="1852">
        <v>4800000</v>
      </c>
      <c r="Y428" s="1852">
        <v>4800000</v>
      </c>
      <c r="Z428" s="1852">
        <v>4800000</v>
      </c>
      <c r="AA428" s="1852">
        <v>800000</v>
      </c>
      <c r="AB428" s="1949"/>
      <c r="AC428" s="1824">
        <f t="shared" si="113"/>
        <v>38400000</v>
      </c>
      <c r="AD428" s="1825">
        <f t="shared" si="114"/>
        <v>0</v>
      </c>
      <c r="AF428" s="848">
        <v>301</v>
      </c>
      <c r="AG428" s="1291" t="s">
        <v>196</v>
      </c>
      <c r="AH428" s="1059" t="s">
        <v>727</v>
      </c>
      <c r="AI428" s="1048">
        <f t="shared" si="109"/>
        <v>222</v>
      </c>
      <c r="AJ428" s="849">
        <v>38400000</v>
      </c>
      <c r="AK428" s="851">
        <f t="shared" si="111"/>
        <v>0</v>
      </c>
      <c r="AL428" s="845"/>
      <c r="AM428" s="1518">
        <f t="shared" si="112"/>
        <v>0</v>
      </c>
    </row>
    <row r="429" spans="1:39" s="654" customFormat="1">
      <c r="A429" s="667" t="s">
        <v>86</v>
      </c>
      <c r="B429" s="1969">
        <f t="shared" si="115"/>
        <v>13600000</v>
      </c>
      <c r="C429" s="668" t="s">
        <v>36</v>
      </c>
      <c r="D429" s="668" t="s">
        <v>832</v>
      </c>
      <c r="E429" s="668" t="s">
        <v>1651</v>
      </c>
      <c r="F429" s="668" t="s">
        <v>87</v>
      </c>
      <c r="G429" s="2137" t="s">
        <v>79</v>
      </c>
      <c r="H429" s="2165" t="s">
        <v>1645</v>
      </c>
      <c r="I429" s="2142" t="s">
        <v>325</v>
      </c>
      <c r="J429" s="1650">
        <v>645</v>
      </c>
      <c r="K429" s="1651">
        <v>13600000</v>
      </c>
      <c r="L429" s="1652">
        <v>729</v>
      </c>
      <c r="M429" s="1659">
        <v>13600000</v>
      </c>
      <c r="N429" s="1652">
        <v>870</v>
      </c>
      <c r="O429" s="1752">
        <v>13600000</v>
      </c>
      <c r="P429" s="1655">
        <v>222</v>
      </c>
      <c r="Q429" s="1851"/>
      <c r="R429" s="1852"/>
      <c r="S429" s="1852"/>
      <c r="T429" s="1852"/>
      <c r="U429" s="1852"/>
      <c r="V429" s="1852"/>
      <c r="W429" s="1852"/>
      <c r="X429" s="1852"/>
      <c r="Y429" s="1852"/>
      <c r="Z429" s="1852"/>
      <c r="AA429" s="1852">
        <v>4000000</v>
      </c>
      <c r="AB429" s="1949">
        <f>4800000+4800000</f>
        <v>9600000</v>
      </c>
      <c r="AC429" s="1824">
        <f t="shared" si="113"/>
        <v>13600000</v>
      </c>
      <c r="AD429" s="1825">
        <f t="shared" si="114"/>
        <v>0</v>
      </c>
      <c r="AF429" s="848" t="s">
        <v>325</v>
      </c>
      <c r="AG429" s="1291" t="s">
        <v>1294</v>
      </c>
      <c r="AH429" s="1059" t="s">
        <v>727</v>
      </c>
      <c r="AI429" s="1048">
        <f t="shared" si="109"/>
        <v>222</v>
      </c>
      <c r="AJ429" s="849">
        <v>13600000</v>
      </c>
      <c r="AK429" s="851">
        <f t="shared" si="111"/>
        <v>0</v>
      </c>
      <c r="AL429" s="845"/>
      <c r="AM429" s="1518">
        <f t="shared" si="112"/>
        <v>0</v>
      </c>
    </row>
    <row r="430" spans="1:39" s="654" customFormat="1">
      <c r="A430" s="667" t="s">
        <v>86</v>
      </c>
      <c r="B430" s="1969">
        <f t="shared" si="115"/>
        <v>72100000</v>
      </c>
      <c r="C430" s="668" t="s">
        <v>36</v>
      </c>
      <c r="D430" s="668" t="s">
        <v>832</v>
      </c>
      <c r="E430" s="668" t="s">
        <v>1651</v>
      </c>
      <c r="F430" s="668" t="s">
        <v>87</v>
      </c>
      <c r="G430" s="2137" t="s">
        <v>79</v>
      </c>
      <c r="H430" s="2165" t="s">
        <v>1645</v>
      </c>
      <c r="I430" s="2142">
        <v>302</v>
      </c>
      <c r="J430" s="1650">
        <v>30</v>
      </c>
      <c r="K430" s="1651"/>
      <c r="L430" s="1652">
        <v>311</v>
      </c>
      <c r="M430" s="1659">
        <v>72100000</v>
      </c>
      <c r="N430" s="1658">
        <v>315</v>
      </c>
      <c r="O430" s="1659">
        <v>72100000</v>
      </c>
      <c r="P430" s="1655">
        <v>271</v>
      </c>
      <c r="Q430" s="1851"/>
      <c r="R430" s="1852"/>
      <c r="S430" s="1852">
        <v>1400000</v>
      </c>
      <c r="T430" s="1852">
        <v>7000000</v>
      </c>
      <c r="U430" s="1852">
        <v>7000000</v>
      </c>
      <c r="V430" s="1852">
        <v>7000000</v>
      </c>
      <c r="W430" s="1852">
        <v>7000000</v>
      </c>
      <c r="X430" s="1852">
        <v>7000000</v>
      </c>
      <c r="Y430" s="1852">
        <v>7000000</v>
      </c>
      <c r="Z430" s="1852">
        <v>7000000</v>
      </c>
      <c r="AA430" s="1852">
        <v>7000000</v>
      </c>
      <c r="AB430" s="1949">
        <f>7000000+7000000</f>
        <v>14000000</v>
      </c>
      <c r="AC430" s="1824">
        <f t="shared" si="113"/>
        <v>71400000</v>
      </c>
      <c r="AD430" s="1825">
        <f t="shared" si="114"/>
        <v>700000</v>
      </c>
      <c r="AF430" s="848">
        <v>302</v>
      </c>
      <c r="AG430" s="1291" t="s">
        <v>491</v>
      </c>
      <c r="AH430" s="1059" t="s">
        <v>772</v>
      </c>
      <c r="AI430" s="1048">
        <f t="shared" si="109"/>
        <v>271</v>
      </c>
      <c r="AJ430" s="849">
        <f>60000000+13500000-1400000</f>
        <v>72100000</v>
      </c>
      <c r="AK430" s="851">
        <f t="shared" si="111"/>
        <v>0</v>
      </c>
      <c r="AL430" s="845"/>
      <c r="AM430" s="1518">
        <f t="shared" si="112"/>
        <v>0</v>
      </c>
    </row>
    <row r="431" spans="1:39" s="654" customFormat="1">
      <c r="A431" s="667" t="s">
        <v>86</v>
      </c>
      <c r="B431" s="1969">
        <f t="shared" si="115"/>
        <v>6300000</v>
      </c>
      <c r="C431" s="668" t="s">
        <v>36</v>
      </c>
      <c r="D431" s="668" t="s">
        <v>832</v>
      </c>
      <c r="E431" s="668" t="s">
        <v>1651</v>
      </c>
      <c r="F431" s="668" t="s">
        <v>87</v>
      </c>
      <c r="G431" s="2137" t="s">
        <v>79</v>
      </c>
      <c r="H431" s="2165" t="s">
        <v>1645</v>
      </c>
      <c r="I431" s="2142" t="s">
        <v>325</v>
      </c>
      <c r="J431" s="1650">
        <v>761</v>
      </c>
      <c r="K431" s="1651">
        <v>6300000</v>
      </c>
      <c r="L431" s="1652">
        <v>872</v>
      </c>
      <c r="M431" s="1659">
        <v>6300000</v>
      </c>
      <c r="N431" s="1658">
        <v>1118</v>
      </c>
      <c r="O431" s="1659">
        <v>6300000</v>
      </c>
      <c r="P431" s="1655">
        <v>271</v>
      </c>
      <c r="Q431" s="1851"/>
      <c r="R431" s="1852"/>
      <c r="S431" s="1852"/>
      <c r="T431" s="1852"/>
      <c r="U431" s="1852"/>
      <c r="V431" s="1852"/>
      <c r="W431" s="1852"/>
      <c r="X431" s="1852"/>
      <c r="Y431" s="1852"/>
      <c r="Z431" s="1852"/>
      <c r="AA431" s="1852"/>
      <c r="AB431" s="1949"/>
      <c r="AC431" s="1824">
        <f t="shared" si="113"/>
        <v>0</v>
      </c>
      <c r="AD431" s="1825">
        <f t="shared" si="114"/>
        <v>6300000</v>
      </c>
      <c r="AF431" s="848" t="s">
        <v>325</v>
      </c>
      <c r="AG431" s="1291" t="s">
        <v>1509</v>
      </c>
      <c r="AH431" s="1059" t="s">
        <v>772</v>
      </c>
      <c r="AI431" s="1048">
        <f t="shared" si="109"/>
        <v>271</v>
      </c>
      <c r="AJ431" s="849">
        <v>6300000</v>
      </c>
      <c r="AK431" s="851">
        <f t="shared" si="111"/>
        <v>0</v>
      </c>
      <c r="AL431" s="845"/>
      <c r="AM431" s="1518">
        <f t="shared" si="112"/>
        <v>0</v>
      </c>
    </row>
    <row r="432" spans="1:39" s="654" customFormat="1">
      <c r="A432" s="667" t="s">
        <v>86</v>
      </c>
      <c r="B432" s="1969">
        <f t="shared" si="115"/>
        <v>54862500</v>
      </c>
      <c r="C432" s="668" t="s">
        <v>36</v>
      </c>
      <c r="D432" s="668" t="s">
        <v>832</v>
      </c>
      <c r="E432" s="668" t="s">
        <v>1651</v>
      </c>
      <c r="F432" s="668" t="s">
        <v>87</v>
      </c>
      <c r="G432" s="2137" t="s">
        <v>79</v>
      </c>
      <c r="H432" s="2165" t="s">
        <v>1645</v>
      </c>
      <c r="I432" s="2142">
        <v>303</v>
      </c>
      <c r="J432" s="1650">
        <v>31</v>
      </c>
      <c r="K432" s="1651"/>
      <c r="L432" s="1652">
        <v>353</v>
      </c>
      <c r="M432" s="1659">
        <f>54882500-20000</f>
        <v>54862500</v>
      </c>
      <c r="N432" s="1658">
        <v>350</v>
      </c>
      <c r="O432" s="1752">
        <v>54862500</v>
      </c>
      <c r="P432" s="1655">
        <v>284</v>
      </c>
      <c r="Q432" s="1851"/>
      <c r="R432" s="1852"/>
      <c r="S432" s="1852"/>
      <c r="T432" s="1852">
        <v>3465000</v>
      </c>
      <c r="U432" s="1852">
        <v>5775000</v>
      </c>
      <c r="V432" s="1852">
        <v>5775000</v>
      </c>
      <c r="W432" s="1852">
        <v>5775000</v>
      </c>
      <c r="X432" s="1852">
        <v>5775000</v>
      </c>
      <c r="Y432" s="1852">
        <v>5775000</v>
      </c>
      <c r="Z432" s="1852">
        <f>4235000+1540000</f>
        <v>5775000</v>
      </c>
      <c r="AA432" s="1852">
        <v>5775000</v>
      </c>
      <c r="AB432" s="1949">
        <f>5775000+5197500</f>
        <v>10972500</v>
      </c>
      <c r="AC432" s="1824">
        <f t="shared" si="113"/>
        <v>54862500</v>
      </c>
      <c r="AD432" s="1825">
        <f t="shared" si="114"/>
        <v>0</v>
      </c>
      <c r="AF432" s="848">
        <v>303</v>
      </c>
      <c r="AG432" s="1291" t="s">
        <v>758</v>
      </c>
      <c r="AH432" s="1059" t="s">
        <v>797</v>
      </c>
      <c r="AI432" s="1048">
        <f t="shared" si="109"/>
        <v>284</v>
      </c>
      <c r="AJ432" s="849">
        <f>41600000+16150000-2887500</f>
        <v>54862500</v>
      </c>
      <c r="AK432" s="851">
        <f t="shared" si="111"/>
        <v>0</v>
      </c>
      <c r="AL432" s="845"/>
      <c r="AM432" s="1518">
        <f t="shared" si="112"/>
        <v>0</v>
      </c>
    </row>
    <row r="433" spans="1:39" s="654" customFormat="1">
      <c r="A433" s="667" t="s">
        <v>86</v>
      </c>
      <c r="B433" s="1969">
        <f t="shared" si="115"/>
        <v>41600000</v>
      </c>
      <c r="C433" s="668" t="s">
        <v>36</v>
      </c>
      <c r="D433" s="668" t="s">
        <v>832</v>
      </c>
      <c r="E433" s="668" t="s">
        <v>1651</v>
      </c>
      <c r="F433" s="668" t="s">
        <v>87</v>
      </c>
      <c r="G433" s="2137" t="s">
        <v>79</v>
      </c>
      <c r="H433" s="2165" t="s">
        <v>1645</v>
      </c>
      <c r="I433" s="2142">
        <v>304</v>
      </c>
      <c r="J433" s="1650">
        <v>32</v>
      </c>
      <c r="K433" s="1651"/>
      <c r="L433" s="1652">
        <v>312</v>
      </c>
      <c r="M433" s="1659">
        <v>41600000</v>
      </c>
      <c r="N433" s="1658">
        <v>309</v>
      </c>
      <c r="O433" s="1659">
        <v>41600000</v>
      </c>
      <c r="P433" s="1655">
        <v>267</v>
      </c>
      <c r="Q433" s="1851"/>
      <c r="R433" s="1852"/>
      <c r="S433" s="1852"/>
      <c r="T433" s="1852">
        <v>6240000</v>
      </c>
      <c r="U433" s="1852">
        <v>5200000</v>
      </c>
      <c r="V433" s="1852"/>
      <c r="W433" s="1852">
        <f>5200000+5200000</f>
        <v>10400000</v>
      </c>
      <c r="X433" s="1852">
        <v>5200000</v>
      </c>
      <c r="Y433" s="1852">
        <v>5200000</v>
      </c>
      <c r="Z433" s="1852">
        <v>5200000</v>
      </c>
      <c r="AA433" s="1852">
        <v>4160000</v>
      </c>
      <c r="AB433" s="1949"/>
      <c r="AC433" s="1824">
        <f t="shared" si="113"/>
        <v>41600000</v>
      </c>
      <c r="AD433" s="1825">
        <f t="shared" si="114"/>
        <v>0</v>
      </c>
      <c r="AF433" s="848">
        <v>304</v>
      </c>
      <c r="AG433" s="1291" t="s">
        <v>490</v>
      </c>
      <c r="AH433" s="1059" t="s">
        <v>773</v>
      </c>
      <c r="AI433" s="1048">
        <f t="shared" si="109"/>
        <v>267</v>
      </c>
      <c r="AJ433" s="849">
        <v>41600000</v>
      </c>
      <c r="AK433" s="851">
        <f t="shared" si="111"/>
        <v>0</v>
      </c>
      <c r="AL433" s="845"/>
      <c r="AM433" s="1518">
        <f t="shared" si="112"/>
        <v>0</v>
      </c>
    </row>
    <row r="434" spans="1:39" s="654" customFormat="1">
      <c r="A434" s="667" t="s">
        <v>86</v>
      </c>
      <c r="B434" s="1969">
        <f t="shared" si="115"/>
        <v>11440000</v>
      </c>
      <c r="C434" s="668" t="s">
        <v>36</v>
      </c>
      <c r="D434" s="668" t="s">
        <v>832</v>
      </c>
      <c r="E434" s="668" t="s">
        <v>1651</v>
      </c>
      <c r="F434" s="668" t="s">
        <v>87</v>
      </c>
      <c r="G434" s="2137" t="s">
        <v>79</v>
      </c>
      <c r="H434" s="2165" t="s">
        <v>1645</v>
      </c>
      <c r="I434" s="2142" t="s">
        <v>325</v>
      </c>
      <c r="J434" s="1650">
        <v>667</v>
      </c>
      <c r="K434" s="1651">
        <v>11440000</v>
      </c>
      <c r="L434" s="1652">
        <v>763</v>
      </c>
      <c r="M434" s="1659">
        <v>11440000</v>
      </c>
      <c r="N434" s="1658">
        <v>924</v>
      </c>
      <c r="O434" s="1659">
        <v>11440000</v>
      </c>
      <c r="P434" s="1655">
        <v>267</v>
      </c>
      <c r="Q434" s="1851"/>
      <c r="R434" s="1852"/>
      <c r="S434" s="1852"/>
      <c r="T434" s="1852"/>
      <c r="U434" s="1852"/>
      <c r="V434" s="1852"/>
      <c r="W434" s="1852"/>
      <c r="X434" s="1852"/>
      <c r="Y434" s="1852"/>
      <c r="Z434" s="1852"/>
      <c r="AA434" s="1852">
        <v>1040000</v>
      </c>
      <c r="AB434" s="1949">
        <f>5200000+5200000</f>
        <v>10400000</v>
      </c>
      <c r="AC434" s="1824">
        <f t="shared" si="113"/>
        <v>11440000</v>
      </c>
      <c r="AD434" s="1825">
        <f t="shared" si="114"/>
        <v>0</v>
      </c>
      <c r="AF434" s="848" t="s">
        <v>325</v>
      </c>
      <c r="AG434" s="1291" t="s">
        <v>1327</v>
      </c>
      <c r="AH434" s="1059" t="s">
        <v>773</v>
      </c>
      <c r="AI434" s="1048">
        <f t="shared" si="109"/>
        <v>267</v>
      </c>
      <c r="AJ434" s="849">
        <v>11440000</v>
      </c>
      <c r="AK434" s="851">
        <f t="shared" si="111"/>
        <v>0</v>
      </c>
      <c r="AL434" s="845"/>
      <c r="AM434" s="1518">
        <f t="shared" si="112"/>
        <v>0</v>
      </c>
    </row>
    <row r="435" spans="1:39" s="654" customFormat="1">
      <c r="A435" s="667" t="s">
        <v>86</v>
      </c>
      <c r="B435" s="1969">
        <f t="shared" si="115"/>
        <v>41600000</v>
      </c>
      <c r="C435" s="668" t="s">
        <v>36</v>
      </c>
      <c r="D435" s="668" t="s">
        <v>832</v>
      </c>
      <c r="E435" s="668" t="s">
        <v>1651</v>
      </c>
      <c r="F435" s="668" t="s">
        <v>87</v>
      </c>
      <c r="G435" s="2137" t="s">
        <v>79</v>
      </c>
      <c r="H435" s="2165" t="s">
        <v>1645</v>
      </c>
      <c r="I435" s="2142">
        <v>305</v>
      </c>
      <c r="J435" s="1650">
        <v>33</v>
      </c>
      <c r="K435" s="1651"/>
      <c r="L435" s="1652">
        <v>313</v>
      </c>
      <c r="M435" s="1659">
        <v>41600000</v>
      </c>
      <c r="N435" s="1658">
        <v>313</v>
      </c>
      <c r="O435" s="1659">
        <v>41600000</v>
      </c>
      <c r="P435" s="1655">
        <v>270</v>
      </c>
      <c r="Q435" s="1851"/>
      <c r="R435" s="1852"/>
      <c r="S435" s="1852">
        <v>1040000</v>
      </c>
      <c r="T435" s="1852">
        <v>5200000</v>
      </c>
      <c r="U435" s="1852">
        <v>5200000</v>
      </c>
      <c r="V435" s="1852">
        <v>5200000</v>
      </c>
      <c r="W435" s="1852">
        <v>4333333</v>
      </c>
      <c r="X435" s="1852">
        <v>6066667</v>
      </c>
      <c r="Y435" s="1852">
        <v>5200000</v>
      </c>
      <c r="Z435" s="1852">
        <f>866666+4333333</f>
        <v>5199999</v>
      </c>
      <c r="AA435" s="1852">
        <v>4160001</v>
      </c>
      <c r="AB435" s="1949"/>
      <c r="AC435" s="1824">
        <f t="shared" si="113"/>
        <v>41600000</v>
      </c>
      <c r="AD435" s="1825">
        <f t="shared" si="114"/>
        <v>0</v>
      </c>
      <c r="AF435" s="848">
        <v>305</v>
      </c>
      <c r="AG435" s="1291" t="s">
        <v>490</v>
      </c>
      <c r="AH435" s="1059" t="s">
        <v>774</v>
      </c>
      <c r="AI435" s="1048">
        <f t="shared" si="109"/>
        <v>270</v>
      </c>
      <c r="AJ435" s="849">
        <v>41600000</v>
      </c>
      <c r="AK435" s="851">
        <f t="shared" si="111"/>
        <v>0</v>
      </c>
      <c r="AL435" s="845"/>
      <c r="AM435" s="1518">
        <f t="shared" si="112"/>
        <v>0</v>
      </c>
    </row>
    <row r="436" spans="1:39" s="654" customFormat="1">
      <c r="A436" s="667" t="s">
        <v>86</v>
      </c>
      <c r="B436" s="1969">
        <f t="shared" si="115"/>
        <v>11440000</v>
      </c>
      <c r="C436" s="668" t="s">
        <v>36</v>
      </c>
      <c r="D436" s="668" t="s">
        <v>832</v>
      </c>
      <c r="E436" s="668" t="s">
        <v>1651</v>
      </c>
      <c r="F436" s="668" t="s">
        <v>87</v>
      </c>
      <c r="G436" s="2137" t="s">
        <v>79</v>
      </c>
      <c r="H436" s="2165" t="s">
        <v>1645</v>
      </c>
      <c r="I436" s="2142" t="s">
        <v>325</v>
      </c>
      <c r="J436" s="1650">
        <v>666</v>
      </c>
      <c r="K436" s="1651">
        <v>11440000</v>
      </c>
      <c r="L436" s="1652">
        <v>764</v>
      </c>
      <c r="M436" s="1659">
        <v>11440000</v>
      </c>
      <c r="N436" s="1658">
        <v>925</v>
      </c>
      <c r="O436" s="1659">
        <v>11440000</v>
      </c>
      <c r="P436" s="1655">
        <v>270</v>
      </c>
      <c r="Q436" s="1851"/>
      <c r="R436" s="1852"/>
      <c r="S436" s="1852"/>
      <c r="T436" s="1852"/>
      <c r="U436" s="1852"/>
      <c r="V436" s="1852"/>
      <c r="W436" s="1852"/>
      <c r="X436" s="1852"/>
      <c r="Y436" s="1852"/>
      <c r="Z436" s="1852"/>
      <c r="AA436" s="1852">
        <v>1039999</v>
      </c>
      <c r="AB436" s="1949">
        <f>5200000+5200000</f>
        <v>10400000</v>
      </c>
      <c r="AC436" s="1824">
        <f t="shared" si="113"/>
        <v>11439999</v>
      </c>
      <c r="AD436" s="1825">
        <f t="shared" si="114"/>
        <v>1</v>
      </c>
      <c r="AF436" s="848" t="s">
        <v>325</v>
      </c>
      <c r="AG436" s="1291" t="s">
        <v>1331</v>
      </c>
      <c r="AH436" s="1059" t="s">
        <v>774</v>
      </c>
      <c r="AI436" s="1048">
        <f t="shared" si="109"/>
        <v>270</v>
      </c>
      <c r="AJ436" s="849">
        <v>11440000</v>
      </c>
      <c r="AK436" s="851">
        <f t="shared" si="111"/>
        <v>0</v>
      </c>
      <c r="AL436" s="845"/>
      <c r="AM436" s="1518">
        <f t="shared" si="112"/>
        <v>0</v>
      </c>
    </row>
    <row r="437" spans="1:39" s="654" customFormat="1">
      <c r="A437" s="667" t="s">
        <v>86</v>
      </c>
      <c r="B437" s="1969">
        <f t="shared" si="115"/>
        <v>5200000</v>
      </c>
      <c r="C437" s="668" t="s">
        <v>36</v>
      </c>
      <c r="D437" s="668" t="s">
        <v>832</v>
      </c>
      <c r="E437" s="668" t="s">
        <v>1651</v>
      </c>
      <c r="F437" s="668" t="s">
        <v>87</v>
      </c>
      <c r="G437" s="2137" t="s">
        <v>79</v>
      </c>
      <c r="H437" s="2165" t="s">
        <v>1645</v>
      </c>
      <c r="I437" s="2142" t="s">
        <v>325</v>
      </c>
      <c r="J437" s="1650">
        <v>864</v>
      </c>
      <c r="K437" s="1651">
        <v>5200000</v>
      </c>
      <c r="L437" s="1652">
        <v>981</v>
      </c>
      <c r="M437" s="1659">
        <v>5200000</v>
      </c>
      <c r="N437" s="1658">
        <v>1179</v>
      </c>
      <c r="O437" s="1659">
        <v>5200000</v>
      </c>
      <c r="P437" s="1655">
        <v>270</v>
      </c>
      <c r="Q437" s="1851"/>
      <c r="R437" s="1852"/>
      <c r="S437" s="1852"/>
      <c r="T437" s="1852"/>
      <c r="U437" s="1852"/>
      <c r="V437" s="1852"/>
      <c r="W437" s="1852"/>
      <c r="X437" s="1852"/>
      <c r="Y437" s="1852"/>
      <c r="Z437" s="1852"/>
      <c r="AA437" s="1852"/>
      <c r="AB437" s="1949"/>
      <c r="AC437" s="1824">
        <f t="shared" si="113"/>
        <v>0</v>
      </c>
      <c r="AD437" s="1825">
        <f t="shared" si="114"/>
        <v>5200000</v>
      </c>
      <c r="AF437" s="848" t="s">
        <v>325</v>
      </c>
      <c r="AG437" s="1291" t="s">
        <v>1547</v>
      </c>
      <c r="AH437" s="1059" t="s">
        <v>774</v>
      </c>
      <c r="AI437" s="1048">
        <f t="shared" si="109"/>
        <v>270</v>
      </c>
      <c r="AJ437" s="849">
        <f>5200000-5200000+5200000</f>
        <v>5200000</v>
      </c>
      <c r="AK437" s="851">
        <f t="shared" si="111"/>
        <v>0</v>
      </c>
      <c r="AL437" s="845"/>
      <c r="AM437" s="1518">
        <f t="shared" si="112"/>
        <v>0</v>
      </c>
    </row>
    <row r="438" spans="1:39" s="654" customFormat="1">
      <c r="A438" s="667" t="s">
        <v>86</v>
      </c>
      <c r="B438" s="1969">
        <f t="shared" si="115"/>
        <v>36800000</v>
      </c>
      <c r="C438" s="668" t="s">
        <v>36</v>
      </c>
      <c r="D438" s="668" t="s">
        <v>832</v>
      </c>
      <c r="E438" s="668" t="s">
        <v>1651</v>
      </c>
      <c r="F438" s="668" t="s">
        <v>87</v>
      </c>
      <c r="G438" s="2137" t="s">
        <v>79</v>
      </c>
      <c r="H438" s="2165" t="s">
        <v>1645</v>
      </c>
      <c r="I438" s="2142">
        <v>306</v>
      </c>
      <c r="J438" s="1650">
        <v>34</v>
      </c>
      <c r="K438" s="1651"/>
      <c r="L438" s="1652">
        <v>415</v>
      </c>
      <c r="M438" s="1659">
        <v>36800000</v>
      </c>
      <c r="N438" s="1658">
        <v>448</v>
      </c>
      <c r="O438" s="1752">
        <v>36800000</v>
      </c>
      <c r="P438" s="1655">
        <v>319</v>
      </c>
      <c r="Q438" s="1851"/>
      <c r="R438" s="1852"/>
      <c r="S438" s="1852"/>
      <c r="T438" s="1852"/>
      <c r="U438" s="1852"/>
      <c r="V438" s="1852">
        <v>4753333</v>
      </c>
      <c r="W438" s="1852">
        <v>4600000</v>
      </c>
      <c r="X438" s="1852">
        <v>4600000</v>
      </c>
      <c r="Y438" s="1852">
        <v>3986667</v>
      </c>
      <c r="Z438" s="1852"/>
      <c r="AA438" s="1852"/>
      <c r="AB438" s="1949"/>
      <c r="AC438" s="1824">
        <f t="shared" si="113"/>
        <v>17940000</v>
      </c>
      <c r="AD438" s="1825">
        <f t="shared" si="114"/>
        <v>18860000</v>
      </c>
      <c r="AF438" s="848">
        <v>306</v>
      </c>
      <c r="AG438" s="1291" t="s">
        <v>492</v>
      </c>
      <c r="AH438" s="1059" t="s">
        <v>915</v>
      </c>
      <c r="AI438" s="1048">
        <f t="shared" si="109"/>
        <v>319</v>
      </c>
      <c r="AJ438" s="849">
        <f>57000000-20200000</f>
        <v>36800000</v>
      </c>
      <c r="AK438" s="851">
        <f t="shared" si="111"/>
        <v>0</v>
      </c>
      <c r="AL438" s="845"/>
      <c r="AM438" s="1518">
        <f t="shared" si="112"/>
        <v>0</v>
      </c>
    </row>
    <row r="439" spans="1:39" s="654" customFormat="1">
      <c r="A439" s="667" t="s">
        <v>86</v>
      </c>
      <c r="B439" s="1969">
        <f t="shared" si="115"/>
        <v>0</v>
      </c>
      <c r="C439" s="668" t="s">
        <v>36</v>
      </c>
      <c r="D439" s="668" t="s">
        <v>832</v>
      </c>
      <c r="E439" s="668" t="s">
        <v>1651</v>
      </c>
      <c r="F439" s="668" t="s">
        <v>87</v>
      </c>
      <c r="G439" s="2137" t="s">
        <v>79</v>
      </c>
      <c r="H439" s="2165" t="s">
        <v>1645</v>
      </c>
      <c r="I439" s="2142" t="s">
        <v>325</v>
      </c>
      <c r="J439" s="1650"/>
      <c r="K439" s="1651"/>
      <c r="L439" s="1652"/>
      <c r="M439" s="1659"/>
      <c r="N439" s="1658"/>
      <c r="O439" s="1752"/>
      <c r="P439" s="1655">
        <v>319</v>
      </c>
      <c r="Q439" s="1851"/>
      <c r="R439" s="1852"/>
      <c r="S439" s="1852"/>
      <c r="T439" s="1852"/>
      <c r="U439" s="1852"/>
      <c r="V439" s="1852"/>
      <c r="W439" s="1852"/>
      <c r="X439" s="1852"/>
      <c r="Y439" s="1852"/>
      <c r="Z439" s="1852"/>
      <c r="AA439" s="1852"/>
      <c r="AB439" s="1949"/>
      <c r="AC439" s="1824">
        <f t="shared" si="113"/>
        <v>0</v>
      </c>
      <c r="AD439" s="1825">
        <f t="shared" si="114"/>
        <v>0</v>
      </c>
      <c r="AF439" s="848" t="s">
        <v>325</v>
      </c>
      <c r="AG439" s="1291" t="s">
        <v>1508</v>
      </c>
      <c r="AH439" s="1059" t="s">
        <v>915</v>
      </c>
      <c r="AI439" s="1048">
        <f t="shared" si="109"/>
        <v>319</v>
      </c>
      <c r="AJ439" s="849">
        <v>7513333</v>
      </c>
      <c r="AK439" s="851">
        <f t="shared" si="111"/>
        <v>7513333</v>
      </c>
      <c r="AL439" s="845"/>
      <c r="AM439" s="1518">
        <f t="shared" si="112"/>
        <v>7513333</v>
      </c>
    </row>
    <row r="440" spans="1:39" s="654" customFormat="1">
      <c r="A440" s="667" t="s">
        <v>86</v>
      </c>
      <c r="B440" s="1969">
        <f t="shared" si="115"/>
        <v>66000000</v>
      </c>
      <c r="C440" s="668" t="s">
        <v>36</v>
      </c>
      <c r="D440" s="668" t="s">
        <v>832</v>
      </c>
      <c r="E440" s="668" t="s">
        <v>1651</v>
      </c>
      <c r="F440" s="668" t="s">
        <v>87</v>
      </c>
      <c r="G440" s="2137" t="s">
        <v>79</v>
      </c>
      <c r="H440" s="2165" t="s">
        <v>1645</v>
      </c>
      <c r="I440" s="2142">
        <v>307</v>
      </c>
      <c r="J440" s="1650">
        <v>35</v>
      </c>
      <c r="K440" s="1651"/>
      <c r="L440" s="1652">
        <v>36</v>
      </c>
      <c r="M440" s="1659">
        <v>66000000</v>
      </c>
      <c r="N440" s="1593">
        <v>16</v>
      </c>
      <c r="O440" s="1604">
        <v>66000000</v>
      </c>
      <c r="P440" s="1655">
        <v>21</v>
      </c>
      <c r="Q440" s="1851"/>
      <c r="R440" s="1852">
        <v>3080000</v>
      </c>
      <c r="S440" s="1852">
        <f>VLOOKUP(N440,[9]Hoja2!N$2:T$77,7,0)</f>
        <v>6600000</v>
      </c>
      <c r="T440" s="1852">
        <v>6600000</v>
      </c>
      <c r="U440" s="1852">
        <v>6600000</v>
      </c>
      <c r="V440" s="1852">
        <v>6600000</v>
      </c>
      <c r="W440" s="1852">
        <v>6600000</v>
      </c>
      <c r="X440" s="1852">
        <v>6600000</v>
      </c>
      <c r="Y440" s="1852">
        <v>6600000</v>
      </c>
      <c r="Z440" s="1852">
        <v>6600000</v>
      </c>
      <c r="AA440" s="1852">
        <v>6600000</v>
      </c>
      <c r="AB440" s="1949">
        <v>3520000</v>
      </c>
      <c r="AC440" s="1824">
        <f t="shared" si="113"/>
        <v>66000000</v>
      </c>
      <c r="AD440" s="1825">
        <f t="shared" si="114"/>
        <v>0</v>
      </c>
      <c r="AF440" s="848">
        <v>307</v>
      </c>
      <c r="AG440" s="1291" t="s">
        <v>197</v>
      </c>
      <c r="AH440" s="1059" t="s">
        <v>550</v>
      </c>
      <c r="AI440" s="1048">
        <f t="shared" si="109"/>
        <v>21</v>
      </c>
      <c r="AJ440" s="849">
        <v>66000000</v>
      </c>
      <c r="AK440" s="851">
        <f t="shared" si="111"/>
        <v>0</v>
      </c>
      <c r="AL440" s="845"/>
      <c r="AM440" s="1518">
        <f t="shared" si="112"/>
        <v>0</v>
      </c>
    </row>
    <row r="441" spans="1:39" s="654" customFormat="1">
      <c r="A441" s="667" t="s">
        <v>86</v>
      </c>
      <c r="B441" s="1969">
        <f t="shared" si="115"/>
        <v>9680000</v>
      </c>
      <c r="C441" s="668" t="s">
        <v>36</v>
      </c>
      <c r="D441" s="668" t="s">
        <v>832</v>
      </c>
      <c r="E441" s="668" t="s">
        <v>1651</v>
      </c>
      <c r="F441" s="668" t="s">
        <v>87</v>
      </c>
      <c r="G441" s="2137" t="s">
        <v>79</v>
      </c>
      <c r="H441" s="2165" t="s">
        <v>1645</v>
      </c>
      <c r="I441" s="2142" t="s">
        <v>325</v>
      </c>
      <c r="J441" s="1650">
        <v>697</v>
      </c>
      <c r="K441" s="1651">
        <v>9680000</v>
      </c>
      <c r="L441" s="1652">
        <v>801</v>
      </c>
      <c r="M441" s="1659">
        <v>9680000</v>
      </c>
      <c r="N441" s="1593">
        <v>962</v>
      </c>
      <c r="O441" s="1604">
        <v>9680000</v>
      </c>
      <c r="P441" s="1655">
        <v>21</v>
      </c>
      <c r="Q441" s="1851"/>
      <c r="R441" s="1852"/>
      <c r="S441" s="1852"/>
      <c r="T441" s="1852"/>
      <c r="U441" s="1852"/>
      <c r="V441" s="1852"/>
      <c r="W441" s="1852"/>
      <c r="X441" s="1852"/>
      <c r="Y441" s="1852"/>
      <c r="Z441" s="1852"/>
      <c r="AA441" s="1852"/>
      <c r="AB441" s="1949">
        <f>3080000+6600000</f>
        <v>9680000</v>
      </c>
      <c r="AC441" s="1824">
        <f t="shared" si="113"/>
        <v>9680000</v>
      </c>
      <c r="AD441" s="1825">
        <f t="shared" si="114"/>
        <v>0</v>
      </c>
      <c r="AF441" s="848" t="s">
        <v>325</v>
      </c>
      <c r="AG441" s="1291" t="s">
        <v>1400</v>
      </c>
      <c r="AH441" s="1059" t="s">
        <v>550</v>
      </c>
      <c r="AI441" s="1048">
        <f t="shared" si="109"/>
        <v>21</v>
      </c>
      <c r="AJ441" s="849">
        <v>9680000</v>
      </c>
      <c r="AK441" s="851">
        <f t="shared" si="111"/>
        <v>0</v>
      </c>
      <c r="AL441" s="845"/>
      <c r="AM441" s="1518">
        <f t="shared" si="112"/>
        <v>0</v>
      </c>
    </row>
    <row r="442" spans="1:39" s="654" customFormat="1">
      <c r="A442" s="667" t="s">
        <v>86</v>
      </c>
      <c r="B442" s="1969">
        <f t="shared" si="115"/>
        <v>6600000</v>
      </c>
      <c r="C442" s="668" t="s">
        <v>36</v>
      </c>
      <c r="D442" s="668" t="s">
        <v>832</v>
      </c>
      <c r="E442" s="668" t="s">
        <v>1651</v>
      </c>
      <c r="F442" s="668" t="s">
        <v>87</v>
      </c>
      <c r="G442" s="2137" t="s">
        <v>79</v>
      </c>
      <c r="H442" s="2165" t="s">
        <v>1645</v>
      </c>
      <c r="I442" s="2142" t="s">
        <v>325</v>
      </c>
      <c r="J442" s="1650">
        <v>866</v>
      </c>
      <c r="K442" s="1651">
        <v>6600000</v>
      </c>
      <c r="L442" s="1652">
        <v>989</v>
      </c>
      <c r="M442" s="1659">
        <v>6600000</v>
      </c>
      <c r="N442" s="1593">
        <v>1172</v>
      </c>
      <c r="O442" s="1604">
        <v>6600000</v>
      </c>
      <c r="P442" s="1655">
        <v>21</v>
      </c>
      <c r="Q442" s="1851"/>
      <c r="R442" s="1852"/>
      <c r="S442" s="1852"/>
      <c r="T442" s="1852"/>
      <c r="U442" s="1852"/>
      <c r="V442" s="1852"/>
      <c r="W442" s="1852"/>
      <c r="X442" s="1852"/>
      <c r="Y442" s="1852"/>
      <c r="Z442" s="1852"/>
      <c r="AA442" s="1852"/>
      <c r="AB442" s="1949"/>
      <c r="AC442" s="1824">
        <f t="shared" si="113"/>
        <v>0</v>
      </c>
      <c r="AD442" s="1825">
        <f t="shared" si="114"/>
        <v>6600000</v>
      </c>
      <c r="AF442" s="848" t="s">
        <v>325</v>
      </c>
      <c r="AG442" s="1291" t="s">
        <v>1586</v>
      </c>
      <c r="AH442" s="1059" t="s">
        <v>550</v>
      </c>
      <c r="AI442" s="1048">
        <f t="shared" si="109"/>
        <v>21</v>
      </c>
      <c r="AJ442" s="849">
        <v>6600000</v>
      </c>
      <c r="AK442" s="851">
        <f t="shared" si="111"/>
        <v>0</v>
      </c>
      <c r="AL442" s="845"/>
      <c r="AM442" s="1518">
        <f t="shared" si="112"/>
        <v>0</v>
      </c>
    </row>
    <row r="443" spans="1:39" s="654" customFormat="1">
      <c r="A443" s="667" t="s">
        <v>86</v>
      </c>
      <c r="B443" s="1969">
        <f t="shared" si="115"/>
        <v>52800000</v>
      </c>
      <c r="C443" s="668" t="s">
        <v>36</v>
      </c>
      <c r="D443" s="668" t="s">
        <v>832</v>
      </c>
      <c r="E443" s="668" t="s">
        <v>1651</v>
      </c>
      <c r="F443" s="668" t="s">
        <v>87</v>
      </c>
      <c r="G443" s="2137" t="s">
        <v>79</v>
      </c>
      <c r="H443" s="2165" t="s">
        <v>1645</v>
      </c>
      <c r="I443" s="2142">
        <v>308</v>
      </c>
      <c r="J443" s="1650">
        <v>36</v>
      </c>
      <c r="K443" s="1651"/>
      <c r="L443" s="1652">
        <v>132</v>
      </c>
      <c r="M443" s="1659">
        <v>52800000</v>
      </c>
      <c r="N443" s="1593">
        <v>121</v>
      </c>
      <c r="O443" s="1604">
        <v>52800000</v>
      </c>
      <c r="P443" s="1655">
        <v>124</v>
      </c>
      <c r="Q443" s="1851"/>
      <c r="R443" s="1852">
        <v>1760000</v>
      </c>
      <c r="S443" s="1852">
        <f>VLOOKUP(N443,[9]Hoja2!N$2:T$77,7,0)</f>
        <v>6600000</v>
      </c>
      <c r="T443" s="1852">
        <v>6600000</v>
      </c>
      <c r="U443" s="1852">
        <v>6600000</v>
      </c>
      <c r="V443" s="1852">
        <v>6600000</v>
      </c>
      <c r="W443" s="1852">
        <v>6600000</v>
      </c>
      <c r="X443" s="1852">
        <v>6600000</v>
      </c>
      <c r="Y443" s="1852">
        <v>6600000</v>
      </c>
      <c r="Z443" s="1852">
        <v>4840000</v>
      </c>
      <c r="AA443" s="1852"/>
      <c r="AB443" s="1949"/>
      <c r="AC443" s="1824">
        <f t="shared" si="113"/>
        <v>52800000</v>
      </c>
      <c r="AD443" s="1825">
        <f t="shared" si="114"/>
        <v>0</v>
      </c>
      <c r="AF443" s="848">
        <v>308</v>
      </c>
      <c r="AG443" s="1291" t="s">
        <v>197</v>
      </c>
      <c r="AH443" s="1059" t="s">
        <v>551</v>
      </c>
      <c r="AI443" s="1048">
        <f t="shared" si="109"/>
        <v>124</v>
      </c>
      <c r="AJ443" s="849">
        <v>52800000</v>
      </c>
      <c r="AK443" s="851">
        <f t="shared" si="111"/>
        <v>0</v>
      </c>
      <c r="AL443" s="845"/>
      <c r="AM443" s="1518">
        <f t="shared" si="112"/>
        <v>0</v>
      </c>
    </row>
    <row r="444" spans="1:39" s="654" customFormat="1">
      <c r="A444" s="667" t="s">
        <v>86</v>
      </c>
      <c r="B444" s="1969">
        <f t="shared" si="115"/>
        <v>21560000</v>
      </c>
      <c r="C444" s="668" t="s">
        <v>36</v>
      </c>
      <c r="D444" s="668" t="s">
        <v>832</v>
      </c>
      <c r="E444" s="668" t="s">
        <v>1651</v>
      </c>
      <c r="F444" s="668" t="s">
        <v>87</v>
      </c>
      <c r="G444" s="2137" t="s">
        <v>79</v>
      </c>
      <c r="H444" s="2165" t="s">
        <v>1645</v>
      </c>
      <c r="I444" s="2142" t="s">
        <v>173</v>
      </c>
      <c r="J444" s="1650"/>
      <c r="K444" s="1651">
        <v>21560000</v>
      </c>
      <c r="L444" s="1652">
        <v>703</v>
      </c>
      <c r="M444" s="1651">
        <v>21560000</v>
      </c>
      <c r="N444" s="1658">
        <v>845</v>
      </c>
      <c r="O444" s="1752">
        <v>21560000</v>
      </c>
      <c r="P444" s="1655">
        <v>124</v>
      </c>
      <c r="Q444" s="1851"/>
      <c r="R444" s="1852"/>
      <c r="S444" s="1852"/>
      <c r="T444" s="1852"/>
      <c r="U444" s="1852"/>
      <c r="V444" s="1852"/>
      <c r="W444" s="1852"/>
      <c r="X444" s="1852"/>
      <c r="Y444" s="1852"/>
      <c r="Z444" s="1852">
        <v>1760000</v>
      </c>
      <c r="AA444" s="1852">
        <v>6600000</v>
      </c>
      <c r="AB444" s="1949">
        <f>6600000+6600000</f>
        <v>13200000</v>
      </c>
      <c r="AC444" s="1824">
        <f t="shared" si="113"/>
        <v>21560000</v>
      </c>
      <c r="AD444" s="1825">
        <f t="shared" si="114"/>
        <v>0</v>
      </c>
      <c r="AF444" s="848" t="s">
        <v>1249</v>
      </c>
      <c r="AG444" s="1291" t="s">
        <v>1263</v>
      </c>
      <c r="AH444" s="1059" t="s">
        <v>551</v>
      </c>
      <c r="AI444" s="1048">
        <f>P444</f>
        <v>124</v>
      </c>
      <c r="AJ444" s="849">
        <v>21560000</v>
      </c>
      <c r="AK444" s="851">
        <f t="shared" si="111"/>
        <v>0</v>
      </c>
      <c r="AL444" s="845"/>
      <c r="AM444" s="1518">
        <f t="shared" si="112"/>
        <v>0</v>
      </c>
    </row>
    <row r="445" spans="1:39" s="654" customFormat="1">
      <c r="A445" s="667" t="s">
        <v>86</v>
      </c>
      <c r="B445" s="1969">
        <f t="shared" si="115"/>
        <v>38720000</v>
      </c>
      <c r="C445" s="668" t="s">
        <v>36</v>
      </c>
      <c r="D445" s="668" t="s">
        <v>832</v>
      </c>
      <c r="E445" s="668" t="s">
        <v>1651</v>
      </c>
      <c r="F445" s="668" t="s">
        <v>87</v>
      </c>
      <c r="G445" s="2137" t="s">
        <v>79</v>
      </c>
      <c r="H445" s="2165" t="s">
        <v>1645</v>
      </c>
      <c r="I445" s="2142">
        <v>309</v>
      </c>
      <c r="J445" s="1650">
        <v>37</v>
      </c>
      <c r="K445" s="1651"/>
      <c r="L445" s="1652">
        <v>133</v>
      </c>
      <c r="M445" s="1659">
        <v>38720000</v>
      </c>
      <c r="N445" s="1593">
        <v>126</v>
      </c>
      <c r="O445" s="1604">
        <v>38720000</v>
      </c>
      <c r="P445" s="1655">
        <v>128</v>
      </c>
      <c r="Q445" s="1851"/>
      <c r="R445" s="1852">
        <v>1452000</v>
      </c>
      <c r="S445" s="1852">
        <f>VLOOKUP(N445,[9]Hoja2!N$2:T$77,7,0)</f>
        <v>4840000</v>
      </c>
      <c r="T445" s="1852">
        <v>4840000</v>
      </c>
      <c r="U445" s="1852">
        <v>4840000</v>
      </c>
      <c r="V445" s="1852">
        <v>4840000</v>
      </c>
      <c r="W445" s="1852">
        <v>4840000</v>
      </c>
      <c r="X445" s="1852">
        <v>4840000</v>
      </c>
      <c r="Y445" s="1852">
        <v>4840000</v>
      </c>
      <c r="Z445" s="1852">
        <v>2258667</v>
      </c>
      <c r="AA445" s="1852">
        <v>1129333</v>
      </c>
      <c r="AB445" s="1949"/>
      <c r="AC445" s="1824">
        <f t="shared" si="113"/>
        <v>38720000</v>
      </c>
      <c r="AD445" s="1825">
        <f t="shared" si="114"/>
        <v>0</v>
      </c>
      <c r="AF445" s="848">
        <v>309</v>
      </c>
      <c r="AG445" s="1291" t="s">
        <v>198</v>
      </c>
      <c r="AH445" s="1059" t="s">
        <v>552</v>
      </c>
      <c r="AI445" s="1048">
        <f t="shared" si="109"/>
        <v>128</v>
      </c>
      <c r="AJ445" s="849">
        <v>38720000</v>
      </c>
      <c r="AK445" s="851">
        <f t="shared" si="111"/>
        <v>0</v>
      </c>
      <c r="AL445" s="845"/>
      <c r="AM445" s="1518">
        <f t="shared" si="112"/>
        <v>0</v>
      </c>
    </row>
    <row r="446" spans="1:39" s="654" customFormat="1">
      <c r="A446" s="667" t="s">
        <v>86</v>
      </c>
      <c r="B446" s="1969">
        <f t="shared" si="115"/>
        <v>13390667</v>
      </c>
      <c r="C446" s="668" t="s">
        <v>36</v>
      </c>
      <c r="D446" s="668" t="s">
        <v>832</v>
      </c>
      <c r="E446" s="668" t="s">
        <v>1651</v>
      </c>
      <c r="F446" s="668" t="s">
        <v>87</v>
      </c>
      <c r="G446" s="2137" t="s">
        <v>79</v>
      </c>
      <c r="H446" s="2165" t="s">
        <v>1645</v>
      </c>
      <c r="I446" s="2142" t="s">
        <v>173</v>
      </c>
      <c r="J446" s="1650"/>
      <c r="K446" s="1651">
        <v>15972000</v>
      </c>
      <c r="L446" s="1652">
        <v>704</v>
      </c>
      <c r="M446" s="1651">
        <f>15972000-2581333</f>
        <v>13390667</v>
      </c>
      <c r="N446" s="1658">
        <v>876</v>
      </c>
      <c r="O446" s="1651">
        <f>15972000-2581333</f>
        <v>13390667</v>
      </c>
      <c r="P446" s="1655">
        <v>128</v>
      </c>
      <c r="Q446" s="1851"/>
      <c r="R446" s="1852"/>
      <c r="S446" s="1852"/>
      <c r="T446" s="1852"/>
      <c r="U446" s="1852"/>
      <c r="V446" s="1852"/>
      <c r="W446" s="1852"/>
      <c r="X446" s="1852"/>
      <c r="Y446" s="1852"/>
      <c r="Z446" s="1852"/>
      <c r="AA446" s="1852">
        <v>3710667</v>
      </c>
      <c r="AB446" s="1949">
        <f>4840000+4840000</f>
        <v>9680000</v>
      </c>
      <c r="AC446" s="1824">
        <f t="shared" si="113"/>
        <v>13390667</v>
      </c>
      <c r="AD446" s="1825">
        <f t="shared" si="114"/>
        <v>0</v>
      </c>
      <c r="AF446" s="848" t="s">
        <v>325</v>
      </c>
      <c r="AG446" s="1291" t="s">
        <v>1264</v>
      </c>
      <c r="AH446" s="1059" t="s">
        <v>552</v>
      </c>
      <c r="AI446" s="1048">
        <f>P446</f>
        <v>128</v>
      </c>
      <c r="AJ446" s="849">
        <f>15972000-2581333</f>
        <v>13390667</v>
      </c>
      <c r="AK446" s="851">
        <f t="shared" si="111"/>
        <v>0</v>
      </c>
      <c r="AL446" s="845"/>
      <c r="AM446" s="1518">
        <f t="shared" si="112"/>
        <v>0</v>
      </c>
    </row>
    <row r="447" spans="1:39" s="654" customFormat="1">
      <c r="A447" s="667" t="s">
        <v>86</v>
      </c>
      <c r="B447" s="1969">
        <f t="shared" si="115"/>
        <v>4840000</v>
      </c>
      <c r="C447" s="668" t="s">
        <v>36</v>
      </c>
      <c r="D447" s="668" t="s">
        <v>832</v>
      </c>
      <c r="E447" s="668" t="s">
        <v>1651</v>
      </c>
      <c r="F447" s="668" t="s">
        <v>87</v>
      </c>
      <c r="G447" s="2137" t="s">
        <v>79</v>
      </c>
      <c r="H447" s="2165" t="s">
        <v>1645</v>
      </c>
      <c r="I447" s="2142" t="s">
        <v>325</v>
      </c>
      <c r="J447" s="1650">
        <v>803</v>
      </c>
      <c r="K447" s="1651">
        <v>6600000</v>
      </c>
      <c r="L447" s="1652">
        <v>910</v>
      </c>
      <c r="M447" s="1651">
        <f>6600000-1760000</f>
        <v>4840000</v>
      </c>
      <c r="N447" s="1658">
        <v>1196</v>
      </c>
      <c r="O447" s="1651">
        <v>4840000</v>
      </c>
      <c r="P447" s="1655">
        <v>128</v>
      </c>
      <c r="Q447" s="1851"/>
      <c r="R447" s="1852"/>
      <c r="S447" s="1852"/>
      <c r="T447" s="1852"/>
      <c r="U447" s="1852"/>
      <c r="V447" s="1852"/>
      <c r="W447" s="1852"/>
      <c r="X447" s="1852"/>
      <c r="Y447" s="1852"/>
      <c r="Z447" s="1852"/>
      <c r="AA447" s="1852"/>
      <c r="AB447" s="1949"/>
      <c r="AC447" s="1824">
        <f t="shared" si="113"/>
        <v>0</v>
      </c>
      <c r="AD447" s="1825">
        <f t="shared" si="114"/>
        <v>4840000</v>
      </c>
      <c r="AF447" s="848" t="s">
        <v>325</v>
      </c>
      <c r="AG447" s="1291" t="s">
        <v>1503</v>
      </c>
      <c r="AH447" s="1059" t="s">
        <v>552</v>
      </c>
      <c r="AI447" s="1048">
        <f>P447</f>
        <v>128</v>
      </c>
      <c r="AJ447" s="849">
        <v>6600000</v>
      </c>
      <c r="AK447" s="851">
        <f t="shared" si="111"/>
        <v>1760000</v>
      </c>
      <c r="AL447" s="845"/>
      <c r="AM447" s="1518">
        <f t="shared" si="112"/>
        <v>1760000</v>
      </c>
    </row>
    <row r="448" spans="1:39" s="654" customFormat="1">
      <c r="A448" s="667" t="s">
        <v>86</v>
      </c>
      <c r="B448" s="1969">
        <f t="shared" si="115"/>
        <v>35200000</v>
      </c>
      <c r="C448" s="668" t="s">
        <v>36</v>
      </c>
      <c r="D448" s="668" t="s">
        <v>832</v>
      </c>
      <c r="E448" s="668" t="s">
        <v>1651</v>
      </c>
      <c r="F448" s="668" t="s">
        <v>87</v>
      </c>
      <c r="G448" s="2137" t="s">
        <v>79</v>
      </c>
      <c r="H448" s="2165" t="s">
        <v>1645</v>
      </c>
      <c r="I448" s="2142">
        <v>310</v>
      </c>
      <c r="J448" s="1650">
        <v>38</v>
      </c>
      <c r="K448" s="1651"/>
      <c r="L448" s="1652">
        <v>375</v>
      </c>
      <c r="M448" s="1659">
        <v>35200000</v>
      </c>
      <c r="N448" s="1658">
        <v>398</v>
      </c>
      <c r="O448" s="1752">
        <v>35200000</v>
      </c>
      <c r="P448" s="1655">
        <v>301</v>
      </c>
      <c r="Q448" s="1851"/>
      <c r="R448" s="1852"/>
      <c r="S448" s="1852"/>
      <c r="T448" s="1852"/>
      <c r="U448" s="1852">
        <v>5133333</v>
      </c>
      <c r="V448" s="1852">
        <v>4400000</v>
      </c>
      <c r="W448" s="1852">
        <v>4400000</v>
      </c>
      <c r="X448" s="1852">
        <v>4400000</v>
      </c>
      <c r="Y448" s="1852">
        <v>4400000</v>
      </c>
      <c r="Z448" s="1852">
        <v>4400000</v>
      </c>
      <c r="AA448" s="1852">
        <v>4400000</v>
      </c>
      <c r="AB448" s="1949">
        <v>3666667</v>
      </c>
      <c r="AC448" s="1824">
        <f t="shared" si="113"/>
        <v>35200000</v>
      </c>
      <c r="AD448" s="1825">
        <f t="shared" si="114"/>
        <v>0</v>
      </c>
      <c r="AF448" s="848">
        <v>310</v>
      </c>
      <c r="AG448" s="1291" t="s">
        <v>196</v>
      </c>
      <c r="AH448" s="1059" t="s">
        <v>818</v>
      </c>
      <c r="AI448" s="1048">
        <f t="shared" si="109"/>
        <v>301</v>
      </c>
      <c r="AJ448" s="849">
        <f>51810000-16610000</f>
        <v>35200000</v>
      </c>
      <c r="AK448" s="851">
        <f t="shared" si="111"/>
        <v>0</v>
      </c>
      <c r="AL448" s="845"/>
      <c r="AM448" s="1518">
        <f t="shared" si="112"/>
        <v>0</v>
      </c>
    </row>
    <row r="449" spans="1:39" s="654" customFormat="1">
      <c r="A449" s="667" t="s">
        <v>86</v>
      </c>
      <c r="B449" s="1969">
        <f t="shared" si="115"/>
        <v>5133333</v>
      </c>
      <c r="C449" s="668" t="s">
        <v>36</v>
      </c>
      <c r="D449" s="668" t="s">
        <v>832</v>
      </c>
      <c r="E449" s="668" t="s">
        <v>1651</v>
      </c>
      <c r="F449" s="668" t="s">
        <v>87</v>
      </c>
      <c r="G449" s="2137" t="s">
        <v>79</v>
      </c>
      <c r="H449" s="2165" t="s">
        <v>1645</v>
      </c>
      <c r="I449" s="2142" t="s">
        <v>325</v>
      </c>
      <c r="J449" s="1650">
        <v>713</v>
      </c>
      <c r="K449" s="1651">
        <v>5133333</v>
      </c>
      <c r="L449" s="1652">
        <v>819</v>
      </c>
      <c r="M449" s="1659">
        <v>5133333</v>
      </c>
      <c r="N449" s="1658">
        <v>1000</v>
      </c>
      <c r="O449" s="1752">
        <v>5133333</v>
      </c>
      <c r="P449" s="1655">
        <v>301</v>
      </c>
      <c r="Q449" s="1851"/>
      <c r="R449" s="1852"/>
      <c r="S449" s="1852"/>
      <c r="T449" s="1852"/>
      <c r="U449" s="1852"/>
      <c r="V449" s="1852"/>
      <c r="W449" s="1852"/>
      <c r="X449" s="1852"/>
      <c r="Y449" s="1852"/>
      <c r="Z449" s="1852"/>
      <c r="AA449" s="1852"/>
      <c r="AB449" s="1949">
        <f>733333+4400000</f>
        <v>5133333</v>
      </c>
      <c r="AC449" s="1824">
        <f t="shared" si="113"/>
        <v>5133333</v>
      </c>
      <c r="AD449" s="1825">
        <f t="shared" si="114"/>
        <v>0</v>
      </c>
      <c r="AF449" s="848" t="s">
        <v>325</v>
      </c>
      <c r="AG449" s="1291" t="s">
        <v>1406</v>
      </c>
      <c r="AH449" s="1059" t="s">
        <v>818</v>
      </c>
      <c r="AI449" s="1048">
        <f t="shared" si="109"/>
        <v>301</v>
      </c>
      <c r="AJ449" s="849">
        <v>5133333</v>
      </c>
      <c r="AK449" s="851">
        <f t="shared" si="111"/>
        <v>0</v>
      </c>
      <c r="AL449" s="845"/>
      <c r="AM449" s="1518">
        <f t="shared" si="112"/>
        <v>0</v>
      </c>
    </row>
    <row r="450" spans="1:39" s="654" customFormat="1">
      <c r="A450" s="667" t="s">
        <v>86</v>
      </c>
      <c r="B450" s="1969">
        <f t="shared" si="115"/>
        <v>21600000</v>
      </c>
      <c r="C450" s="668" t="s">
        <v>36</v>
      </c>
      <c r="D450" s="668" t="s">
        <v>832</v>
      </c>
      <c r="E450" s="668" t="s">
        <v>1651</v>
      </c>
      <c r="F450" s="668" t="s">
        <v>87</v>
      </c>
      <c r="G450" s="2137" t="s">
        <v>79</v>
      </c>
      <c r="H450" s="2165" t="s">
        <v>1645</v>
      </c>
      <c r="I450" s="2142">
        <v>521</v>
      </c>
      <c r="J450" s="1650"/>
      <c r="K450" s="1651"/>
      <c r="L450" s="1652">
        <v>610</v>
      </c>
      <c r="M450" s="1659">
        <f>29250000-29250000+21600000</f>
        <v>21600000</v>
      </c>
      <c r="N450" s="1658">
        <v>727</v>
      </c>
      <c r="O450" s="1752">
        <v>21600000</v>
      </c>
      <c r="P450" s="1655">
        <v>432</v>
      </c>
      <c r="Q450" s="1851"/>
      <c r="R450" s="1852"/>
      <c r="S450" s="1852"/>
      <c r="T450" s="1852"/>
      <c r="U450" s="1852"/>
      <c r="V450" s="1852"/>
      <c r="W450" s="1852"/>
      <c r="X450" s="1852"/>
      <c r="Y450" s="1852">
        <v>4960000</v>
      </c>
      <c r="Z450" s="1852">
        <v>4800000</v>
      </c>
      <c r="AA450" s="1852">
        <v>4800000</v>
      </c>
      <c r="AB450" s="1949">
        <f>4800000+2240000</f>
        <v>7040000</v>
      </c>
      <c r="AC450" s="1824">
        <f t="shared" si="113"/>
        <v>21600000</v>
      </c>
      <c r="AD450" s="1825">
        <f t="shared" si="114"/>
        <v>0</v>
      </c>
      <c r="AF450" s="848">
        <v>521</v>
      </c>
      <c r="AG450" s="1291" t="s">
        <v>194</v>
      </c>
      <c r="AH450" s="1059" t="s">
        <v>1165</v>
      </c>
      <c r="AI450" s="1048">
        <f t="shared" si="109"/>
        <v>432</v>
      </c>
      <c r="AJ450" s="849">
        <f>31500000-9900000</f>
        <v>21600000</v>
      </c>
      <c r="AK450" s="851">
        <f t="shared" si="111"/>
        <v>0</v>
      </c>
      <c r="AL450" s="845"/>
      <c r="AM450" s="1518">
        <f t="shared" si="112"/>
        <v>0</v>
      </c>
    </row>
    <row r="451" spans="1:39" s="654" customFormat="1">
      <c r="A451" s="667" t="s">
        <v>86</v>
      </c>
      <c r="B451" s="1969">
        <f t="shared" si="115"/>
        <v>22500000</v>
      </c>
      <c r="C451" s="668" t="s">
        <v>36</v>
      </c>
      <c r="D451" s="668" t="s">
        <v>832</v>
      </c>
      <c r="E451" s="668" t="s">
        <v>1651</v>
      </c>
      <c r="F451" s="668" t="s">
        <v>87</v>
      </c>
      <c r="G451" s="2137" t="s">
        <v>79</v>
      </c>
      <c r="H451" s="2165" t="s">
        <v>1645</v>
      </c>
      <c r="I451" s="2142">
        <v>522</v>
      </c>
      <c r="J451" s="1650"/>
      <c r="K451" s="1651"/>
      <c r="L451" s="1652">
        <v>541</v>
      </c>
      <c r="M451" s="1659">
        <v>22500000</v>
      </c>
      <c r="N451" s="1658">
        <v>612</v>
      </c>
      <c r="O451" s="1752">
        <v>22500000</v>
      </c>
      <c r="P451" s="1655">
        <v>379</v>
      </c>
      <c r="Q451" s="1851"/>
      <c r="R451" s="1852"/>
      <c r="S451" s="1852"/>
      <c r="T451" s="1852"/>
      <c r="U451" s="1852"/>
      <c r="V451" s="1852"/>
      <c r="W451" s="1852">
        <v>2550000</v>
      </c>
      <c r="X451" s="1852">
        <v>4500000</v>
      </c>
      <c r="Y451" s="1852">
        <v>4500000</v>
      </c>
      <c r="Z451" s="1852">
        <v>4500000</v>
      </c>
      <c r="AA451" s="1852">
        <v>4500000</v>
      </c>
      <c r="AB451" s="1949">
        <v>1950000</v>
      </c>
      <c r="AC451" s="1824">
        <f t="shared" si="113"/>
        <v>22500000</v>
      </c>
      <c r="AD451" s="1825">
        <f t="shared" si="114"/>
        <v>0</v>
      </c>
      <c r="AF451" s="848">
        <v>522</v>
      </c>
      <c r="AG451" s="1291" t="s">
        <v>928</v>
      </c>
      <c r="AH451" s="1059" t="s">
        <v>1082</v>
      </c>
      <c r="AI451" s="1048">
        <f t="shared" si="109"/>
        <v>379</v>
      </c>
      <c r="AJ451" s="849">
        <f>22500000</f>
        <v>22500000</v>
      </c>
      <c r="AK451" s="851">
        <f t="shared" si="111"/>
        <v>0</v>
      </c>
      <c r="AL451" s="845"/>
      <c r="AM451" s="1518">
        <f t="shared" si="112"/>
        <v>0</v>
      </c>
    </row>
    <row r="452" spans="1:39" s="654" customFormat="1">
      <c r="A452" s="667" t="s">
        <v>86</v>
      </c>
      <c r="B452" s="1969">
        <f t="shared" si="115"/>
        <v>7050000</v>
      </c>
      <c r="C452" s="668" t="s">
        <v>36</v>
      </c>
      <c r="D452" s="668" t="s">
        <v>832</v>
      </c>
      <c r="E452" s="668" t="s">
        <v>1651</v>
      </c>
      <c r="F452" s="668" t="s">
        <v>87</v>
      </c>
      <c r="G452" s="2137" t="s">
        <v>79</v>
      </c>
      <c r="H452" s="2165" t="s">
        <v>1645</v>
      </c>
      <c r="I452" s="2142" t="s">
        <v>325</v>
      </c>
      <c r="J452" s="1650">
        <v>673</v>
      </c>
      <c r="K452" s="1651">
        <v>7050000</v>
      </c>
      <c r="L452" s="1652">
        <v>771</v>
      </c>
      <c r="M452" s="1659">
        <v>7050000</v>
      </c>
      <c r="N452" s="1658">
        <v>959</v>
      </c>
      <c r="O452" s="1752">
        <v>7050000</v>
      </c>
      <c r="P452" s="1655">
        <v>379</v>
      </c>
      <c r="Q452" s="1851"/>
      <c r="R452" s="1852"/>
      <c r="S452" s="1852"/>
      <c r="T452" s="1852"/>
      <c r="U452" s="1852"/>
      <c r="V452" s="1852"/>
      <c r="W452" s="1852"/>
      <c r="X452" s="1852"/>
      <c r="Y452" s="1852"/>
      <c r="Z452" s="1852"/>
      <c r="AA452" s="1852"/>
      <c r="AB452" s="1949">
        <f>2550000+3450000</f>
        <v>6000000</v>
      </c>
      <c r="AC452" s="1824">
        <f t="shared" si="113"/>
        <v>6000000</v>
      </c>
      <c r="AD452" s="1825">
        <f t="shared" si="114"/>
        <v>1050000</v>
      </c>
      <c r="AF452" s="848" t="s">
        <v>325</v>
      </c>
      <c r="AG452" s="1291" t="s">
        <v>1328</v>
      </c>
      <c r="AH452" s="1059" t="s">
        <v>1082</v>
      </c>
      <c r="AI452" s="1048">
        <f t="shared" si="109"/>
        <v>379</v>
      </c>
      <c r="AJ452" s="849">
        <v>7050000</v>
      </c>
      <c r="AK452" s="851">
        <f t="shared" si="111"/>
        <v>0</v>
      </c>
      <c r="AL452" s="845"/>
      <c r="AM452" s="1518">
        <f t="shared" si="112"/>
        <v>0</v>
      </c>
    </row>
    <row r="453" spans="1:39" s="654" customFormat="1">
      <c r="A453" s="667" t="s">
        <v>86</v>
      </c>
      <c r="B453" s="1969">
        <f t="shared" si="115"/>
        <v>4500000</v>
      </c>
      <c r="C453" s="668" t="s">
        <v>36</v>
      </c>
      <c r="D453" s="668" t="s">
        <v>832</v>
      </c>
      <c r="E453" s="668" t="s">
        <v>1651</v>
      </c>
      <c r="F453" s="668" t="s">
        <v>87</v>
      </c>
      <c r="G453" s="2137" t="s">
        <v>79</v>
      </c>
      <c r="H453" s="2165" t="s">
        <v>1645</v>
      </c>
      <c r="I453" s="2142" t="s">
        <v>325</v>
      </c>
      <c r="J453" s="1650">
        <v>804</v>
      </c>
      <c r="K453" s="1651">
        <v>4500000</v>
      </c>
      <c r="L453" s="1652">
        <v>913</v>
      </c>
      <c r="M453" s="1659">
        <v>4500000</v>
      </c>
      <c r="N453" s="1658">
        <v>1181</v>
      </c>
      <c r="O453" s="1752">
        <v>4500000</v>
      </c>
      <c r="P453" s="1655">
        <v>379</v>
      </c>
      <c r="Q453" s="1851"/>
      <c r="R453" s="1852"/>
      <c r="S453" s="1852"/>
      <c r="T453" s="1852"/>
      <c r="U453" s="1852"/>
      <c r="V453" s="1852"/>
      <c r="W453" s="1852"/>
      <c r="X453" s="1852"/>
      <c r="Y453" s="1852"/>
      <c r="Z453" s="1852"/>
      <c r="AA453" s="1852"/>
      <c r="AB453" s="1949"/>
      <c r="AC453" s="1824">
        <f t="shared" si="113"/>
        <v>0</v>
      </c>
      <c r="AD453" s="1825">
        <f t="shared" si="114"/>
        <v>4500000</v>
      </c>
      <c r="AF453" s="848" t="s">
        <v>325</v>
      </c>
      <c r="AG453" s="1291" t="s">
        <v>1504</v>
      </c>
      <c r="AH453" s="1059" t="s">
        <v>1082</v>
      </c>
      <c r="AI453" s="1048">
        <f t="shared" si="109"/>
        <v>379</v>
      </c>
      <c r="AJ453" s="849">
        <v>4500000</v>
      </c>
      <c r="AK453" s="851">
        <f t="shared" si="111"/>
        <v>0</v>
      </c>
      <c r="AL453" s="845"/>
      <c r="AM453" s="1518">
        <f t="shared" si="112"/>
        <v>0</v>
      </c>
    </row>
    <row r="454" spans="1:39" s="654" customFormat="1">
      <c r="A454" s="667" t="s">
        <v>86</v>
      </c>
      <c r="B454" s="1969">
        <f t="shared" si="115"/>
        <v>34800000</v>
      </c>
      <c r="C454" s="668" t="s">
        <v>36</v>
      </c>
      <c r="D454" s="668" t="s">
        <v>832</v>
      </c>
      <c r="E454" s="668" t="s">
        <v>1651</v>
      </c>
      <c r="F454" s="668" t="s">
        <v>87</v>
      </c>
      <c r="G454" s="2137" t="s">
        <v>79</v>
      </c>
      <c r="H454" s="2165" t="s">
        <v>1645</v>
      </c>
      <c r="I454" s="2142">
        <v>538</v>
      </c>
      <c r="J454" s="1650"/>
      <c r="K454" s="1651"/>
      <c r="L454" s="1652">
        <v>564</v>
      </c>
      <c r="M454" s="1659">
        <v>34800000</v>
      </c>
      <c r="N454" s="1658">
        <v>642</v>
      </c>
      <c r="O454" s="1752">
        <v>34800000</v>
      </c>
      <c r="P454" s="1655">
        <v>389</v>
      </c>
      <c r="Q454" s="1851"/>
      <c r="R454" s="1852"/>
      <c r="S454" s="1852"/>
      <c r="T454" s="1852"/>
      <c r="U454" s="1852"/>
      <c r="V454" s="1852"/>
      <c r="W454" s="1852">
        <v>966667</v>
      </c>
      <c r="X454" s="1852">
        <v>5800000</v>
      </c>
      <c r="Y454" s="1852">
        <v>5800000</v>
      </c>
      <c r="Z454" s="1852">
        <v>5800000</v>
      </c>
      <c r="AA454" s="1852">
        <v>5800000</v>
      </c>
      <c r="AB454" s="1949">
        <f>5800000+4833333</f>
        <v>10633333</v>
      </c>
      <c r="AC454" s="1824">
        <f t="shared" si="113"/>
        <v>34800000</v>
      </c>
      <c r="AD454" s="1825">
        <f t="shared" si="114"/>
        <v>0</v>
      </c>
      <c r="AF454" s="848">
        <v>538</v>
      </c>
      <c r="AG454" s="1291" t="s">
        <v>1070</v>
      </c>
      <c r="AH454" s="1059" t="s">
        <v>1101</v>
      </c>
      <c r="AI454" s="1048">
        <f t="shared" si="109"/>
        <v>389</v>
      </c>
      <c r="AJ454" s="849">
        <f>37700000-2900000</f>
        <v>34800000</v>
      </c>
      <c r="AK454" s="851">
        <f t="shared" si="111"/>
        <v>0</v>
      </c>
      <c r="AL454" s="845"/>
      <c r="AM454" s="1518">
        <f t="shared" si="112"/>
        <v>0</v>
      </c>
    </row>
    <row r="455" spans="1:39" s="654" customFormat="1">
      <c r="A455" s="667" t="s">
        <v>86</v>
      </c>
      <c r="B455" s="1969">
        <f t="shared" si="115"/>
        <v>22020000</v>
      </c>
      <c r="C455" s="668" t="s">
        <v>36</v>
      </c>
      <c r="D455" s="668" t="s">
        <v>832</v>
      </c>
      <c r="E455" s="668" t="s">
        <v>1651</v>
      </c>
      <c r="F455" s="668" t="s">
        <v>87</v>
      </c>
      <c r="G455" s="2137" t="s">
        <v>79</v>
      </c>
      <c r="H455" s="2165" t="s">
        <v>1645</v>
      </c>
      <c r="I455" s="2142">
        <v>584</v>
      </c>
      <c r="J455" s="1650">
        <v>598</v>
      </c>
      <c r="K455" s="1651">
        <f>23121000-1101000</f>
        <v>22020000</v>
      </c>
      <c r="L455" s="1652">
        <v>682</v>
      </c>
      <c r="M455" s="1651">
        <f>23121000-1101000</f>
        <v>22020000</v>
      </c>
      <c r="N455" s="1658">
        <v>856</v>
      </c>
      <c r="O455" s="1752">
        <v>22020000</v>
      </c>
      <c r="P455" s="1655">
        <v>464</v>
      </c>
      <c r="Q455" s="1851"/>
      <c r="R455" s="1852"/>
      <c r="S455" s="1852"/>
      <c r="T455" s="1852"/>
      <c r="U455" s="1852"/>
      <c r="V455" s="1852"/>
      <c r="W455" s="1852"/>
      <c r="X455" s="1852"/>
      <c r="Y455" s="1852"/>
      <c r="Z455" s="1852">
        <v>1761600</v>
      </c>
      <c r="AA455" s="1852">
        <v>6606000</v>
      </c>
      <c r="AB455" s="1949">
        <f>6606000</f>
        <v>6606000</v>
      </c>
      <c r="AC455" s="1824">
        <f t="shared" si="113"/>
        <v>14973600</v>
      </c>
      <c r="AD455" s="1825">
        <f t="shared" si="114"/>
        <v>7046400</v>
      </c>
      <c r="AF455" s="848">
        <v>584</v>
      </c>
      <c r="AG455" s="1291" t="s">
        <v>1239</v>
      </c>
      <c r="AH455" s="1349" t="s">
        <v>1601</v>
      </c>
      <c r="AI455" s="1048">
        <f t="shared" si="109"/>
        <v>464</v>
      </c>
      <c r="AJ455" s="849">
        <f>23121000-1101000</f>
        <v>22020000</v>
      </c>
      <c r="AK455" s="851">
        <f t="shared" si="111"/>
        <v>0</v>
      </c>
      <c r="AL455" s="845"/>
      <c r="AM455" s="1518">
        <f t="shared" si="112"/>
        <v>0</v>
      </c>
    </row>
    <row r="456" spans="1:39" s="654" customFormat="1">
      <c r="A456" s="667" t="s">
        <v>86</v>
      </c>
      <c r="B456" s="1969">
        <f t="shared" si="115"/>
        <v>6606000</v>
      </c>
      <c r="C456" s="668" t="s">
        <v>36</v>
      </c>
      <c r="D456" s="668" t="s">
        <v>832</v>
      </c>
      <c r="E456" s="668" t="s">
        <v>1651</v>
      </c>
      <c r="F456" s="668" t="s">
        <v>87</v>
      </c>
      <c r="G456" s="2137" t="s">
        <v>79</v>
      </c>
      <c r="H456" s="2165" t="s">
        <v>1645</v>
      </c>
      <c r="I456" s="2142" t="s">
        <v>325</v>
      </c>
      <c r="J456" s="1650">
        <v>819</v>
      </c>
      <c r="K456" s="1651">
        <v>6606000</v>
      </c>
      <c r="L456" s="1652">
        <v>941</v>
      </c>
      <c r="M456" s="1651">
        <v>6606000</v>
      </c>
      <c r="N456" s="1658">
        <v>1175</v>
      </c>
      <c r="O456" s="1752">
        <v>6606000</v>
      </c>
      <c r="P456" s="1655">
        <v>464</v>
      </c>
      <c r="Q456" s="1851"/>
      <c r="R456" s="1852"/>
      <c r="S456" s="1852"/>
      <c r="T456" s="1852"/>
      <c r="U456" s="1852"/>
      <c r="V456" s="1852"/>
      <c r="W456" s="1852"/>
      <c r="X456" s="1852"/>
      <c r="Y456" s="1852"/>
      <c r="Z456" s="1852"/>
      <c r="AA456" s="1852"/>
      <c r="AB456" s="1949">
        <v>6606000</v>
      </c>
      <c r="AC456" s="1824">
        <f t="shared" si="113"/>
        <v>6606000</v>
      </c>
      <c r="AD456" s="1825">
        <f t="shared" si="114"/>
        <v>0</v>
      </c>
      <c r="AF456" s="848" t="s">
        <v>325</v>
      </c>
      <c r="AG456" s="1291" t="s">
        <v>1506</v>
      </c>
      <c r="AH456" s="1349" t="s">
        <v>770</v>
      </c>
      <c r="AI456" s="1048">
        <f t="shared" si="109"/>
        <v>464</v>
      </c>
      <c r="AJ456" s="849">
        <v>6606000</v>
      </c>
      <c r="AK456" s="851">
        <f t="shared" si="111"/>
        <v>0</v>
      </c>
      <c r="AL456" s="845"/>
      <c r="AM456" s="1518">
        <f t="shared" si="112"/>
        <v>0</v>
      </c>
    </row>
    <row r="457" spans="1:39" s="654" customFormat="1">
      <c r="A457" s="667" t="s">
        <v>86</v>
      </c>
      <c r="B457" s="1969">
        <f t="shared" si="115"/>
        <v>9600000</v>
      </c>
      <c r="C457" s="668" t="s">
        <v>36</v>
      </c>
      <c r="D457" s="668" t="s">
        <v>832</v>
      </c>
      <c r="E457" s="668" t="s">
        <v>1651</v>
      </c>
      <c r="F457" s="668" t="s">
        <v>87</v>
      </c>
      <c r="G457" s="2137" t="s">
        <v>79</v>
      </c>
      <c r="H457" s="2165" t="s">
        <v>1645</v>
      </c>
      <c r="I457" s="2142">
        <v>585</v>
      </c>
      <c r="J457" s="1650">
        <v>632</v>
      </c>
      <c r="K457" s="1651">
        <v>10800000</v>
      </c>
      <c r="L457" s="1652">
        <v>718</v>
      </c>
      <c r="M457" s="1659">
        <f>10800000-1200000</f>
        <v>9600000</v>
      </c>
      <c r="N457" s="1658">
        <v>890</v>
      </c>
      <c r="O457" s="1752">
        <v>9600000</v>
      </c>
      <c r="P457" s="1655">
        <v>479</v>
      </c>
      <c r="Q457" s="1851"/>
      <c r="R457" s="1852"/>
      <c r="S457" s="1852"/>
      <c r="T457" s="1852"/>
      <c r="U457" s="1852"/>
      <c r="V457" s="1852"/>
      <c r="W457" s="1852"/>
      <c r="X457" s="1852"/>
      <c r="Y457" s="1852"/>
      <c r="Z457" s="1852"/>
      <c r="AA457" s="1852">
        <v>1680000</v>
      </c>
      <c r="AB457" s="1949">
        <f>3600000+3600000</f>
        <v>7200000</v>
      </c>
      <c r="AC457" s="1824">
        <f t="shared" si="113"/>
        <v>8880000</v>
      </c>
      <c r="AD457" s="1825">
        <f t="shared" si="114"/>
        <v>720000</v>
      </c>
      <c r="AF457" s="848">
        <v>585</v>
      </c>
      <c r="AG457" s="1291" t="s">
        <v>1240</v>
      </c>
      <c r="AH457" s="1059" t="s">
        <v>1350</v>
      </c>
      <c r="AI457" s="1048">
        <f t="shared" si="109"/>
        <v>479</v>
      </c>
      <c r="AJ457" s="849">
        <f>12600000-3000000</f>
        <v>9600000</v>
      </c>
      <c r="AK457" s="851">
        <f t="shared" si="111"/>
        <v>0</v>
      </c>
      <c r="AL457" s="845"/>
      <c r="AM457" s="1518">
        <f t="shared" si="112"/>
        <v>0</v>
      </c>
    </row>
    <row r="458" spans="1:39" s="654" customFormat="1">
      <c r="A458" s="667" t="s">
        <v>86</v>
      </c>
      <c r="B458" s="1969">
        <f t="shared" si="115"/>
        <v>19733333</v>
      </c>
      <c r="C458" s="668" t="s">
        <v>36</v>
      </c>
      <c r="D458" s="668" t="s">
        <v>832</v>
      </c>
      <c r="E458" s="668" t="s">
        <v>1651</v>
      </c>
      <c r="F458" s="668" t="s">
        <v>87</v>
      </c>
      <c r="G458" s="2137" t="s">
        <v>79</v>
      </c>
      <c r="H458" s="2165" t="s">
        <v>1645</v>
      </c>
      <c r="I458" s="2142">
        <v>586</v>
      </c>
      <c r="J458" s="1650">
        <v>643</v>
      </c>
      <c r="K458" s="1651">
        <v>28000000</v>
      </c>
      <c r="L458" s="1652">
        <v>734</v>
      </c>
      <c r="M458" s="1659">
        <f>28000000-8266667</f>
        <v>19733333</v>
      </c>
      <c r="N458" s="1658">
        <v>906</v>
      </c>
      <c r="O458" s="1752">
        <v>19733333</v>
      </c>
      <c r="P458" s="1655">
        <v>482</v>
      </c>
      <c r="Q458" s="1851"/>
      <c r="R458" s="1852"/>
      <c r="S458" s="1852"/>
      <c r="T458" s="1852"/>
      <c r="U458" s="1852"/>
      <c r="V458" s="1852"/>
      <c r="W458" s="1852"/>
      <c r="X458" s="1852"/>
      <c r="Y458" s="1852"/>
      <c r="Z458" s="1852"/>
      <c r="AA458" s="1852"/>
      <c r="AB458" s="1949">
        <f>10666667+8000000</f>
        <v>18666667</v>
      </c>
      <c r="AC458" s="1824">
        <f t="shared" si="113"/>
        <v>18666667</v>
      </c>
      <c r="AD458" s="1825">
        <f t="shared" si="114"/>
        <v>1066666</v>
      </c>
      <c r="AF458" s="848">
        <v>586</v>
      </c>
      <c r="AG458" s="1291" t="s">
        <v>1241</v>
      </c>
      <c r="AH458" s="1059" t="s">
        <v>1228</v>
      </c>
      <c r="AI458" s="1048">
        <f>P458</f>
        <v>482</v>
      </c>
      <c r="AJ458" s="849">
        <f>28000000-8266667</f>
        <v>19733333</v>
      </c>
      <c r="AK458" s="851">
        <f t="shared" si="111"/>
        <v>0</v>
      </c>
      <c r="AL458" s="845"/>
      <c r="AM458" s="1518">
        <f t="shared" si="112"/>
        <v>0</v>
      </c>
    </row>
    <row r="459" spans="1:39" s="654" customFormat="1">
      <c r="A459" s="667" t="s">
        <v>86</v>
      </c>
      <c r="B459" s="1969">
        <f t="shared" si="115"/>
        <v>7150000</v>
      </c>
      <c r="C459" s="668" t="s">
        <v>36</v>
      </c>
      <c r="D459" s="668" t="s">
        <v>832</v>
      </c>
      <c r="E459" s="668" t="s">
        <v>1651</v>
      </c>
      <c r="F459" s="668" t="s">
        <v>87</v>
      </c>
      <c r="G459" s="2137" t="s">
        <v>79</v>
      </c>
      <c r="H459" s="2165" t="s">
        <v>1645</v>
      </c>
      <c r="I459" s="2142">
        <v>614</v>
      </c>
      <c r="J459" s="1650">
        <v>690</v>
      </c>
      <c r="K459" s="1651">
        <v>11000000</v>
      </c>
      <c r="L459" s="1652">
        <v>789</v>
      </c>
      <c r="M459" s="1659">
        <f>11000000-3850000</f>
        <v>7150000</v>
      </c>
      <c r="N459" s="1658">
        <v>992</v>
      </c>
      <c r="O459" s="1752">
        <v>7150000</v>
      </c>
      <c r="P459" s="1655">
        <v>496</v>
      </c>
      <c r="Q459" s="1851"/>
      <c r="R459" s="1852"/>
      <c r="S459" s="1852"/>
      <c r="T459" s="1852"/>
      <c r="U459" s="1852"/>
      <c r="V459" s="1852"/>
      <c r="W459" s="1852"/>
      <c r="X459" s="1852"/>
      <c r="Y459" s="1852"/>
      <c r="Z459" s="1852"/>
      <c r="AA459" s="1852"/>
      <c r="AB459" s="1949">
        <f>1100000+5500000</f>
        <v>6600000</v>
      </c>
      <c r="AC459" s="1824">
        <f t="shared" si="113"/>
        <v>6600000</v>
      </c>
      <c r="AD459" s="1825">
        <f t="shared" si="114"/>
        <v>550000</v>
      </c>
      <c r="AF459" s="848">
        <v>614</v>
      </c>
      <c r="AG459" s="1291" t="s">
        <v>1330</v>
      </c>
      <c r="AH459" s="1059" t="s">
        <v>989</v>
      </c>
      <c r="AI459" s="1048">
        <f t="shared" si="109"/>
        <v>496</v>
      </c>
      <c r="AJ459" s="849">
        <f>11000000-3850000+3850000-3850000</f>
        <v>7150000</v>
      </c>
      <c r="AK459" s="851">
        <f t="shared" si="111"/>
        <v>0</v>
      </c>
      <c r="AL459" s="845"/>
      <c r="AM459" s="1518">
        <f t="shared" si="112"/>
        <v>0</v>
      </c>
    </row>
    <row r="460" spans="1:39" s="654" customFormat="1">
      <c r="A460" s="667" t="s">
        <v>86</v>
      </c>
      <c r="B460" s="1969">
        <f t="shared" si="115"/>
        <v>0</v>
      </c>
      <c r="C460" s="668" t="s">
        <v>36</v>
      </c>
      <c r="D460" s="668" t="s">
        <v>832</v>
      </c>
      <c r="E460" s="668" t="s">
        <v>1651</v>
      </c>
      <c r="F460" s="668" t="s">
        <v>87</v>
      </c>
      <c r="G460" s="2137" t="s">
        <v>79</v>
      </c>
      <c r="H460" s="2165" t="s">
        <v>1645</v>
      </c>
      <c r="I460" s="2142" t="s">
        <v>325</v>
      </c>
      <c r="J460" s="1650"/>
      <c r="K460" s="1651"/>
      <c r="L460" s="1658"/>
      <c r="M460" s="1659"/>
      <c r="N460" s="1658"/>
      <c r="O460" s="1752"/>
      <c r="P460" s="1655"/>
      <c r="Q460" s="1851"/>
      <c r="R460" s="1852"/>
      <c r="S460" s="1852"/>
      <c r="T460" s="1852"/>
      <c r="U460" s="1852"/>
      <c r="V460" s="1852"/>
      <c r="W460" s="1852"/>
      <c r="X460" s="1852"/>
      <c r="Y460" s="1852"/>
      <c r="Z460" s="1852"/>
      <c r="AA460" s="1852"/>
      <c r="AB460" s="1853"/>
      <c r="AC460" s="1824">
        <f t="shared" si="113"/>
        <v>0</v>
      </c>
      <c r="AD460" s="1825">
        <f t="shared" si="114"/>
        <v>0</v>
      </c>
      <c r="AF460" s="848" t="s">
        <v>325</v>
      </c>
      <c r="AG460" s="1291" t="s">
        <v>493</v>
      </c>
      <c r="AH460" s="1059" t="s">
        <v>173</v>
      </c>
      <c r="AI460" s="1048">
        <f t="shared" si="109"/>
        <v>0</v>
      </c>
      <c r="AJ460" s="849">
        <f>2680000-2252501+156936164-13204667-68555334+1-58919267-16684396+1873334-1873334+1533634-1220000</f>
        <v>313634</v>
      </c>
      <c r="AK460" s="851">
        <f t="shared" ref="AK460" si="116">AJ460-O460</f>
        <v>313634</v>
      </c>
      <c r="AL460" s="845"/>
      <c r="AM460" s="1518">
        <f t="shared" si="112"/>
        <v>313634</v>
      </c>
    </row>
    <row r="461" spans="1:39" s="633" customFormat="1" ht="15">
      <c r="A461" s="669" t="s">
        <v>80</v>
      </c>
      <c r="B461" s="1663">
        <f>B361-SUM(B362:B460)</f>
        <v>15312304</v>
      </c>
      <c r="C461" s="56"/>
      <c r="D461" s="56"/>
      <c r="E461" s="56"/>
      <c r="F461" s="56"/>
      <c r="G461" s="56"/>
      <c r="H461" s="2144"/>
      <c r="I461" s="1753"/>
      <c r="J461" s="1678"/>
      <c r="K461" s="1679"/>
      <c r="L461" s="1680"/>
      <c r="M461" s="1681">
        <f>SUM(M362:M460)</f>
        <v>2402327098</v>
      </c>
      <c r="N461" s="1589"/>
      <c r="O461" s="1681">
        <f>SUM(O362:O460)</f>
        <v>2402327098</v>
      </c>
      <c r="P461" s="1719"/>
      <c r="Q461" s="1681">
        <f t="shared" ref="Q461:AD461" si="117">SUM(Q362:Q460)</f>
        <v>0</v>
      </c>
      <c r="R461" s="1681">
        <f t="shared" si="117"/>
        <v>37649269</v>
      </c>
      <c r="S461" s="1681">
        <f t="shared" si="117"/>
        <v>141246000</v>
      </c>
      <c r="T461" s="1681">
        <f t="shared" si="117"/>
        <v>199617000</v>
      </c>
      <c r="U461" s="1681">
        <f t="shared" si="117"/>
        <v>196704333</v>
      </c>
      <c r="V461" s="1681">
        <f t="shared" si="117"/>
        <v>187733666</v>
      </c>
      <c r="W461" s="1681">
        <f t="shared" si="117"/>
        <v>207607667</v>
      </c>
      <c r="X461" s="1681">
        <f t="shared" si="117"/>
        <v>208539667</v>
      </c>
      <c r="Y461" s="1681">
        <f t="shared" si="117"/>
        <v>217137667</v>
      </c>
      <c r="Z461" s="1681">
        <f t="shared" si="117"/>
        <v>210891266</v>
      </c>
      <c r="AA461" s="1681">
        <f t="shared" si="117"/>
        <v>216477000</v>
      </c>
      <c r="AB461" s="1834">
        <f>SUM(AB362:AB460)</f>
        <v>444808162</v>
      </c>
      <c r="AC461" s="1679">
        <f t="shared" si="117"/>
        <v>2268411697</v>
      </c>
      <c r="AD461" s="1681">
        <f t="shared" si="117"/>
        <v>133915401</v>
      </c>
      <c r="AF461" s="852"/>
      <c r="AG461" s="14"/>
      <c r="AH461" s="14"/>
      <c r="AI461" s="1052"/>
      <c r="AJ461" s="1663">
        <f>SUM(AJ362:AJ460)</f>
        <v>2417639402</v>
      </c>
      <c r="AK461" s="181">
        <f>SUM(AK362:AK460)</f>
        <v>15312304</v>
      </c>
      <c r="AL461" s="1872">
        <f>B361-AJ461</f>
        <v>0</v>
      </c>
    </row>
    <row r="462" spans="1:39" s="654" customFormat="1" ht="27.75" customHeight="1">
      <c r="A462" s="666" t="s">
        <v>85</v>
      </c>
      <c r="B462" s="1970">
        <f>126000000+8853333+5063300+339700</f>
        <v>140256333</v>
      </c>
      <c r="C462" s="1285" t="s">
        <v>36</v>
      </c>
      <c r="D462" s="1285" t="s">
        <v>832</v>
      </c>
      <c r="E462" s="1285" t="s">
        <v>1651</v>
      </c>
      <c r="F462" s="1285" t="s">
        <v>87</v>
      </c>
      <c r="G462" s="2138" t="s">
        <v>79</v>
      </c>
      <c r="H462" s="2164" t="s">
        <v>1645</v>
      </c>
      <c r="I462" s="1743"/>
      <c r="J462" s="1748">
        <v>0</v>
      </c>
      <c r="K462" s="1745"/>
      <c r="L462" s="1746"/>
      <c r="M462" s="1745"/>
      <c r="N462" s="1746"/>
      <c r="O462" s="1745"/>
      <c r="P462" s="1747"/>
      <c r="Q462" s="1744"/>
      <c r="R462" s="1745"/>
      <c r="S462" s="1745"/>
      <c r="T462" s="1745"/>
      <c r="U462" s="1745"/>
      <c r="V462" s="1745"/>
      <c r="W462" s="1745"/>
      <c r="X462" s="1745"/>
      <c r="Y462" s="1745"/>
      <c r="Z462" s="1745"/>
      <c r="AA462" s="1745"/>
      <c r="AB462" s="1835"/>
      <c r="AC462" s="1744"/>
      <c r="AD462" s="1835"/>
      <c r="AF462" s="1188"/>
      <c r="AG462" s="776"/>
      <c r="AH462" s="776"/>
      <c r="AI462" s="1315"/>
      <c r="AJ462" s="1745"/>
      <c r="AK462" s="778"/>
      <c r="AL462" s="845"/>
      <c r="AM462" s="1517"/>
    </row>
    <row r="463" spans="1:39" s="654" customFormat="1">
      <c r="A463" s="667" t="s">
        <v>85</v>
      </c>
      <c r="B463" s="1969">
        <f t="shared" ref="B463:B468" si="118">M463</f>
        <v>55600000</v>
      </c>
      <c r="C463" s="668" t="s">
        <v>36</v>
      </c>
      <c r="D463" s="668" t="s">
        <v>832</v>
      </c>
      <c r="E463" s="668" t="s">
        <v>1651</v>
      </c>
      <c r="F463" s="668" t="s">
        <v>87</v>
      </c>
      <c r="G463" s="2139" t="s">
        <v>79</v>
      </c>
      <c r="H463" s="2165" t="s">
        <v>1645</v>
      </c>
      <c r="I463" s="2142">
        <v>393</v>
      </c>
      <c r="J463" s="1754">
        <v>0</v>
      </c>
      <c r="K463" s="1610"/>
      <c r="L463" s="1652">
        <v>214</v>
      </c>
      <c r="M463" s="1659">
        <v>55600000</v>
      </c>
      <c r="N463" s="1593">
        <v>235</v>
      </c>
      <c r="O463" s="1604">
        <v>55600000</v>
      </c>
      <c r="P463" s="1756">
        <v>218</v>
      </c>
      <c r="Q463" s="1754"/>
      <c r="R463" s="1755"/>
      <c r="S463" s="1755">
        <v>4448000</v>
      </c>
      <c r="T463" s="1852">
        <v>5560000</v>
      </c>
      <c r="U463" s="1852">
        <v>5560000</v>
      </c>
      <c r="V463" s="1852">
        <v>5560000</v>
      </c>
      <c r="W463" s="1852">
        <v>5560000</v>
      </c>
      <c r="X463" s="1852">
        <v>5560000</v>
      </c>
      <c r="Y463" s="1852">
        <v>5560000</v>
      </c>
      <c r="Z463" s="1852">
        <v>5560000</v>
      </c>
      <c r="AA463" s="1852">
        <v>5560000</v>
      </c>
      <c r="AB463" s="1949">
        <f>5560000+1112000</f>
        <v>6672000</v>
      </c>
      <c r="AC463" s="1824">
        <f>SUM(Q463:AB463)</f>
        <v>55600000</v>
      </c>
      <c r="AD463" s="1825">
        <f>O463-AC463</f>
        <v>0</v>
      </c>
      <c r="AF463" s="848">
        <v>393</v>
      </c>
      <c r="AG463" s="1291" t="s">
        <v>178</v>
      </c>
      <c r="AH463" s="1059" t="s">
        <v>734</v>
      </c>
      <c r="AI463" s="1048">
        <f t="shared" ref="AI463:AI468" si="119">P463</f>
        <v>218</v>
      </c>
      <c r="AJ463" s="849">
        <v>55600000</v>
      </c>
      <c r="AK463" s="851">
        <f t="shared" ref="AK463:AK468" si="120">AJ463-O463</f>
        <v>0</v>
      </c>
      <c r="AL463" s="845"/>
      <c r="AM463" s="1518">
        <f t="shared" ref="AM463:AM468" si="121">AJ463-M463</f>
        <v>0</v>
      </c>
    </row>
    <row r="464" spans="1:39" s="654" customFormat="1">
      <c r="A464" s="667" t="s">
        <v>85</v>
      </c>
      <c r="B464" s="1969">
        <f t="shared" si="118"/>
        <v>4448000</v>
      </c>
      <c r="C464" s="668" t="s">
        <v>36</v>
      </c>
      <c r="D464" s="668" t="s">
        <v>832</v>
      </c>
      <c r="E464" s="668" t="s">
        <v>1651</v>
      </c>
      <c r="F464" s="668" t="s">
        <v>87</v>
      </c>
      <c r="G464" s="2139" t="s">
        <v>79</v>
      </c>
      <c r="H464" s="2166" t="s">
        <v>1645</v>
      </c>
      <c r="I464" s="1893" t="s">
        <v>325</v>
      </c>
      <c r="J464" s="1757">
        <v>744</v>
      </c>
      <c r="K464" s="1610">
        <v>5560000</v>
      </c>
      <c r="L464" s="1652">
        <v>856</v>
      </c>
      <c r="M464" s="1659">
        <f>5560000-1112000</f>
        <v>4448000</v>
      </c>
      <c r="N464" s="1593">
        <v>1029</v>
      </c>
      <c r="O464" s="1604">
        <v>4448000</v>
      </c>
      <c r="P464" s="1756">
        <v>218</v>
      </c>
      <c r="Q464" s="1754"/>
      <c r="R464" s="1755"/>
      <c r="S464" s="1755"/>
      <c r="T464" s="1852"/>
      <c r="U464" s="1852"/>
      <c r="V464" s="1852"/>
      <c r="W464" s="1852"/>
      <c r="X464" s="1852"/>
      <c r="Y464" s="1852"/>
      <c r="Z464" s="1852"/>
      <c r="AA464" s="1852"/>
      <c r="AB464" s="1949">
        <v>4448000</v>
      </c>
      <c r="AC464" s="1824">
        <f t="shared" ref="AC464:AC468" si="122">SUM(Q464:AB464)</f>
        <v>4448000</v>
      </c>
      <c r="AD464" s="1825">
        <f t="shared" ref="AD464:AD468" si="123">O464-AC464</f>
        <v>0</v>
      </c>
      <c r="AF464" s="848" t="s">
        <v>325</v>
      </c>
      <c r="AG464" s="1291" t="s">
        <v>1540</v>
      </c>
      <c r="AH464" s="1059" t="s">
        <v>734</v>
      </c>
      <c r="AI464" s="1048">
        <f t="shared" si="119"/>
        <v>218</v>
      </c>
      <c r="AJ464" s="849">
        <v>5560000</v>
      </c>
      <c r="AK464" s="851">
        <f t="shared" si="120"/>
        <v>1112000</v>
      </c>
      <c r="AL464" s="845"/>
      <c r="AM464" s="1518">
        <f t="shared" si="121"/>
        <v>1112000</v>
      </c>
    </row>
    <row r="465" spans="1:39" s="654" customFormat="1">
      <c r="A465" s="667" t="s">
        <v>85</v>
      </c>
      <c r="B465" s="1969">
        <f t="shared" si="118"/>
        <v>66400000</v>
      </c>
      <c r="C465" s="668" t="s">
        <v>36</v>
      </c>
      <c r="D465" s="668" t="s">
        <v>832</v>
      </c>
      <c r="E465" s="668" t="s">
        <v>1651</v>
      </c>
      <c r="F465" s="668" t="s">
        <v>87</v>
      </c>
      <c r="G465" s="2139" t="s">
        <v>79</v>
      </c>
      <c r="H465" s="2166" t="s">
        <v>1645</v>
      </c>
      <c r="I465" s="1893">
        <v>394</v>
      </c>
      <c r="J465" s="1757">
        <v>0</v>
      </c>
      <c r="K465" s="1610"/>
      <c r="L465" s="1652">
        <v>123</v>
      </c>
      <c r="M465" s="1659">
        <v>66400000</v>
      </c>
      <c r="N465" s="1593">
        <v>75</v>
      </c>
      <c r="O465" s="1604">
        <v>66400000</v>
      </c>
      <c r="P465" s="1655">
        <v>107</v>
      </c>
      <c r="Q465" s="1754"/>
      <c r="R465" s="1852">
        <v>2213333</v>
      </c>
      <c r="S465" s="1852">
        <f>VLOOKUP(N465,[9]Hoja2!N$2:T$77,7,0)</f>
        <v>6640000</v>
      </c>
      <c r="T465" s="1852">
        <v>6640000</v>
      </c>
      <c r="U465" s="1852">
        <v>6640000</v>
      </c>
      <c r="V465" s="1852">
        <v>6640000</v>
      </c>
      <c r="W465" s="1852">
        <v>6640000</v>
      </c>
      <c r="X465" s="1852">
        <v>6640000</v>
      </c>
      <c r="Y465" s="1852">
        <v>6640000</v>
      </c>
      <c r="Z465" s="1852">
        <v>6640000</v>
      </c>
      <c r="AA465" s="1852">
        <v>6640000</v>
      </c>
      <c r="AB465" s="1949">
        <v>4426667</v>
      </c>
      <c r="AC465" s="1824">
        <f t="shared" si="122"/>
        <v>66400000</v>
      </c>
      <c r="AD465" s="1825">
        <f t="shared" si="123"/>
        <v>0</v>
      </c>
      <c r="AF465" s="848">
        <v>394</v>
      </c>
      <c r="AG465" s="1291" t="s">
        <v>179</v>
      </c>
      <c r="AH465" s="1059" t="s">
        <v>553</v>
      </c>
      <c r="AI465" s="1048">
        <f t="shared" si="119"/>
        <v>107</v>
      </c>
      <c r="AJ465" s="849">
        <v>66400000</v>
      </c>
      <c r="AK465" s="851">
        <f t="shared" si="120"/>
        <v>0</v>
      </c>
      <c r="AL465" s="845"/>
      <c r="AM465" s="1518">
        <f t="shared" si="121"/>
        <v>0</v>
      </c>
    </row>
    <row r="466" spans="1:39" s="654" customFormat="1">
      <c r="A466" s="667" t="s">
        <v>85</v>
      </c>
      <c r="B466" s="1969">
        <f t="shared" si="118"/>
        <v>8853333</v>
      </c>
      <c r="C466" s="668" t="s">
        <v>36</v>
      </c>
      <c r="D466" s="668" t="s">
        <v>832</v>
      </c>
      <c r="E466" s="668" t="s">
        <v>1651</v>
      </c>
      <c r="F466" s="668" t="s">
        <v>87</v>
      </c>
      <c r="G466" s="2139" t="s">
        <v>79</v>
      </c>
      <c r="H466" s="2166" t="s">
        <v>1645</v>
      </c>
      <c r="I466" s="1893" t="s">
        <v>325</v>
      </c>
      <c r="J466" s="1757">
        <v>715</v>
      </c>
      <c r="K466" s="1610">
        <v>8853333</v>
      </c>
      <c r="L466" s="1652">
        <v>811</v>
      </c>
      <c r="M466" s="1659">
        <v>8853333</v>
      </c>
      <c r="N466" s="1593">
        <v>980</v>
      </c>
      <c r="O466" s="1604">
        <v>8853333</v>
      </c>
      <c r="P466" s="1655">
        <v>107</v>
      </c>
      <c r="Q466" s="1754"/>
      <c r="R466" s="1852"/>
      <c r="S466" s="1852"/>
      <c r="T466" s="1852"/>
      <c r="U466" s="1852"/>
      <c r="V466" s="1852"/>
      <c r="W466" s="1852"/>
      <c r="X466" s="1852"/>
      <c r="Y466" s="1852"/>
      <c r="Z466" s="1852"/>
      <c r="AA466" s="1852"/>
      <c r="AB466" s="1949">
        <f>2213333+6640000</f>
        <v>8853333</v>
      </c>
      <c r="AC466" s="1824">
        <f t="shared" si="122"/>
        <v>8853333</v>
      </c>
      <c r="AD466" s="1825">
        <f t="shared" si="123"/>
        <v>0</v>
      </c>
      <c r="AF466" s="848" t="s">
        <v>325</v>
      </c>
      <c r="AG466" s="1291" t="s">
        <v>1404</v>
      </c>
      <c r="AH466" s="1059" t="s">
        <v>553</v>
      </c>
      <c r="AI466" s="1048">
        <f t="shared" si="119"/>
        <v>107</v>
      </c>
      <c r="AJ466" s="849">
        <v>8853333</v>
      </c>
      <c r="AK466" s="851">
        <f t="shared" si="120"/>
        <v>0</v>
      </c>
      <c r="AL466" s="845"/>
      <c r="AM466" s="1518">
        <f t="shared" si="121"/>
        <v>0</v>
      </c>
    </row>
    <row r="467" spans="1:39" s="654" customFormat="1" ht="15">
      <c r="A467" s="667" t="s">
        <v>85</v>
      </c>
      <c r="B467" s="1969">
        <f t="shared" si="118"/>
        <v>3843000</v>
      </c>
      <c r="C467" s="668" t="s">
        <v>36</v>
      </c>
      <c r="D467" s="668" t="s">
        <v>832</v>
      </c>
      <c r="E467" s="668" t="s">
        <v>1651</v>
      </c>
      <c r="F467" s="668" t="s">
        <v>87</v>
      </c>
      <c r="G467" s="2139" t="s">
        <v>79</v>
      </c>
      <c r="H467" s="2166" t="s">
        <v>1645</v>
      </c>
      <c r="I467" s="2142" t="s">
        <v>739</v>
      </c>
      <c r="J467" s="1314" t="s">
        <v>1588</v>
      </c>
      <c r="K467" s="1610">
        <f>137200+308800+339700+339700+339700+339700+339700+339700+339700+339700+339700+339700</f>
        <v>3843000</v>
      </c>
      <c r="L467" s="1658" t="s">
        <v>1570</v>
      </c>
      <c r="M467" s="1610">
        <f>137200+308800+339700+339700+339700+339700+339700+339700+339700+339700+339700+339700</f>
        <v>3843000</v>
      </c>
      <c r="N467" s="1671" t="s">
        <v>1602</v>
      </c>
      <c r="O467" s="1610">
        <f>137200+308800+339700+339700+339700+339700+339700+339700+339700+339700+339700+339700</f>
        <v>3843000</v>
      </c>
      <c r="P467" s="1756" t="s">
        <v>739</v>
      </c>
      <c r="Q467" s="1754"/>
      <c r="R467" s="1659">
        <v>137200</v>
      </c>
      <c r="S467" s="1852">
        <v>308800</v>
      </c>
      <c r="T467" s="1852">
        <v>339700</v>
      </c>
      <c r="U467" s="1852">
        <v>339700</v>
      </c>
      <c r="V467" s="1852">
        <v>339700</v>
      </c>
      <c r="W467" s="1852">
        <v>339700</v>
      </c>
      <c r="X467" s="1852">
        <v>339700</v>
      </c>
      <c r="Y467" s="1852">
        <v>339700</v>
      </c>
      <c r="Z467" s="1852">
        <v>339700</v>
      </c>
      <c r="AA467" s="1852">
        <v>339700</v>
      </c>
      <c r="AB467" s="1949">
        <f>339700+339700</f>
        <v>679400</v>
      </c>
      <c r="AC467" s="1824">
        <f t="shared" si="122"/>
        <v>3843000</v>
      </c>
      <c r="AD467" s="1825">
        <f t="shared" si="123"/>
        <v>0</v>
      </c>
      <c r="AF467" s="848" t="s">
        <v>325</v>
      </c>
      <c r="AG467" s="1291" t="s">
        <v>180</v>
      </c>
      <c r="AH467" s="1060" t="s">
        <v>173</v>
      </c>
      <c r="AI467" s="1048" t="str">
        <f t="shared" si="119"/>
        <v>ARL</v>
      </c>
      <c r="AJ467" s="849">
        <f>4000000-496700+339700</f>
        <v>3843000</v>
      </c>
      <c r="AK467" s="851">
        <f t="shared" si="120"/>
        <v>0</v>
      </c>
      <c r="AL467" s="845"/>
      <c r="AM467" s="1518">
        <f t="shared" si="121"/>
        <v>0</v>
      </c>
    </row>
    <row r="468" spans="1:39" s="633" customFormat="1" ht="15">
      <c r="A468" s="667" t="s">
        <v>85</v>
      </c>
      <c r="B468" s="1969">
        <f t="shared" si="118"/>
        <v>0</v>
      </c>
      <c r="C468" s="668" t="s">
        <v>36</v>
      </c>
      <c r="D468" s="668" t="s">
        <v>832</v>
      </c>
      <c r="E468" s="668" t="s">
        <v>1651</v>
      </c>
      <c r="F468" s="668" t="s">
        <v>87</v>
      </c>
      <c r="G468" s="2139" t="s">
        <v>79</v>
      </c>
      <c r="H468" s="2166" t="s">
        <v>1645</v>
      </c>
      <c r="I468" s="1758" t="s">
        <v>173</v>
      </c>
      <c r="J468" s="1716">
        <v>0</v>
      </c>
      <c r="K468" s="1610"/>
      <c r="L468" s="1658"/>
      <c r="M468" s="1653"/>
      <c r="N468" s="1658"/>
      <c r="O468" s="1752"/>
      <c r="P468" s="1655"/>
      <c r="Q468" s="1851"/>
      <c r="R468" s="1852"/>
      <c r="S468" s="1852"/>
      <c r="T468" s="1852"/>
      <c r="U468" s="1852"/>
      <c r="V468" s="1852"/>
      <c r="W468" s="1852"/>
      <c r="X468" s="1852"/>
      <c r="Y468" s="1852"/>
      <c r="Z468" s="1852"/>
      <c r="AA468" s="1852"/>
      <c r="AB468" s="1853"/>
      <c r="AC468" s="1824">
        <f t="shared" si="122"/>
        <v>0</v>
      </c>
      <c r="AD468" s="1825">
        <f t="shared" si="123"/>
        <v>0</v>
      </c>
      <c r="AF468" s="848"/>
      <c r="AG468" s="1291"/>
      <c r="AH468" s="1059"/>
      <c r="AI468" s="1048">
        <f t="shared" si="119"/>
        <v>0</v>
      </c>
      <c r="AJ468" s="849"/>
      <c r="AK468" s="851">
        <f t="shared" si="120"/>
        <v>0</v>
      </c>
      <c r="AL468" s="845"/>
      <c r="AM468" s="1518">
        <f t="shared" si="121"/>
        <v>0</v>
      </c>
    </row>
    <row r="469" spans="1:39" s="633" customFormat="1" ht="15">
      <c r="A469" s="669" t="s">
        <v>80</v>
      </c>
      <c r="B469" s="1663">
        <f>B462-SUM(B463:B468)</f>
        <v>1112000</v>
      </c>
      <c r="C469" s="56"/>
      <c r="D469" s="56"/>
      <c r="E469" s="56"/>
      <c r="F469" s="56"/>
      <c r="G469" s="56"/>
      <c r="H469" s="2144"/>
      <c r="I469" s="1753"/>
      <c r="J469" s="1678"/>
      <c r="K469" s="1679"/>
      <c r="L469" s="1680"/>
      <c r="M469" s="1681">
        <f>SUM(M463:M468)</f>
        <v>139144333</v>
      </c>
      <c r="N469" s="1589"/>
      <c r="O469" s="1681">
        <f>SUM(O463:O468)</f>
        <v>139144333</v>
      </c>
      <c r="P469" s="1719"/>
      <c r="Q469" s="1679">
        <f>SUM(Q463:Q468)</f>
        <v>0</v>
      </c>
      <c r="R469" s="1679">
        <f>SUM(R463:R468)</f>
        <v>2350533</v>
      </c>
      <c r="S469" s="1679">
        <f t="shared" ref="S469:AD469" si="124">SUM(S463:S468)</f>
        <v>11396800</v>
      </c>
      <c r="T469" s="1679">
        <f t="shared" si="124"/>
        <v>12539700</v>
      </c>
      <c r="U469" s="1679">
        <f>SUM(U463:U468)</f>
        <v>12539700</v>
      </c>
      <c r="V469" s="1679">
        <f t="shared" si="124"/>
        <v>12539700</v>
      </c>
      <c r="W469" s="1679">
        <f t="shared" si="124"/>
        <v>12539700</v>
      </c>
      <c r="X469" s="1679">
        <f>SUM(X463:X468)</f>
        <v>12539700</v>
      </c>
      <c r="Y469" s="1679">
        <f t="shared" si="124"/>
        <v>12539700</v>
      </c>
      <c r="Z469" s="1679">
        <f t="shared" si="124"/>
        <v>12539700</v>
      </c>
      <c r="AA469" s="1679">
        <f t="shared" si="124"/>
        <v>12539700</v>
      </c>
      <c r="AB469" s="1834">
        <f>SUM(AB463:AB468)</f>
        <v>25079400</v>
      </c>
      <c r="AC469" s="1679">
        <f t="shared" si="124"/>
        <v>139144333</v>
      </c>
      <c r="AD469" s="1679">
        <f t="shared" si="124"/>
        <v>0</v>
      </c>
      <c r="AF469" s="852"/>
      <c r="AG469" s="14"/>
      <c r="AH469" s="14"/>
      <c r="AI469" s="1052"/>
      <c r="AJ469" s="1663">
        <f>SUM(AJ463:AJ468)</f>
        <v>140256333</v>
      </c>
      <c r="AK469" s="181">
        <f>SUM(AK463:AK468)</f>
        <v>1112000</v>
      </c>
      <c r="AL469" s="1872">
        <f>B462-AJ469</f>
        <v>0</v>
      </c>
    </row>
    <row r="470" spans="1:39" s="633" customFormat="1" ht="34.5" customHeight="1">
      <c r="A470" s="769" t="s">
        <v>149</v>
      </c>
      <c r="B470" s="1973">
        <v>38000000</v>
      </c>
      <c r="C470" s="770" t="s">
        <v>150</v>
      </c>
      <c r="D470" s="771" t="s">
        <v>830</v>
      </c>
      <c r="E470" s="855" t="s">
        <v>1651</v>
      </c>
      <c r="F470" s="771" t="s">
        <v>1652</v>
      </c>
      <c r="G470" s="771" t="s">
        <v>79</v>
      </c>
      <c r="H470" s="2167" t="s">
        <v>1643</v>
      </c>
      <c r="I470" s="1759"/>
      <c r="J470" s="1760"/>
      <c r="K470" s="1761"/>
      <c r="L470" s="1762"/>
      <c r="M470" s="1763"/>
      <c r="N470" s="1762"/>
      <c r="O470" s="1763"/>
      <c r="P470" s="1764"/>
      <c r="Q470" s="1762"/>
      <c r="R470" s="1762"/>
      <c r="S470" s="1762"/>
      <c r="T470" s="1762"/>
      <c r="U470" s="1762"/>
      <c r="V470" s="1762"/>
      <c r="W470" s="1762"/>
      <c r="X470" s="1762"/>
      <c r="Y470" s="1762"/>
      <c r="Z470" s="1762"/>
      <c r="AA470" s="1762"/>
      <c r="AB470" s="1764"/>
      <c r="AC470" s="1837">
        <f>SUM(Q470:AB470)</f>
        <v>0</v>
      </c>
      <c r="AD470" s="1762">
        <f>O470-AC470</f>
        <v>0</v>
      </c>
      <c r="AF470" s="1019"/>
      <c r="AG470" s="1320"/>
      <c r="AH470" s="1061"/>
      <c r="AI470" s="1049"/>
      <c r="AJ470" s="1020"/>
      <c r="AK470" s="1021"/>
      <c r="AL470" s="845"/>
    </row>
    <row r="471" spans="1:39" s="633" customFormat="1" ht="15">
      <c r="A471" s="856" t="s">
        <v>149</v>
      </c>
      <c r="B471" s="1677"/>
      <c r="C471" s="774" t="s">
        <v>150</v>
      </c>
      <c r="D471" s="775" t="s">
        <v>830</v>
      </c>
      <c r="E471" s="775" t="s">
        <v>1651</v>
      </c>
      <c r="F471" s="775" t="s">
        <v>1652</v>
      </c>
      <c r="G471" s="775" t="s">
        <v>79</v>
      </c>
      <c r="H471" s="2168" t="s">
        <v>1643</v>
      </c>
      <c r="I471" s="2142" t="s">
        <v>325</v>
      </c>
      <c r="J471" s="1720">
        <v>0</v>
      </c>
      <c r="K471" s="1721">
        <v>38000000</v>
      </c>
      <c r="L471" s="1921">
        <v>838</v>
      </c>
      <c r="M471" s="1922">
        <f>38000000-1172551</f>
        <v>36827449</v>
      </c>
      <c r="N471" s="1921">
        <v>1066</v>
      </c>
      <c r="O471" s="1922">
        <v>36827449</v>
      </c>
      <c r="P471" s="1724" t="s">
        <v>1597</v>
      </c>
      <c r="Q471" s="1675"/>
      <c r="R471" s="1677"/>
      <c r="S471" s="1677"/>
      <c r="T471" s="1677"/>
      <c r="U471" s="1677"/>
      <c r="V471" s="1677"/>
      <c r="W471" s="1677"/>
      <c r="X471" s="1677"/>
      <c r="Y471" s="1677"/>
      <c r="Z471" s="1677"/>
      <c r="AA471" s="1677"/>
      <c r="AB471" s="1949">
        <v>36827449</v>
      </c>
      <c r="AC471" s="1824">
        <f>SUM(Q471:AB471)</f>
        <v>36827449</v>
      </c>
      <c r="AD471" s="1825">
        <f>O471-AC471</f>
        <v>0</v>
      </c>
      <c r="AF471" s="848" t="s">
        <v>325</v>
      </c>
      <c r="AG471" s="1291" t="s">
        <v>468</v>
      </c>
      <c r="AH471" s="1059" t="s">
        <v>173</v>
      </c>
      <c r="AI471" s="1048" t="str">
        <f>P471</f>
        <v>363-2017</v>
      </c>
      <c r="AJ471" s="849">
        <v>38000000</v>
      </c>
      <c r="AK471" s="851">
        <f>AJ471-O471</f>
        <v>1172551</v>
      </c>
      <c r="AL471" s="845"/>
      <c r="AM471" s="1518">
        <f>AJ471-M471</f>
        <v>1172551</v>
      </c>
    </row>
    <row r="472" spans="1:39" s="633" customFormat="1" ht="15">
      <c r="A472" s="669"/>
      <c r="B472" s="1663">
        <f>B470-SUM(B471:B471)</f>
        <v>38000000</v>
      </c>
      <c r="C472" s="56"/>
      <c r="D472" s="56"/>
      <c r="E472" s="56"/>
      <c r="F472" s="56"/>
      <c r="G472" s="56"/>
      <c r="H472" s="2169"/>
      <c r="I472" s="1753"/>
      <c r="J472" s="1678"/>
      <c r="K472" s="1679"/>
      <c r="L472" s="1680"/>
      <c r="M472" s="1681">
        <f>SUM(M471:M471)</f>
        <v>36827449</v>
      </c>
      <c r="N472" s="1589"/>
      <c r="O472" s="1681">
        <f>SUM(O471:O471)</f>
        <v>36827449</v>
      </c>
      <c r="P472" s="1719"/>
      <c r="Q472" s="1681">
        <f t="shared" ref="Q472:AD472" si="125">SUM(Q471:Q471)</f>
        <v>0</v>
      </c>
      <c r="R472" s="1681">
        <f t="shared" si="125"/>
        <v>0</v>
      </c>
      <c r="S472" s="1681">
        <f t="shared" si="125"/>
        <v>0</v>
      </c>
      <c r="T472" s="1681">
        <f t="shared" si="125"/>
        <v>0</v>
      </c>
      <c r="U472" s="1681">
        <f t="shared" si="125"/>
        <v>0</v>
      </c>
      <c r="V472" s="1681">
        <f t="shared" si="125"/>
        <v>0</v>
      </c>
      <c r="W472" s="1681">
        <f t="shared" si="125"/>
        <v>0</v>
      </c>
      <c r="X472" s="1681">
        <f t="shared" si="125"/>
        <v>0</v>
      </c>
      <c r="Y472" s="1681">
        <f t="shared" si="125"/>
        <v>0</v>
      </c>
      <c r="Z472" s="1681">
        <f t="shared" si="125"/>
        <v>0</v>
      </c>
      <c r="AA472" s="1681">
        <f t="shared" si="125"/>
        <v>0</v>
      </c>
      <c r="AB472" s="1834">
        <f t="shared" si="125"/>
        <v>36827449</v>
      </c>
      <c r="AC472" s="1679">
        <f t="shared" si="125"/>
        <v>36827449</v>
      </c>
      <c r="AD472" s="1834">
        <f t="shared" si="125"/>
        <v>0</v>
      </c>
      <c r="AF472" s="852"/>
      <c r="AG472" s="14"/>
      <c r="AH472" s="14"/>
      <c r="AI472" s="1052"/>
      <c r="AJ472" s="1663">
        <f>SUM(AJ471:AJ471)</f>
        <v>38000000</v>
      </c>
      <c r="AK472" s="181">
        <f>SUM(AK471:AK471)</f>
        <v>1172551</v>
      </c>
      <c r="AL472" s="845">
        <f>B470-AJ472</f>
        <v>0</v>
      </c>
    </row>
    <row r="473" spans="1:39" s="633" customFormat="1" ht="15">
      <c r="A473" s="670"/>
      <c r="B473" s="1974"/>
      <c r="C473" s="671"/>
      <c r="D473" s="671"/>
      <c r="E473" s="671"/>
      <c r="F473" s="671"/>
      <c r="G473" s="671"/>
      <c r="H473" s="2131"/>
      <c r="I473" s="1666"/>
      <c r="J473" s="1674"/>
      <c r="K473" s="1675"/>
      <c r="L473" s="1676"/>
      <c r="M473" s="1723"/>
      <c r="N473" s="1722"/>
      <c r="O473" s="1735"/>
      <c r="P473" s="1765"/>
      <c r="Q473" s="1838"/>
      <c r="R473" s="1858"/>
      <c r="S473" s="1858"/>
      <c r="T473" s="1858"/>
      <c r="U473" s="1858"/>
      <c r="V473" s="1858"/>
      <c r="W473" s="1858"/>
      <c r="X473" s="1858"/>
      <c r="Y473" s="1858"/>
      <c r="Z473" s="1858"/>
      <c r="AA473" s="1858"/>
      <c r="AB473" s="1839"/>
      <c r="AC473" s="1838"/>
      <c r="AD473" s="1839"/>
      <c r="AF473" s="848"/>
      <c r="AG473" s="1291"/>
      <c r="AH473" s="1059"/>
      <c r="AI473" s="1048"/>
      <c r="AJ473" s="849"/>
      <c r="AK473" s="850"/>
      <c r="AL473" s="845"/>
    </row>
    <row r="474" spans="1:39" s="633" customFormat="1" ht="18.75" customHeight="1" thickBot="1">
      <c r="A474" s="647" t="s">
        <v>170</v>
      </c>
      <c r="B474" s="1681">
        <f>B17+B213+B280+B360+B470</f>
        <v>20779459021</v>
      </c>
      <c r="C474" s="649"/>
      <c r="D474" s="649"/>
      <c r="E474" s="649"/>
      <c r="F474" s="649"/>
      <c r="G474" s="2140"/>
      <c r="H474" s="2130"/>
      <c r="I474" s="1753"/>
      <c r="J474" s="1678"/>
      <c r="K474" s="1679"/>
      <c r="L474" s="1680"/>
      <c r="M474" s="1681">
        <f>M24+M34+M38+M42+M46+M50+M54+M58+M67+M70+M73+M76+M79+M82+M85+M88+M91+M98+M106+M115+M122+M127+M132+M135+M141+M146+M153+M212+M270+M275+M279+M284+M333+M339+M348+M351+M355+M359+M461+M469+M472</f>
        <v>20487046049</v>
      </c>
      <c r="N474" s="1680"/>
      <c r="O474" s="1681">
        <f>O24+O34+O38+O42+O46+O50+O54+O58+O67+O70+O73+O76+O79+O82+O85+O88+O91+O98+O106+O115+O122+O127+O132+O135+O141+O146+O153+O212+O270+O275+O279+O284+O333+O339+O348+O351+O355+O359+O461+O469+O472</f>
        <v>20487046049</v>
      </c>
      <c r="P474" s="1719"/>
      <c r="Q474" s="1681">
        <f t="shared" ref="Q474:Y474" si="126">Q24+Q34+Q38+Q42+Q46+Q50+Q54+Q58+Q67+Q70+Q73+Q76+Q79+Q82+Q85+Q88+Q91+Q98+Q106+Q115+Q122+Q127+Q132+Q135+Q141+Q146+Q153+Q212+Q270+Q275+Q279+Q284+Q333+Q339+Q348+Q351+Q355+Q461+Q469+Q472</f>
        <v>0</v>
      </c>
      <c r="R474" s="1681">
        <f t="shared" si="126"/>
        <v>79967116</v>
      </c>
      <c r="S474" s="1681">
        <f t="shared" si="126"/>
        <v>352310827</v>
      </c>
      <c r="T474" s="1681">
        <f t="shared" si="126"/>
        <v>451030378</v>
      </c>
      <c r="U474" s="1681">
        <f t="shared" si="126"/>
        <v>444427265</v>
      </c>
      <c r="V474" s="1681">
        <f t="shared" si="126"/>
        <v>664928857</v>
      </c>
      <c r="W474" s="1681">
        <f t="shared" si="126"/>
        <v>669229688</v>
      </c>
      <c r="X474" s="1681">
        <f t="shared" si="126"/>
        <v>2199122046</v>
      </c>
      <c r="Y474" s="1681">
        <f t="shared" si="126"/>
        <v>1237151230</v>
      </c>
      <c r="Z474" s="1681">
        <f>Z24+Z34+Z38+Z42+Z46+Z50+Z54+Z58+Z67+Z70+Z73+Z76+Z79+Z82+Z85+Z88+Z91+Z98+Z106+Z115+Z122+Z127+Z132+Z135+Z141+Z146+Z153+Z212+Z270+Z275+Z279+Z284+Z333+Z339+Z348+Z351+Z355+Z359+Z461+Z469+Z472</f>
        <v>1838442966</v>
      </c>
      <c r="AA474" s="1681">
        <f>AA24+AA34+AA38+AA42+AA46+AA50+AA54+AA58+AA67+AA70+AA73+AA76+AA79+AA82+AA85+AA88+AA91+AA98+AA106+AA115+AA122+AA127+AA132+AA135+AA141+AA146+AA153+AA212+AA270+AA275+AA279+AA284+AA333+AA339+AA348+AA351+AA355+AA359+AA461+AA469+AA472</f>
        <v>1296238778</v>
      </c>
      <c r="AB474" s="1681">
        <f>AB24+AB34+AB38+AB42+AB46+AB50+AB54+AB58+AB67+AB70+AB73+AB76+AB79+AB82+AB85+AB88+AB91+AB98+AB106+AB115+AB122+AB127+AB132+AB135+AB141+AB146+AB153+AB212+AB270+AB275+AB279+AB284+AB333+AB339+AB348+AB351+AB355+AB359+AB461+AB469+AB472</f>
        <v>2392609981</v>
      </c>
      <c r="AC474" s="1681">
        <f>AC24+AC34+AC38+AC42+AC46+AC50+AC54+AC58+AC67+AC70+AC73+AC76+AC79+AC82+AC85+AC88+AC91+AC98+AC106+AC115+AC122+AC127+AC132+AC135+AC141+AC146+AC153+AC212+AC270+AC275+AC279+AC284+AC333+AC339+AC348+AC351+AC355+AC359+AC461+AC469+AC472</f>
        <v>11625459132</v>
      </c>
      <c r="AD474" s="1681">
        <f>AD24+AD34+AD38+AD42+AD46+AD50+AD54+AD58+AD67+AD70+AD73+AD76+AD79+AD82+AD85+AD88+AD91+AD98+AD106+AD115+AD122+AD127+AD132+AD135+AD141+AD146+AD153+AD212+AD270+AD275+AD279+AD284+AD333+AD339+AD348+AD351+AD355+AD359+AD461+AD469+AD472</f>
        <v>8861586917</v>
      </c>
      <c r="AF474" s="854"/>
      <c r="AG474" s="1321"/>
      <c r="AH474" s="1062"/>
      <c r="AI474" s="1050"/>
      <c r="AJ474" s="2014">
        <f>AJ24+AJ34+AJ38+AJ42+AJ46+AJ50+AJ54+AJ58+AJ67+AJ70+AJ73+AJ76+AJ79+AJ82+AJ85+AJ88+AJ91+AJ98+AJ106+AJ115+AJ122+AJ127+AJ132+AJ135+AJ141+AJ146+AJ153+AJ212+AJ270+AJ275+AJ279+AJ284+AJ333+AJ339+AJ348+AJ351+AJ355+AJ359+AJ461+AJ469+AJ472</f>
        <v>20779459021.23119</v>
      </c>
      <c r="AK474" s="2014">
        <f>AK24+AK34+AK38+AK42+AK46+AK50+AK54+AK58+AK67+AK70+AK73+AK76+AK79+AK82+AK85+AK88+AK91+AK98+AK106+AK115+AK122+AK127+AK132+AK135+AK141+AK146+AK153+AK212+AK270+AK275+AK279+AK284+AK333+AK339+AK348+AK351+AK355+AK359+AK461+AK469+AK472</f>
        <v>292412972.23119044</v>
      </c>
      <c r="AL474" s="1872">
        <f>AL24+AL34+AL38+AL42+AL46+AL50+AL54+AL58+AL67+AL70+AL73+AL76+AL79+AL82+AL85+AL88+AL91+AL98+AL106+AL115+AL122+AL127+AL132+AL135+AL141+AL146+AL153+AL212+AL270+AL275+AL279+AL284+AL333+AL339+AL348+AL351+AL355+AL359+AL461+AL469+AL472</f>
        <v>-0.2311905175447464</v>
      </c>
      <c r="AM474" s="1182">
        <f>AM24+AM34+AM38+AM42+AM46+AM50+AM54+AM58+AM67+AM70+AM73+AM76+AM79+AM85+AM88+AM91+AM98+AM106+AM115+AM122+AM127+AM132+AM135+AM141+AM146+AM153+AM212+AM270+AM275+AM279+AM284+AM333+AM339+AM348+AM351+AM355+AM461+AM469+AM472</f>
        <v>0</v>
      </c>
    </row>
    <row r="475" spans="1:39" s="673" customFormat="1" ht="15">
      <c r="A475" s="1474"/>
      <c r="B475" s="1768">
        <f>B479-B474</f>
        <v>0</v>
      </c>
      <c r="C475" s="1474"/>
      <c r="D475" s="1474"/>
      <c r="E475" s="1474"/>
      <c r="F475" s="1474"/>
      <c r="G475" s="1474"/>
      <c r="H475" s="1474"/>
      <c r="I475" s="1766"/>
      <c r="J475" s="1767"/>
      <c r="K475" s="1768"/>
      <c r="L475" s="1766"/>
      <c r="M475" s="1768"/>
      <c r="N475" s="1766"/>
      <c r="O475" s="1769"/>
      <c r="P475" s="1770"/>
      <c r="Q475" s="1840"/>
      <c r="R475" s="1840"/>
      <c r="S475" s="1840"/>
      <c r="T475" s="1840"/>
      <c r="U475" s="1840"/>
      <c r="V475" s="1840"/>
      <c r="W475" s="1840"/>
      <c r="X475" s="1840"/>
      <c r="Y475" s="1840"/>
      <c r="Z475" s="1840"/>
      <c r="AA475" s="1840"/>
      <c r="AB475" s="1840"/>
      <c r="AC475" s="1840"/>
      <c r="AD475" s="1840"/>
      <c r="AF475" s="784"/>
      <c r="AG475" s="1322"/>
      <c r="AH475" s="1063"/>
      <c r="AI475" s="1051"/>
      <c r="AJ475" s="1414">
        <f>B474-AJ474</f>
        <v>-0.23118972778320313</v>
      </c>
      <c r="AK475" s="785"/>
      <c r="AL475" s="845"/>
    </row>
    <row r="476" spans="1:39" s="673" customFormat="1" ht="15">
      <c r="A476" s="1475"/>
      <c r="B476" s="1768"/>
      <c r="C476" s="1474"/>
      <c r="D476" s="1474"/>
      <c r="E476" s="1474"/>
      <c r="F476" s="1474"/>
      <c r="G476" s="1474"/>
      <c r="H476" s="1474"/>
      <c r="I476" s="1766"/>
      <c r="J476" s="1767"/>
      <c r="K476" s="1768"/>
      <c r="L476" s="1766"/>
      <c r="M476" s="1768"/>
      <c r="N476" s="1766"/>
      <c r="O476" s="1769"/>
      <c r="P476" s="1770"/>
      <c r="Q476" s="1840"/>
      <c r="R476" s="1840"/>
      <c r="S476" s="1840"/>
      <c r="T476" s="1840"/>
      <c r="U476" s="1840"/>
      <c r="V476" s="1840"/>
      <c r="W476" s="1840"/>
      <c r="X476" s="1840"/>
      <c r="Y476" s="1840"/>
      <c r="Z476" s="1840"/>
      <c r="AA476" s="1840"/>
      <c r="AB476" s="1840"/>
      <c r="AC476" s="1840"/>
      <c r="AD476" s="1841"/>
      <c r="AE476" s="1492"/>
      <c r="AF476" s="1493"/>
      <c r="AG476" s="1494"/>
      <c r="AH476" s="1495"/>
      <c r="AI476" s="1496"/>
      <c r="AJ476" s="1497"/>
      <c r="AK476" s="1498"/>
      <c r="AL476" s="1916"/>
    </row>
    <row r="477" spans="1:39" ht="15">
      <c r="A477" s="1476" t="s">
        <v>30</v>
      </c>
      <c r="B477" s="1975" t="s">
        <v>12</v>
      </c>
      <c r="C477" s="1474"/>
      <c r="D477" s="1474"/>
      <c r="E477" s="1474"/>
      <c r="F477" s="1477"/>
      <c r="G477" s="1477"/>
      <c r="H477" s="1477"/>
      <c r="I477" s="1771"/>
      <c r="J477" s="1772"/>
      <c r="K477" s="1773"/>
      <c r="L477" s="1771"/>
      <c r="M477" s="1773"/>
      <c r="N477" s="1771"/>
      <c r="O477" s="1774"/>
      <c r="P477" s="1775"/>
      <c r="Q477" s="1842"/>
      <c r="R477" s="1842"/>
      <c r="S477" s="1842"/>
      <c r="T477" s="1842"/>
      <c r="U477" s="1842"/>
      <c r="V477" s="1842"/>
      <c r="W477" s="1842"/>
      <c r="X477" s="1842"/>
      <c r="Y477" s="1842"/>
      <c r="Z477" s="1842"/>
      <c r="AA477" s="1842"/>
      <c r="AB477" s="1842"/>
      <c r="AC477" s="1842"/>
      <c r="AD477" s="1843"/>
      <c r="AE477" s="1499"/>
      <c r="AF477" s="1500"/>
      <c r="AG477" s="1501"/>
      <c r="AH477" s="1502"/>
      <c r="AI477" s="1503"/>
      <c r="AJ477" s="1504"/>
      <c r="AK477" s="1505"/>
      <c r="AL477" s="1916"/>
    </row>
    <row r="478" spans="1:39" ht="20.25" customHeight="1">
      <c r="A478" s="1475"/>
      <c r="B478" s="1768"/>
      <c r="C478" s="1474"/>
      <c r="D478" s="1474"/>
      <c r="E478" s="1474"/>
      <c r="F478" s="1477"/>
      <c r="G478" s="1477"/>
      <c r="H478" s="1477"/>
      <c r="I478" s="1771"/>
      <c r="J478" s="1776"/>
      <c r="K478" s="1777"/>
      <c r="L478" s="1778"/>
      <c r="M478" s="1779" t="s">
        <v>17</v>
      </c>
      <c r="N478" s="1780" t="s">
        <v>18</v>
      </c>
      <c r="O478" s="1779" t="s">
        <v>130</v>
      </c>
      <c r="P478" s="1781" t="s">
        <v>136</v>
      </c>
      <c r="Q478" s="1844">
        <v>0</v>
      </c>
      <c r="R478" s="1844">
        <v>79967116</v>
      </c>
      <c r="S478" s="1844">
        <v>352310827</v>
      </c>
      <c r="T478" s="1844">
        <v>451030378</v>
      </c>
      <c r="U478" s="1844">
        <v>444427265</v>
      </c>
      <c r="V478" s="1844">
        <v>664928857</v>
      </c>
      <c r="W478" s="1844">
        <v>669229688</v>
      </c>
      <c r="X478" s="1844">
        <v>2199122046</v>
      </c>
      <c r="Y478" s="1844">
        <v>1237151230</v>
      </c>
      <c r="Z478" s="1844">
        <v>1838442966</v>
      </c>
      <c r="AA478" s="1844">
        <v>1296238778</v>
      </c>
      <c r="AB478" s="1844">
        <v>2392609981</v>
      </c>
      <c r="AC478" s="1844">
        <f>SUM(Q478:AB478)</f>
        <v>11625459132</v>
      </c>
      <c r="AD478" s="1845">
        <f>O474-AC478</f>
        <v>8861586917</v>
      </c>
      <c r="AE478" s="1499"/>
      <c r="AF478" s="1500"/>
      <c r="AG478" s="1501"/>
      <c r="AH478" s="1502"/>
      <c r="AI478" s="1503"/>
      <c r="AJ478" s="1504"/>
      <c r="AK478" s="1505"/>
      <c r="AL478" s="1916"/>
    </row>
    <row r="479" spans="1:39" ht="27" customHeight="1">
      <c r="A479" s="1478" t="s">
        <v>31</v>
      </c>
      <c r="B479" s="1785">
        <f>B18+B26+B35+B39+B43+B47+B51+B55+B60+B68+B71+B74+B77+B80+B83+B86+B89+B92+B99+B107+B116+B123+B128+B133+B136+B142+B147+B154+B214+B271+B276+B281+B285+B334+B340+B349+B352+B356+B361+B462+B470</f>
        <v>20779459021</v>
      </c>
      <c r="C479" s="1479"/>
      <c r="D479" s="1474"/>
      <c r="E479" s="1474"/>
      <c r="F479" s="2240"/>
      <c r="G479" s="2240"/>
      <c r="H479" s="2048"/>
      <c r="I479" s="1778"/>
      <c r="J479" s="1782"/>
      <c r="K479" s="1783"/>
      <c r="L479" s="1784"/>
      <c r="M479" s="1785">
        <f>M474</f>
        <v>20487046049</v>
      </c>
      <c r="N479" s="1785">
        <f>O474</f>
        <v>20487046049</v>
      </c>
      <c r="O479" s="1786">
        <f>AC474</f>
        <v>11625459132</v>
      </c>
      <c r="P479" s="1775"/>
      <c r="Q479" s="1842"/>
      <c r="R479" s="1842"/>
      <c r="S479" s="1842"/>
      <c r="T479" s="1842"/>
      <c r="U479" s="1842"/>
      <c r="V479" s="1842"/>
      <c r="W479" s="1842"/>
      <c r="X479" s="1842"/>
      <c r="Y479" s="1842"/>
      <c r="Z479" s="1842"/>
      <c r="AA479" s="1842"/>
      <c r="AB479" s="1842"/>
      <c r="AC479" s="1842"/>
      <c r="AD479" s="1843"/>
      <c r="AE479" s="1499"/>
      <c r="AF479" s="1500"/>
      <c r="AG479" s="1501"/>
      <c r="AH479" s="1502"/>
      <c r="AI479" s="1503"/>
      <c r="AJ479" s="1504"/>
      <c r="AK479" s="1505"/>
      <c r="AL479" s="1916"/>
    </row>
    <row r="480" spans="1:39" ht="22.5" customHeight="1">
      <c r="A480" s="1475"/>
      <c r="B480" s="1768"/>
      <c r="C480" s="1480"/>
      <c r="D480" s="1480"/>
      <c r="E480" s="1480"/>
      <c r="F480" s="1480"/>
      <c r="G480" s="1481"/>
      <c r="H480" s="1481"/>
      <c r="I480" s="1787"/>
      <c r="J480" s="1772"/>
      <c r="K480" s="1773"/>
      <c r="L480" s="1771"/>
      <c r="M480" s="1788">
        <f>M253</f>
        <v>0</v>
      </c>
      <c r="N480" s="1789" t="s">
        <v>31</v>
      </c>
      <c r="O480" s="1790">
        <f>O24+O34+O38+O42+O46+O50+O54+O58+O67+O70+O73+O76+O79+O82+O85+O88+O91+O98+O106+O115+O122+O127+O132+O135+O141+O146+O153+O212+O270+O275+O279+O284+O333+O339+O348+O351+O355+O359+O461+O469+O472</f>
        <v>20487046049</v>
      </c>
      <c r="P480" s="1775"/>
      <c r="Q480" s="1846">
        <f t="shared" ref="Q480:Y480" si="127">Q24+Q34+Q67+Q70+Q73+Q76+Q79+Q85+Q88+Q91+Q98+Q106+Q115+Q127+Q132+Q135+Q141+Q146+Q153+Q212+Q270+Q275+Q279+Q284+Q333+Q339+Q348+Q351+Q461+Q469+Q472</f>
        <v>0</v>
      </c>
      <c r="R480" s="1846">
        <f t="shared" si="127"/>
        <v>79967116</v>
      </c>
      <c r="S480" s="1846">
        <f t="shared" si="127"/>
        <v>352310827</v>
      </c>
      <c r="T480" s="1846">
        <f t="shared" si="127"/>
        <v>451030378</v>
      </c>
      <c r="U480" s="1846">
        <f t="shared" si="127"/>
        <v>444427265</v>
      </c>
      <c r="V480" s="1846">
        <f t="shared" si="127"/>
        <v>664928857</v>
      </c>
      <c r="W480" s="1846">
        <f t="shared" si="127"/>
        <v>669229688</v>
      </c>
      <c r="X480" s="1846">
        <f t="shared" si="127"/>
        <v>2199122046</v>
      </c>
      <c r="Y480" s="1846">
        <f t="shared" si="127"/>
        <v>1237151230</v>
      </c>
      <c r="Z480" s="1846">
        <f>Z24+Z34+Z38+Z42+Z46+Z50+Z54+Z58+Z67+Z70+Z73+Z76+Z79+Z82+Z85+Z88+Z91+Z98+Z106+Z115+Z127+Z132+Z135+Z141+Z146+Z153+Z212+Z270+Z275+Z279+Z284+Z333+Z339+Z348+Z351+Z355+Z359+Z461+Z469+Z472</f>
        <v>1838442966</v>
      </c>
      <c r="AA480" s="1846">
        <f>AA24+AA34+AA38+AA42+AA46+AA50+AA54+AA58+AA67+AA70+AA73+AA76+AA79+AA82+AA85+AA88+AA91+AA98+AA106+AA115+AA127+AA132+AA135+AA141+AA146+AA153+AA212+AA270+AA275+AA279+AA284+AA333+AA339+AA348+AA351+AA355+AA359+AA461+AA469+AA472</f>
        <v>1296238778</v>
      </c>
      <c r="AB480" s="1846">
        <f>AB24+AB34+AB38+AB42+AB46+AB50+AB54+AB58+AB67+AB70+AB73+AB76+AB79+AB82+AB85+AB88+AB91+AB98+AB106+AB115+AB122+AB127+AB132+AB135+AB141+AB146+AB153+AB212+AB270+AB275+AB279+AB284+AB333+AB339+AB348+AB351+AB355+AB359+AB461+AB469+AB472</f>
        <v>2392609981</v>
      </c>
      <c r="AC480" s="1846">
        <f>AC24+AC34+AC38+AC42+AC46+AC50+AC54+AC58+AC67+AC70+AC73+AC76+AC79+AC82+AC85+AC88+AC91+AC98+AC106+AC115+AC127+AC132+AC135+AC141+AC146+AC153+AC212+AC270+AC275+AC279+AC284+AC333+AC339+AC348+AC351+AC355+AC359+AC461+AC469+AC472</f>
        <v>11625459132</v>
      </c>
      <c r="AD480" s="1846">
        <f>AD24+AD34+AD38+AD42+AD46+AD50+AD54+AD58+AD67+AD70+AD73+AD76+AD79+AD82+AD85+AD88+AD91+AD98+AD106+AD115+AD122+AD127+AD132+AD135+AD141+AD146+AD153+AD212+AD270+AD275+AD279+AD284+AD333+AD339+AD348+AD351+AD355+AD359+AD461+AD469+AD472</f>
        <v>8861586917</v>
      </c>
    </row>
    <row r="481" spans="1:39" s="633" customFormat="1" ht="15">
      <c r="A481" s="1482"/>
      <c r="B481" s="2015"/>
      <c r="C481" s="2241"/>
      <c r="D481" s="2241"/>
      <c r="E481" s="2241"/>
      <c r="F481" s="2241"/>
      <c r="G481" s="1474"/>
      <c r="H481" s="1474"/>
      <c r="I481" s="1766"/>
      <c r="J481" s="1767"/>
      <c r="K481" s="1768"/>
      <c r="L481" s="1766"/>
      <c r="M481" s="1768"/>
      <c r="N481" s="1791"/>
      <c r="O481" s="1774"/>
      <c r="P481" s="1792"/>
      <c r="Q481" s="1847"/>
      <c r="R481" s="1847"/>
      <c r="S481" s="1847">
        <f t="shared" ref="S481:AB481" si="128">S478-S474</f>
        <v>0</v>
      </c>
      <c r="T481" s="1847">
        <f t="shared" si="128"/>
        <v>0</v>
      </c>
      <c r="U481" s="1847">
        <f t="shared" si="128"/>
        <v>0</v>
      </c>
      <c r="V481" s="1847">
        <f t="shared" si="128"/>
        <v>0</v>
      </c>
      <c r="W481" s="1847">
        <f t="shared" si="128"/>
        <v>0</v>
      </c>
      <c r="X481" s="1847">
        <f t="shared" si="128"/>
        <v>0</v>
      </c>
      <c r="Y481" s="1847">
        <f t="shared" si="128"/>
        <v>0</v>
      </c>
      <c r="Z481" s="1847">
        <f t="shared" si="128"/>
        <v>0</v>
      </c>
      <c r="AA481" s="1847">
        <f t="shared" si="128"/>
        <v>0</v>
      </c>
      <c r="AB481" s="1847">
        <f t="shared" si="128"/>
        <v>0</v>
      </c>
      <c r="AC481" s="1847"/>
      <c r="AD481" s="1847"/>
      <c r="AF481" s="781"/>
      <c r="AG481" s="1318"/>
      <c r="AH481" s="1057"/>
      <c r="AI481" s="1047"/>
      <c r="AJ481" s="788"/>
      <c r="AK481" s="782"/>
      <c r="AL481" s="845"/>
    </row>
    <row r="482" spans="1:39" s="1510" customFormat="1" ht="15" hidden="1">
      <c r="A482" s="1509"/>
      <c r="B482" s="1977"/>
      <c r="C482" s="2248"/>
      <c r="D482" s="2248"/>
      <c r="E482" s="2248"/>
      <c r="F482" s="2248"/>
      <c r="G482" s="1483"/>
      <c r="H482" s="1483"/>
      <c r="I482" s="1793"/>
      <c r="J482" s="1794"/>
      <c r="K482" s="1788"/>
      <c r="L482" s="1793"/>
      <c r="M482" s="1788">
        <v>20487046049</v>
      </c>
      <c r="N482" s="1788">
        <v>20487046049</v>
      </c>
      <c r="O482" s="1777">
        <f>O479</f>
        <v>11625459132</v>
      </c>
      <c r="P482" s="1795"/>
      <c r="Q482" s="1848"/>
      <c r="R482" s="1848"/>
      <c r="S482" s="1848"/>
      <c r="T482" s="1848"/>
      <c r="U482" s="1848"/>
      <c r="V482" s="1848"/>
      <c r="W482" s="1848"/>
      <c r="X482" s="1848"/>
      <c r="Y482" s="1848"/>
      <c r="Z482" s="1848"/>
      <c r="AA482" s="1848"/>
      <c r="AB482" s="1848"/>
      <c r="AC482" s="1848"/>
      <c r="AD482" s="1848">
        <f>AD478-AD480</f>
        <v>0</v>
      </c>
      <c r="AF482" s="1511"/>
      <c r="AG482" s="1512"/>
      <c r="AH482" s="1513"/>
      <c r="AI482" s="1514"/>
      <c r="AJ482" s="1515"/>
      <c r="AK482" s="1512"/>
      <c r="AL482" s="1516"/>
    </row>
    <row r="483" spans="1:39" s="633" customFormat="1" ht="15" hidden="1">
      <c r="A483" s="1482"/>
      <c r="B483" s="1976"/>
      <c r="C483" s="1482"/>
      <c r="D483" s="1474"/>
      <c r="E483" s="1484"/>
      <c r="F483" s="1474"/>
      <c r="G483" s="1474"/>
      <c r="H483" s="1474"/>
      <c r="I483" s="1766"/>
      <c r="J483" s="1767"/>
      <c r="K483" s="1768"/>
      <c r="L483" s="1766"/>
      <c r="M483" s="1768">
        <f>M479-M480-M482</f>
        <v>0</v>
      </c>
      <c r="N483" s="1768">
        <f>N482-N479</f>
        <v>0</v>
      </c>
      <c r="O483" s="1768">
        <f>O482-AC474</f>
        <v>0</v>
      </c>
      <c r="P483" s="1792"/>
      <c r="Q483" s="1847"/>
      <c r="R483" s="1847"/>
      <c r="S483" s="1847"/>
      <c r="T483" s="1847"/>
      <c r="U483" s="1847"/>
      <c r="V483" s="1847"/>
      <c r="W483" s="1847"/>
      <c r="X483" s="1847"/>
      <c r="Y483" s="1847"/>
      <c r="Z483" s="1847"/>
      <c r="AA483" s="1847"/>
      <c r="AB483" s="1847"/>
      <c r="AC483" s="1847"/>
      <c r="AD483" s="1847"/>
      <c r="AF483" s="781"/>
      <c r="AG483" s="1318"/>
      <c r="AH483" s="1057"/>
      <c r="AI483" s="1047"/>
      <c r="AJ483" s="788"/>
      <c r="AK483" s="782"/>
      <c r="AL483" s="845"/>
    </row>
    <row r="484" spans="1:39" s="633" customFormat="1" ht="15" hidden="1">
      <c r="A484" s="1482"/>
      <c r="B484" s="1976"/>
      <c r="C484" s="1482"/>
      <c r="D484" s="1474"/>
      <c r="E484" s="1485"/>
      <c r="F484" s="1474"/>
      <c r="G484" s="1474"/>
      <c r="H484" s="1474"/>
      <c r="I484" s="1766"/>
      <c r="J484" s="1767"/>
      <c r="K484" s="1768"/>
      <c r="L484" s="1766"/>
      <c r="M484" s="1768"/>
      <c r="N484" s="1766"/>
      <c r="O484" s="1796"/>
      <c r="P484" s="1792"/>
      <c r="Q484" s="1847"/>
      <c r="R484" s="1847"/>
      <c r="S484" s="1847"/>
      <c r="T484" s="1847"/>
      <c r="U484" s="1847"/>
      <c r="V484" s="1847"/>
      <c r="W484" s="1847"/>
      <c r="X484" s="1847"/>
      <c r="Y484" s="1847"/>
      <c r="Z484" s="1847"/>
      <c r="AA484" s="1847"/>
      <c r="AB484" s="1847"/>
      <c r="AC484" s="1847"/>
      <c r="AD484" s="1847"/>
      <c r="AF484" s="781"/>
      <c r="AG484" s="1318"/>
      <c r="AH484" s="1057"/>
      <c r="AI484" s="1047"/>
      <c r="AJ484" s="788"/>
      <c r="AK484" s="782"/>
      <c r="AL484" s="845"/>
    </row>
    <row r="485" spans="1:39" s="633" customFormat="1" ht="15" hidden="1">
      <c r="A485" s="1482"/>
      <c r="B485" s="1976"/>
      <c r="C485" s="1482"/>
      <c r="D485" s="1474"/>
      <c r="E485" s="1486"/>
      <c r="F485" s="1474"/>
      <c r="G485" s="1474"/>
      <c r="H485" s="1474"/>
      <c r="I485" s="1766"/>
      <c r="J485" s="1767"/>
      <c r="K485" s="1768"/>
      <c r="L485" s="1766"/>
      <c r="M485" s="1768"/>
      <c r="N485" s="1788"/>
      <c r="O485" s="1774"/>
      <c r="P485" s="1792"/>
      <c r="Q485" s="1847"/>
      <c r="R485" s="1847"/>
      <c r="S485" s="1847"/>
      <c r="T485" s="1847"/>
      <c r="U485" s="1847"/>
      <c r="V485" s="1847"/>
      <c r="W485" s="1847"/>
      <c r="X485" s="1847"/>
      <c r="Y485" s="1847"/>
      <c r="Z485" s="1847"/>
      <c r="AA485" s="1847"/>
      <c r="AB485" s="1847"/>
      <c r="AC485" s="1847"/>
      <c r="AD485" s="1847"/>
      <c r="AF485" s="781"/>
      <c r="AG485" s="1318"/>
      <c r="AH485" s="1057"/>
      <c r="AI485" s="1047"/>
      <c r="AJ485" s="788"/>
      <c r="AK485" s="782"/>
      <c r="AL485" s="845"/>
    </row>
    <row r="486" spans="1:39" s="674" customFormat="1" ht="15" hidden="1">
      <c r="A486" s="1487"/>
      <c r="B486" s="1800"/>
      <c r="C486" s="1488"/>
      <c r="D486" s="1489"/>
      <c r="E486" s="1490"/>
      <c r="F486" s="1491"/>
      <c r="G486" s="1491"/>
      <c r="H486" s="1491"/>
      <c r="I486" s="1797"/>
      <c r="J486" s="1798"/>
      <c r="K486" s="1769"/>
      <c r="L486" s="1799"/>
      <c r="M486" s="1800"/>
      <c r="N486" s="1788"/>
      <c r="O486" s="1769"/>
      <c r="P486" s="1775"/>
      <c r="Q486" s="1842"/>
      <c r="R486" s="1842"/>
      <c r="S486" s="1842"/>
      <c r="T486" s="1842"/>
      <c r="U486" s="1842"/>
      <c r="V486" s="1842"/>
      <c r="W486" s="1842"/>
      <c r="X486" s="1842"/>
      <c r="Y486" s="1842"/>
      <c r="Z486" s="1842"/>
      <c r="AA486" s="1842"/>
      <c r="AB486" s="1842"/>
      <c r="AC486" s="1842"/>
      <c r="AD486" s="1842"/>
      <c r="AF486" s="786"/>
      <c r="AG486" s="934"/>
      <c r="AH486" s="1064"/>
      <c r="AI486" s="509"/>
      <c r="AJ486" s="787"/>
      <c r="AK486" s="786"/>
      <c r="AL486" s="845"/>
      <c r="AM486" s="686"/>
    </row>
    <row r="487" spans="1:39" s="674" customFormat="1" hidden="1">
      <c r="A487" s="632"/>
      <c r="B487" s="1063"/>
      <c r="C487" s="673"/>
      <c r="D487" s="673"/>
      <c r="E487" s="673"/>
      <c r="F487" s="673"/>
      <c r="G487" s="673"/>
      <c r="H487" s="673"/>
      <c r="I487" s="1051"/>
      <c r="J487" s="1801"/>
      <c r="K487" s="1414"/>
      <c r="L487" s="1802"/>
      <c r="M487" s="1063"/>
      <c r="N487" s="1802"/>
      <c r="O487" s="1414">
        <v>955400</v>
      </c>
      <c r="P487" s="1803"/>
      <c r="Q487" s="1849"/>
      <c r="R487" s="1849"/>
      <c r="S487" s="1849"/>
      <c r="T487" s="1849"/>
      <c r="U487" s="1849"/>
      <c r="V487" s="1849"/>
      <c r="W487" s="1849"/>
      <c r="X487" s="1849"/>
      <c r="Y487" s="1849"/>
      <c r="Z487" s="1849"/>
      <c r="AA487" s="1849"/>
      <c r="AB487" s="1849"/>
      <c r="AC487" s="1849"/>
      <c r="AD487" s="1849"/>
      <c r="AF487" s="786"/>
      <c r="AG487" s="934"/>
      <c r="AH487" s="1064"/>
      <c r="AI487" s="509"/>
      <c r="AJ487" s="787"/>
      <c r="AK487" s="786"/>
      <c r="AL487" s="845"/>
      <c r="AM487" s="686"/>
    </row>
    <row r="488" spans="1:39" s="674" customFormat="1" hidden="1">
      <c r="A488" s="673"/>
      <c r="B488" s="1063"/>
      <c r="C488" s="673"/>
      <c r="D488" s="673"/>
      <c r="E488" s="673"/>
      <c r="F488" s="673"/>
      <c r="G488" s="673"/>
      <c r="H488" s="673"/>
      <c r="I488" s="1051"/>
      <c r="J488" s="1801"/>
      <c r="K488" s="1414"/>
      <c r="L488" s="1802"/>
      <c r="M488" s="1063"/>
      <c r="N488" s="1802"/>
      <c r="O488" s="1414">
        <v>2831500</v>
      </c>
      <c r="P488" s="1803"/>
      <c r="Q488" s="1849"/>
      <c r="R488" s="1849"/>
      <c r="S488" s="1849"/>
      <c r="T488" s="1849"/>
      <c r="U488" s="1849"/>
      <c r="V488" s="1849"/>
      <c r="W488" s="1849"/>
      <c r="X488" s="1849"/>
      <c r="Y488" s="1849"/>
      <c r="Z488" s="1849"/>
      <c r="AA488" s="1849"/>
      <c r="AB488" s="1849"/>
      <c r="AC488" s="1849"/>
      <c r="AD488" s="1849"/>
      <c r="AF488" s="786"/>
      <c r="AG488" s="934"/>
      <c r="AH488" s="1064"/>
      <c r="AI488" s="509"/>
      <c r="AJ488" s="787"/>
      <c r="AK488" s="786"/>
      <c r="AL488" s="845"/>
      <c r="AM488" s="686"/>
    </row>
    <row r="489" spans="1:39" s="674" customFormat="1" hidden="1">
      <c r="A489" s="673"/>
      <c r="B489" s="1063"/>
      <c r="C489" s="673"/>
      <c r="D489" s="673"/>
      <c r="E489" s="673"/>
      <c r="F489" s="673"/>
      <c r="G489" s="673"/>
      <c r="H489" s="673"/>
      <c r="I489" s="1051"/>
      <c r="J489" s="1801"/>
      <c r="K489" s="1414"/>
      <c r="L489" s="1802"/>
      <c r="M489" s="1063"/>
      <c r="N489" s="1802"/>
      <c r="O489" s="1414">
        <v>1066600</v>
      </c>
      <c r="P489" s="1803"/>
      <c r="Q489" s="1849"/>
      <c r="R489" s="1849"/>
      <c r="S489" s="1849"/>
      <c r="T489" s="1849"/>
      <c r="U489" s="1849"/>
      <c r="V489" s="1849"/>
      <c r="W489" s="1849"/>
      <c r="X489" s="1849"/>
      <c r="Y489" s="1849"/>
      <c r="Z489" s="1849"/>
      <c r="AA489" s="1849"/>
      <c r="AB489" s="1849"/>
      <c r="AC489" s="1849"/>
      <c r="AD489" s="1849"/>
      <c r="AF489" s="786"/>
      <c r="AG489" s="934"/>
      <c r="AH489" s="1064"/>
      <c r="AI489" s="509"/>
      <c r="AJ489" s="787"/>
      <c r="AK489" s="786"/>
      <c r="AL489" s="845"/>
      <c r="AM489" s="686"/>
    </row>
    <row r="490" spans="1:39" s="674" customFormat="1" hidden="1">
      <c r="A490" s="673"/>
      <c r="B490" s="1063"/>
      <c r="C490" s="673"/>
      <c r="D490" s="673"/>
      <c r="E490" s="673"/>
      <c r="F490" s="675"/>
      <c r="G490" s="673"/>
      <c r="H490" s="673"/>
      <c r="I490" s="1051"/>
      <c r="J490" s="1801"/>
      <c r="K490" s="1414"/>
      <c r="L490" s="1802"/>
      <c r="M490" s="1063"/>
      <c r="N490" s="1802"/>
      <c r="O490" s="1414">
        <v>339700</v>
      </c>
      <c r="P490" s="1803"/>
      <c r="Q490" s="1849"/>
      <c r="R490" s="1849"/>
      <c r="S490" s="1849"/>
      <c r="T490" s="1849"/>
      <c r="U490" s="1849"/>
      <c r="V490" s="1849"/>
      <c r="W490" s="1849"/>
      <c r="X490" s="1849"/>
      <c r="Y490" s="1849"/>
      <c r="Z490" s="1849"/>
      <c r="AA490" s="1849"/>
      <c r="AB490" s="1849"/>
      <c r="AC490" s="1849"/>
      <c r="AD490" s="1849"/>
      <c r="AF490" s="786"/>
      <c r="AG490" s="934"/>
      <c r="AH490" s="1064"/>
      <c r="AI490" s="509"/>
      <c r="AJ490" s="787"/>
      <c r="AK490" s="786"/>
      <c r="AL490" s="845"/>
      <c r="AM490" s="686"/>
    </row>
    <row r="491" spans="1:39" s="674" customFormat="1" ht="15" hidden="1">
      <c r="A491" s="676"/>
      <c r="B491" s="1978"/>
      <c r="C491" s="677"/>
      <c r="D491" s="678"/>
      <c r="E491" s="673"/>
      <c r="F491" s="675"/>
      <c r="G491" s="673"/>
      <c r="H491" s="673"/>
      <c r="I491" s="1051"/>
      <c r="J491" s="1801"/>
      <c r="K491" s="1414"/>
      <c r="L491" s="1802"/>
      <c r="M491" s="1063"/>
      <c r="N491" s="1802"/>
      <c r="O491" s="1895">
        <f>SUBTOTAL(9,O487:O490)</f>
        <v>5193200</v>
      </c>
      <c r="P491" s="1803"/>
      <c r="Q491" s="1849"/>
      <c r="R491" s="1849"/>
      <c r="S491" s="1849"/>
      <c r="T491" s="1849"/>
      <c r="U491" s="1849"/>
      <c r="V491" s="1849"/>
      <c r="W491" s="1849"/>
      <c r="X491" s="1849"/>
      <c r="Y491" s="1849"/>
      <c r="Z491" s="1849"/>
      <c r="AA491" s="1849"/>
      <c r="AB491" s="1849"/>
      <c r="AC491" s="1849"/>
      <c r="AD491" s="1849"/>
      <c r="AF491" s="786"/>
      <c r="AG491" s="934"/>
      <c r="AH491" s="1064"/>
      <c r="AI491" s="509"/>
      <c r="AJ491" s="787"/>
      <c r="AK491" s="786"/>
      <c r="AL491" s="845"/>
      <c r="AM491" s="686"/>
    </row>
    <row r="492" spans="1:39" s="674" customFormat="1" hidden="1">
      <c r="A492" s="679"/>
      <c r="B492" s="1063"/>
      <c r="C492" s="680"/>
      <c r="D492" s="681"/>
      <c r="E492" s="673"/>
      <c r="F492" s="673"/>
      <c r="G492" s="673"/>
      <c r="H492" s="673"/>
      <c r="I492" s="1051"/>
      <c r="J492" s="1801"/>
      <c r="K492" s="1414"/>
      <c r="L492" s="1802"/>
      <c r="M492" s="1063"/>
      <c r="N492" s="1802"/>
      <c r="O492" s="1414"/>
      <c r="P492" s="1803"/>
      <c r="Q492" s="1849"/>
      <c r="R492" s="1849"/>
      <c r="S492" s="1849"/>
      <c r="T492" s="1849"/>
      <c r="U492" s="1849"/>
      <c r="V492" s="1849"/>
      <c r="W492" s="1849"/>
      <c r="X492" s="1849"/>
      <c r="Y492" s="1849"/>
      <c r="Z492" s="1849"/>
      <c r="AA492" s="1849"/>
      <c r="AB492" s="1849"/>
      <c r="AC492" s="1849"/>
      <c r="AD492" s="1849"/>
      <c r="AF492" s="786"/>
      <c r="AG492" s="934"/>
      <c r="AH492" s="1064"/>
      <c r="AI492" s="509"/>
      <c r="AJ492" s="787"/>
      <c r="AK492" s="786"/>
      <c r="AL492" s="845"/>
      <c r="AM492" s="686"/>
    </row>
    <row r="493" spans="1:39" s="674" customFormat="1" hidden="1">
      <c r="A493" s="682"/>
      <c r="B493" s="350"/>
      <c r="C493" s="684"/>
      <c r="D493" s="685"/>
      <c r="E493" s="632"/>
      <c r="F493" s="632"/>
      <c r="G493" s="632"/>
      <c r="H493" s="632"/>
      <c r="I493" s="509"/>
      <c r="J493" s="786"/>
      <c r="K493" s="1064"/>
      <c r="L493" s="1046"/>
      <c r="M493" s="350"/>
      <c r="N493" s="1046"/>
      <c r="O493" s="1064"/>
      <c r="P493" s="1803"/>
      <c r="Q493" s="1849"/>
      <c r="R493" s="1849"/>
      <c r="S493" s="1849"/>
      <c r="T493" s="1849"/>
      <c r="U493" s="1849"/>
      <c r="V493" s="1849"/>
      <c r="W493" s="1849"/>
      <c r="X493" s="1849"/>
      <c r="Y493" s="1849"/>
      <c r="Z493" s="1849"/>
      <c r="AA493" s="1849"/>
      <c r="AB493" s="1849"/>
      <c r="AC493" s="1849"/>
      <c r="AD493" s="1849"/>
      <c r="AF493" s="786"/>
      <c r="AG493" s="934"/>
      <c r="AH493" s="1064"/>
      <c r="AI493" s="509"/>
      <c r="AJ493" s="787"/>
      <c r="AK493" s="786"/>
      <c r="AL493" s="845"/>
      <c r="AM493" s="686"/>
    </row>
    <row r="494" spans="1:39" s="674" customFormat="1" hidden="1">
      <c r="A494" s="682"/>
      <c r="B494" s="787"/>
      <c r="C494" s="632"/>
      <c r="D494" s="685"/>
      <c r="E494" s="632"/>
      <c r="F494" s="632"/>
      <c r="G494" s="632"/>
      <c r="H494" s="632"/>
      <c r="I494" s="509"/>
      <c r="J494" s="786"/>
      <c r="K494" s="1064"/>
      <c r="L494" s="1046"/>
      <c r="M494" s="350"/>
      <c r="N494" s="1046"/>
      <c r="O494" s="1064"/>
      <c r="P494" s="1803"/>
      <c r="Q494" s="1849"/>
      <c r="R494" s="1849"/>
      <c r="S494" s="1849"/>
      <c r="T494" s="1849"/>
      <c r="U494" s="1849"/>
      <c r="V494" s="1849"/>
      <c r="W494" s="1849"/>
      <c r="X494" s="1849"/>
      <c r="Y494" s="1849"/>
      <c r="Z494" s="1849"/>
      <c r="AA494" s="1849"/>
      <c r="AB494" s="1849"/>
      <c r="AC494" s="1849"/>
      <c r="AD494" s="1849"/>
      <c r="AF494" s="786"/>
      <c r="AG494" s="934"/>
      <c r="AH494" s="1064"/>
      <c r="AI494" s="509"/>
      <c r="AJ494" s="787"/>
      <c r="AK494" s="786"/>
      <c r="AL494" s="845"/>
      <c r="AM494" s="686"/>
    </row>
    <row r="495" spans="1:39" hidden="1">
      <c r="B495" s="787"/>
    </row>
    <row r="496" spans="1:39" ht="15" hidden="1">
      <c r="B496" s="1979" t="s">
        <v>123</v>
      </c>
    </row>
    <row r="497" spans="1:12" hidden="1"/>
    <row r="498" spans="1:12" ht="15" hidden="1">
      <c r="A498" s="687" t="s">
        <v>41</v>
      </c>
      <c r="B498" s="1980" t="s">
        <v>42</v>
      </c>
      <c r="C498" s="687" t="s">
        <v>151</v>
      </c>
      <c r="D498" s="687" t="s">
        <v>124</v>
      </c>
      <c r="E498" s="687" t="s">
        <v>125</v>
      </c>
      <c r="F498" s="687" t="s">
        <v>126</v>
      </c>
      <c r="G498" s="687" t="s">
        <v>136</v>
      </c>
      <c r="H498" s="2132"/>
    </row>
    <row r="499" spans="1:12" hidden="1">
      <c r="A499" s="2016" t="s">
        <v>43</v>
      </c>
      <c r="B499" s="1981" t="s">
        <v>88</v>
      </c>
      <c r="C499" s="1352">
        <f>B18+B26+B60+B89+B92+B99+B107+B116+B123+B128+B133+B154+B214+B271</f>
        <v>7334802497</v>
      </c>
      <c r="D499" s="1059">
        <f>M24+M34+M67+M91+M98+M106+M115+M122+M127+M132+M135+M212+M270+M275</f>
        <v>7140746093</v>
      </c>
      <c r="E499" s="1059">
        <f>O24+O34+O67+O91+O98+O106+O115+O122+O127+O132+O135+O212+O270+O275</f>
        <v>7140746093</v>
      </c>
      <c r="F499" s="1610">
        <f>AC24+AC34+AC67+AC91+AC98+AC106+AC115+AC122+AC127+AC135+AC132+AC212+AC270+AC275+AC279</f>
        <v>4005905817</v>
      </c>
      <c r="G499" s="1352"/>
      <c r="H499" s="2017"/>
      <c r="I499" s="1890"/>
      <c r="J499" s="1046"/>
    </row>
    <row r="500" spans="1:12" hidden="1">
      <c r="A500" s="2016" t="s">
        <v>43</v>
      </c>
      <c r="B500" s="1981" t="s">
        <v>92</v>
      </c>
      <c r="C500" s="1352">
        <f>B281+B285+B334+B340+B349+B356</f>
        <v>3497647768</v>
      </c>
      <c r="D500" s="1059">
        <f>M284+M333+M339+M348+M351+M359</f>
        <v>3435209918</v>
      </c>
      <c r="E500" s="1059">
        <f>O284+O333+O339+O348+O351+O359</f>
        <v>3435209918</v>
      </c>
      <c r="F500" s="1610">
        <f>AC284+AC333+AC339+AC348+AC351+AC359</f>
        <v>1981297092</v>
      </c>
      <c r="G500" s="1057"/>
      <c r="H500" s="1057"/>
      <c r="I500" s="1890"/>
      <c r="J500" s="1046"/>
    </row>
    <row r="501" spans="1:12" hidden="1">
      <c r="A501" s="2016" t="s">
        <v>43</v>
      </c>
      <c r="B501" s="1981" t="s">
        <v>93</v>
      </c>
      <c r="C501" s="1352">
        <f>B361+B462</f>
        <v>2557895735</v>
      </c>
      <c r="D501" s="1059">
        <f>M461+M469</f>
        <v>2541471431</v>
      </c>
      <c r="E501" s="1059">
        <f>O461+O469</f>
        <v>2541471431</v>
      </c>
      <c r="F501" s="1610">
        <f>AC461+AC469</f>
        <v>2407556030</v>
      </c>
      <c r="G501" s="1057"/>
      <c r="H501" s="1057"/>
      <c r="I501" s="1890"/>
      <c r="J501" s="1046"/>
    </row>
    <row r="502" spans="1:12" hidden="1">
      <c r="A502" s="2016" t="s">
        <v>90</v>
      </c>
      <c r="B502" s="1981" t="s">
        <v>88</v>
      </c>
      <c r="C502" s="1352">
        <f>B43+B68</f>
        <v>62424000</v>
      </c>
      <c r="D502" s="1059">
        <f>M46+M70</f>
        <v>62424000</v>
      </c>
      <c r="E502" s="1059">
        <f>O46+O70</f>
        <v>62424000</v>
      </c>
      <c r="F502" s="1610">
        <f>AC46+AC70</f>
        <v>0</v>
      </c>
      <c r="G502" s="1352"/>
      <c r="H502" s="2017"/>
      <c r="I502" s="1890"/>
      <c r="J502" s="1046"/>
    </row>
    <row r="503" spans="1:12" hidden="1">
      <c r="A503" s="2016" t="s">
        <v>1346</v>
      </c>
      <c r="B503" s="1981" t="s">
        <v>92</v>
      </c>
      <c r="C503" s="1352">
        <f>B352</f>
        <v>700000000</v>
      </c>
      <c r="D503" s="1059">
        <f>M355</f>
        <v>700000000</v>
      </c>
      <c r="E503" s="1059">
        <f>O355</f>
        <v>700000000</v>
      </c>
      <c r="F503" s="1610">
        <f>AC355</f>
        <v>0</v>
      </c>
      <c r="G503" s="2017"/>
      <c r="H503" s="2017"/>
      <c r="I503" s="1890"/>
      <c r="J503" s="1046"/>
    </row>
    <row r="504" spans="1:12" hidden="1">
      <c r="A504" s="2016" t="s">
        <v>152</v>
      </c>
      <c r="B504" s="1981" t="s">
        <v>88</v>
      </c>
      <c r="C504" s="1352">
        <f>B470</f>
        <v>38000000</v>
      </c>
      <c r="D504" s="1059">
        <f>M472</f>
        <v>36827449</v>
      </c>
      <c r="E504" s="1059">
        <f>O472</f>
        <v>36827449</v>
      </c>
      <c r="F504" s="1610">
        <f>AC472</f>
        <v>36827449</v>
      </c>
      <c r="G504" s="1057"/>
      <c r="H504" s="1057"/>
      <c r="I504" s="1890"/>
      <c r="J504" s="1046"/>
    </row>
    <row r="505" spans="1:12" hidden="1">
      <c r="A505" s="2016" t="s">
        <v>91</v>
      </c>
      <c r="B505" s="1981" t="s">
        <v>88</v>
      </c>
      <c r="C505" s="1352">
        <f>B47+B71</f>
        <v>725000</v>
      </c>
      <c r="D505" s="1059">
        <f>M50+M73</f>
        <v>725000</v>
      </c>
      <c r="E505" s="1059">
        <f>O50+O73</f>
        <v>725000</v>
      </c>
      <c r="F505" s="1610">
        <f>AC50+AC73</f>
        <v>0</v>
      </c>
      <c r="G505" s="1057"/>
      <c r="H505" s="1057"/>
      <c r="I505" s="1890"/>
      <c r="J505" s="1046"/>
    </row>
    <row r="506" spans="1:12" hidden="1">
      <c r="A506" s="2016" t="s">
        <v>153</v>
      </c>
      <c r="B506" s="1981" t="s">
        <v>88</v>
      </c>
      <c r="C506" s="1352">
        <f>B35+B74</f>
        <v>1330108000</v>
      </c>
      <c r="D506" s="1059">
        <f>M38+M76</f>
        <v>1330108000</v>
      </c>
      <c r="E506" s="1059">
        <f>O38+O76</f>
        <v>1330108000</v>
      </c>
      <c r="F506" s="1610">
        <f>AC38+AC76</f>
        <v>0</v>
      </c>
      <c r="G506" s="1352"/>
      <c r="H506" s="2017"/>
      <c r="I506" s="1890"/>
      <c r="J506" s="1046"/>
    </row>
    <row r="507" spans="1:12" hidden="1">
      <c r="A507" s="2016" t="s">
        <v>89</v>
      </c>
      <c r="B507" s="1981" t="s">
        <v>88</v>
      </c>
      <c r="C507" s="1352">
        <f>B39+B80</f>
        <v>1139390346</v>
      </c>
      <c r="D507" s="1059">
        <f>M42+M79+M82</f>
        <v>1139390346</v>
      </c>
      <c r="E507" s="1059">
        <f>O42+O79+O82</f>
        <v>1139390346</v>
      </c>
      <c r="F507" s="1610">
        <f>AC42+AC79+AC82</f>
        <v>0</v>
      </c>
      <c r="G507" s="1057"/>
      <c r="H507" s="1057"/>
      <c r="I507" s="1890"/>
      <c r="J507" s="1046"/>
    </row>
    <row r="508" spans="1:12" ht="15" hidden="1">
      <c r="A508" s="2016" t="s">
        <v>837</v>
      </c>
      <c r="B508" s="1981" t="s">
        <v>88</v>
      </c>
      <c r="C508" s="1352">
        <f>B136</f>
        <v>3846506868</v>
      </c>
      <c r="D508" s="1059">
        <f>M141</f>
        <v>3844061515</v>
      </c>
      <c r="E508" s="1059">
        <f>O141</f>
        <v>3844061515</v>
      </c>
      <c r="F508" s="1610">
        <f>AC141</f>
        <v>3021126943</v>
      </c>
      <c r="G508" s="1057"/>
      <c r="H508" s="1057"/>
      <c r="I508" s="1890"/>
      <c r="J508" s="1804"/>
      <c r="L508" s="1804"/>
    </row>
    <row r="509" spans="1:12" hidden="1">
      <c r="A509" s="2016" t="s">
        <v>154</v>
      </c>
      <c r="B509" s="1981" t="s">
        <v>88</v>
      </c>
      <c r="C509" s="1352">
        <f>B51+B83</f>
        <v>2570000</v>
      </c>
      <c r="D509" s="1059">
        <f>M54+M85</f>
        <v>2570000</v>
      </c>
      <c r="E509" s="1059">
        <f>O54+O85</f>
        <v>2570000</v>
      </c>
      <c r="F509" s="1610">
        <f>AC54+AC85</f>
        <v>0</v>
      </c>
      <c r="G509" s="1057"/>
      <c r="H509" s="1057"/>
      <c r="I509" s="1890"/>
      <c r="J509" s="1046"/>
    </row>
    <row r="510" spans="1:12" ht="15" hidden="1">
      <c r="A510" s="2016" t="s">
        <v>157</v>
      </c>
      <c r="B510" s="1981" t="s">
        <v>88</v>
      </c>
      <c r="C510" s="1059">
        <f>B55+B142+B147</f>
        <v>269388807</v>
      </c>
      <c r="D510" s="1059">
        <f>M58+M88+M146+M153</f>
        <v>253512297</v>
      </c>
      <c r="E510" s="1059">
        <f>M58+O88+O146+O153</f>
        <v>253512297</v>
      </c>
      <c r="F510" s="1610">
        <f>AC58+AC88+AC146+AC153</f>
        <v>172745801</v>
      </c>
      <c r="G510" s="1059"/>
      <c r="H510" s="2133"/>
      <c r="I510" s="1890"/>
      <c r="J510" s="1804"/>
      <c r="L510" s="1804"/>
    </row>
    <row r="511" spans="1:12" ht="15" hidden="1">
      <c r="A511" s="2246" t="s">
        <v>127</v>
      </c>
      <c r="B511" s="2247"/>
      <c r="C511" s="2018">
        <f>SUM(C499:C510)</f>
        <v>20779459021</v>
      </c>
      <c r="D511" s="2018">
        <f>SUM(D499:D510)</f>
        <v>20487046049</v>
      </c>
      <c r="E511" s="2018">
        <f>+SUM(E499:E510)</f>
        <v>20487046049</v>
      </c>
      <c r="F511" s="2018">
        <f>+SUM(F499:F510)</f>
        <v>11625459132</v>
      </c>
      <c r="G511" s="2018">
        <f>SUM(G499:G510)</f>
        <v>0</v>
      </c>
      <c r="H511" s="2134"/>
      <c r="J511" s="1046"/>
    </row>
    <row r="512" spans="1:12" hidden="1">
      <c r="G512" s="1887"/>
      <c r="H512" s="1887"/>
      <c r="J512" s="1046"/>
    </row>
    <row r="513" spans="1:9" hidden="1">
      <c r="I513" s="1064"/>
    </row>
    <row r="514" spans="1:9" hidden="1">
      <c r="A514" s="1301" t="s">
        <v>158</v>
      </c>
      <c r="B514" s="787"/>
      <c r="C514" s="2035">
        <f>B17+B213+B280</f>
        <v>18183563286</v>
      </c>
      <c r="E514" s="1191"/>
    </row>
    <row r="515" spans="1:9" hidden="1">
      <c r="A515" s="1301" t="s">
        <v>159</v>
      </c>
      <c r="B515" s="787"/>
      <c r="C515" s="350">
        <f>B360</f>
        <v>2557895735</v>
      </c>
      <c r="D515" s="683"/>
    </row>
    <row r="516" spans="1:9" hidden="1">
      <c r="A516" s="1301" t="s">
        <v>768</v>
      </c>
      <c r="B516" s="787"/>
      <c r="C516" s="350">
        <f>B470</f>
        <v>38000000</v>
      </c>
    </row>
    <row r="517" spans="1:9" hidden="1">
      <c r="C517" s="2035">
        <f>SUM(C514:C516)</f>
        <v>20779459021</v>
      </c>
    </row>
    <row r="518" spans="1:9" hidden="1"/>
    <row r="519" spans="1:9" hidden="1"/>
    <row r="520" spans="1:9" hidden="1">
      <c r="A520" s="632" t="s">
        <v>1623</v>
      </c>
      <c r="B520" s="350" t="s">
        <v>1633</v>
      </c>
      <c r="C520" s="2034" t="s">
        <v>1632</v>
      </c>
      <c r="D520" s="632" t="s">
        <v>1631</v>
      </c>
    </row>
    <row r="521" spans="1:9" ht="15" hidden="1">
      <c r="A521" s="632" t="s">
        <v>1624</v>
      </c>
      <c r="B521" s="2031">
        <v>38</v>
      </c>
      <c r="C521" s="2031">
        <v>38000000</v>
      </c>
      <c r="D521" s="2032">
        <v>38</v>
      </c>
    </row>
    <row r="522" spans="1:9" ht="15" hidden="1">
      <c r="A522" s="632" t="s">
        <v>1629</v>
      </c>
      <c r="B522" s="2031">
        <v>1581</v>
      </c>
      <c r="C522" s="2031">
        <f>B154</f>
        <v>1453162335</v>
      </c>
      <c r="D522" s="2032">
        <v>1453</v>
      </c>
    </row>
    <row r="523" spans="1:9" ht="15" hidden="1">
      <c r="A523" s="632" t="s">
        <v>1625</v>
      </c>
      <c r="B523" s="2031">
        <v>126</v>
      </c>
      <c r="C523" s="2031">
        <f>B462</f>
        <v>140256333</v>
      </c>
      <c r="D523" s="2032">
        <v>140</v>
      </c>
    </row>
    <row r="524" spans="1:9" ht="15" hidden="1">
      <c r="A524" s="632" t="s">
        <v>1626</v>
      </c>
      <c r="B524" s="2031">
        <v>2348</v>
      </c>
      <c r="C524" s="2031">
        <f>B361</f>
        <v>2417639402</v>
      </c>
      <c r="D524" s="2032">
        <v>2418</v>
      </c>
    </row>
    <row r="525" spans="1:9" ht="15" hidden="1">
      <c r="A525" s="632" t="s">
        <v>1627</v>
      </c>
      <c r="B525" s="2031">
        <v>1461</v>
      </c>
      <c r="C525" s="2031">
        <f>B213</f>
        <v>1479213860</v>
      </c>
      <c r="D525" s="2032">
        <v>1479</v>
      </c>
    </row>
    <row r="526" spans="1:9" ht="15" hidden="1">
      <c r="A526" s="632" t="s">
        <v>1628</v>
      </c>
      <c r="B526" s="2031">
        <v>2756</v>
      </c>
      <c r="C526" s="2031">
        <f>B280</f>
        <v>4197647768</v>
      </c>
      <c r="D526" s="2032">
        <v>4198</v>
      </c>
    </row>
    <row r="527" spans="1:9" ht="15" hidden="1">
      <c r="A527" s="632" t="s">
        <v>1630</v>
      </c>
      <c r="B527" s="2031">
        <v>12049</v>
      </c>
      <c r="C527" s="2031">
        <f>B17-B154</f>
        <v>11053539323</v>
      </c>
      <c r="D527" s="2032">
        <v>11054</v>
      </c>
    </row>
    <row r="528" spans="1:9" ht="15.75" hidden="1">
      <c r="B528" s="2033">
        <f>SUM(B521:B527)</f>
        <v>20359</v>
      </c>
      <c r="C528" s="2033">
        <f>SUM(C521:C527)</f>
        <v>20779459021</v>
      </c>
      <c r="D528" s="2033">
        <f>SUM(D521:D527)</f>
        <v>20780</v>
      </c>
    </row>
    <row r="529" spans="2:4" ht="15" hidden="1">
      <c r="B529" s="2031"/>
      <c r="C529" s="2032"/>
      <c r="D529" s="2032"/>
    </row>
    <row r="530" spans="2:4" ht="15" hidden="1">
      <c r="B530" s="2031"/>
      <c r="C530" s="2031"/>
      <c r="D530" s="2032"/>
    </row>
  </sheetData>
  <autoFilter ref="A16:AM472"/>
  <mergeCells count="19">
    <mergeCell ref="A511:B511"/>
    <mergeCell ref="C482:D482"/>
    <mergeCell ref="E482:F482"/>
    <mergeCell ref="A9:G9"/>
    <mergeCell ref="A1:A3"/>
    <mergeCell ref="A4:G4"/>
    <mergeCell ref="A5:G5"/>
    <mergeCell ref="A6:G6"/>
    <mergeCell ref="A7:G7"/>
    <mergeCell ref="A8:G8"/>
    <mergeCell ref="B10:D10"/>
    <mergeCell ref="B11:G11"/>
    <mergeCell ref="B12:G12"/>
    <mergeCell ref="F479:G479"/>
    <mergeCell ref="C481:D481"/>
    <mergeCell ref="E481:F481"/>
    <mergeCell ref="B1:AD1"/>
    <mergeCell ref="B2:AD2"/>
    <mergeCell ref="B3:AD3"/>
  </mergeCells>
  <conditionalFormatting sqref="B478 B473:B476 B1:B18 B470:B471 B512:B1048576 B280:B284 B272:B275 B83:B88 B68:B81 B59 AK116:AK122 B27:B34 B23:B25 B480:B510 AK502:AK1048576 AK353:AK354 AK357:AK358 B154:B270 B352:B461 AK133:AK351 AK360:AK473">
    <cfRule type="cellIs" dxfId="132" priority="302" operator="lessThan">
      <formula>0</formula>
    </cfRule>
    <cfRule type="cellIs" dxfId="131" priority="303" operator="lessThan">
      <formula>0</formula>
    </cfRule>
  </conditionalFormatting>
  <conditionalFormatting sqref="B472">
    <cfRule type="cellIs" dxfId="130" priority="293" operator="lessThan">
      <formula>0</formula>
    </cfRule>
    <cfRule type="cellIs" dxfId="129" priority="294" operator="lessThan">
      <formula>0</formula>
    </cfRule>
  </conditionalFormatting>
  <conditionalFormatting sqref="B462:B469">
    <cfRule type="cellIs" dxfId="128" priority="290" operator="lessThan">
      <formula>0</formula>
    </cfRule>
    <cfRule type="cellIs" dxfId="127" priority="291" operator="lessThan">
      <formula>0</formula>
    </cfRule>
  </conditionalFormatting>
  <conditionalFormatting sqref="B60 B66:B67">
    <cfRule type="cellIs" dxfId="126" priority="287" operator="lessThan">
      <formula>0</formula>
    </cfRule>
    <cfRule type="cellIs" dxfId="125" priority="288" operator="lessThan">
      <formula>0</formula>
    </cfRule>
  </conditionalFormatting>
  <conditionalFormatting sqref="B89:B91">
    <cfRule type="cellIs" dxfId="124" priority="283" operator="lessThan">
      <formula>0</formula>
    </cfRule>
    <cfRule type="cellIs" dxfId="123" priority="284" operator="lessThan">
      <formula>0</formula>
    </cfRule>
  </conditionalFormatting>
  <conditionalFormatting sqref="B92 B97:B98">
    <cfRule type="cellIs" dxfId="122" priority="280" operator="lessThan">
      <formula>0</formula>
    </cfRule>
    <cfRule type="cellIs" dxfId="121" priority="281" operator="lessThan">
      <formula>0</formula>
    </cfRule>
  </conditionalFormatting>
  <conditionalFormatting sqref="B99 B105:B106">
    <cfRule type="cellIs" dxfId="120" priority="277" operator="lessThan">
      <formula>0</formula>
    </cfRule>
    <cfRule type="cellIs" dxfId="119" priority="278" operator="lessThan">
      <formula>0</formula>
    </cfRule>
  </conditionalFormatting>
  <conditionalFormatting sqref="B107 B114:B115">
    <cfRule type="cellIs" dxfId="118" priority="274" operator="lessThan">
      <formula>0</formula>
    </cfRule>
    <cfRule type="cellIs" dxfId="117" priority="275" operator="lessThan">
      <formula>0</formula>
    </cfRule>
  </conditionalFormatting>
  <conditionalFormatting sqref="B123:B132">
    <cfRule type="cellIs" dxfId="116" priority="271" operator="lessThan">
      <formula>0</formula>
    </cfRule>
    <cfRule type="cellIs" dxfId="115" priority="272" operator="lessThan">
      <formula>0</formula>
    </cfRule>
  </conditionalFormatting>
  <conditionalFormatting sqref="B133:B135 B143:B146 B148:B153 B137:B141">
    <cfRule type="cellIs" dxfId="114" priority="268" operator="lessThan">
      <formula>0</formula>
    </cfRule>
    <cfRule type="cellIs" dxfId="113" priority="269" operator="lessThan">
      <formula>0</formula>
    </cfRule>
  </conditionalFormatting>
  <conditionalFormatting sqref="B285 B329:B333">
    <cfRule type="cellIs" dxfId="112" priority="265" operator="lessThan">
      <formula>0</formula>
    </cfRule>
    <cfRule type="cellIs" dxfId="111" priority="266" operator="lessThan">
      <formula>0</formula>
    </cfRule>
  </conditionalFormatting>
  <conditionalFormatting sqref="B334:B339">
    <cfRule type="cellIs" dxfId="110" priority="262" operator="lessThan">
      <formula>0</formula>
    </cfRule>
    <cfRule type="cellIs" dxfId="109" priority="263" operator="lessThan">
      <formula>0</formula>
    </cfRule>
  </conditionalFormatting>
  <conditionalFormatting sqref="B340:B348">
    <cfRule type="cellIs" dxfId="108" priority="259" operator="lessThan">
      <formula>0</formula>
    </cfRule>
    <cfRule type="cellIs" dxfId="107" priority="260" operator="lessThan">
      <formula>0</formula>
    </cfRule>
  </conditionalFormatting>
  <conditionalFormatting sqref="B349:B351">
    <cfRule type="cellIs" dxfId="106" priority="256" operator="lessThan">
      <formula>0</formula>
    </cfRule>
    <cfRule type="cellIs" dxfId="105" priority="257" operator="lessThan">
      <formula>0</formula>
    </cfRule>
  </conditionalFormatting>
  <conditionalFormatting sqref="B276:B279">
    <cfRule type="cellIs" dxfId="104" priority="253" operator="lessThan">
      <formula>0</formula>
    </cfRule>
    <cfRule type="cellIs" dxfId="103" priority="254" operator="lessThan">
      <formula>0</formula>
    </cfRule>
  </conditionalFormatting>
  <conditionalFormatting sqref="B93:B96">
    <cfRule type="cellIs" dxfId="102" priority="250" operator="lessThan">
      <formula>0</formula>
    </cfRule>
    <cfRule type="cellIs" dxfId="101" priority="251" operator="lessThan">
      <formula>0</formula>
    </cfRule>
  </conditionalFormatting>
  <conditionalFormatting sqref="B19:B22">
    <cfRule type="cellIs" dxfId="100" priority="248" operator="lessThan">
      <formula>0</formula>
    </cfRule>
    <cfRule type="cellIs" dxfId="99" priority="249" operator="lessThan">
      <formula>0</formula>
    </cfRule>
  </conditionalFormatting>
  <conditionalFormatting sqref="B61:B65">
    <cfRule type="cellIs" dxfId="98" priority="246" operator="lessThan">
      <formula>0</formula>
    </cfRule>
    <cfRule type="cellIs" dxfId="97" priority="247" operator="lessThan">
      <formula>0</formula>
    </cfRule>
  </conditionalFormatting>
  <conditionalFormatting sqref="B108:B113">
    <cfRule type="cellIs" dxfId="96" priority="244" operator="lessThan">
      <formula>0</formula>
    </cfRule>
    <cfRule type="cellIs" dxfId="95" priority="245" operator="lessThan">
      <formula>0</formula>
    </cfRule>
  </conditionalFormatting>
  <conditionalFormatting sqref="B100:B104">
    <cfRule type="cellIs" dxfId="94" priority="242" operator="lessThan">
      <formula>0</formula>
    </cfRule>
    <cfRule type="cellIs" dxfId="93" priority="243" operator="lessThan">
      <formula>0</formula>
    </cfRule>
  </conditionalFormatting>
  <conditionalFormatting sqref="B286:B332">
    <cfRule type="cellIs" dxfId="92" priority="240" operator="lessThan">
      <formula>0</formula>
    </cfRule>
    <cfRule type="cellIs" dxfId="91" priority="241" operator="lessThan">
      <formula>0</formula>
    </cfRule>
  </conditionalFormatting>
  <conditionalFormatting sqref="Q470:AB470">
    <cfRule type="duplicateValues" dxfId="90" priority="212"/>
  </conditionalFormatting>
  <conditionalFormatting sqref="Q470:AB470">
    <cfRule type="duplicateValues" dxfId="89" priority="211"/>
  </conditionalFormatting>
  <conditionalFormatting sqref="I4:I7">
    <cfRule type="duplicateValues" dxfId="88" priority="206"/>
    <cfRule type="duplicateValues" dxfId="87" priority="207"/>
  </conditionalFormatting>
  <conditionalFormatting sqref="B136">
    <cfRule type="cellIs" dxfId="86" priority="204" operator="lessThan">
      <formula>0</formula>
    </cfRule>
    <cfRule type="cellIs" dxfId="85" priority="205" operator="lessThan">
      <formula>0</formula>
    </cfRule>
  </conditionalFormatting>
  <conditionalFormatting sqref="B142">
    <cfRule type="cellIs" dxfId="84" priority="202" operator="lessThan">
      <formula>0</formula>
    </cfRule>
    <cfRule type="cellIs" dxfId="83" priority="203" operator="lessThan">
      <formula>0</formula>
    </cfRule>
  </conditionalFormatting>
  <conditionalFormatting sqref="B147">
    <cfRule type="cellIs" dxfId="82" priority="200" operator="lessThan">
      <formula>0</formula>
    </cfRule>
    <cfRule type="cellIs" dxfId="81" priority="201" operator="lessThan">
      <formula>0</formula>
    </cfRule>
  </conditionalFormatting>
  <conditionalFormatting sqref="B271">
    <cfRule type="cellIs" dxfId="80" priority="189" operator="lessThan">
      <formula>0</formula>
    </cfRule>
    <cfRule type="cellIs" dxfId="79" priority="190" operator="lessThan">
      <formula>0</formula>
    </cfRule>
  </conditionalFormatting>
  <conditionalFormatting sqref="B82">
    <cfRule type="cellIs" dxfId="78" priority="187" operator="lessThan">
      <formula>0</formula>
    </cfRule>
    <cfRule type="cellIs" dxfId="77" priority="188" operator="lessThan">
      <formula>0</formula>
    </cfRule>
  </conditionalFormatting>
  <conditionalFormatting sqref="AK1:AK25 AK475:AK501 AK27:AK33 AK123:AK126 AK59:AK115">
    <cfRule type="cellIs" dxfId="76" priority="183" operator="lessThan">
      <formula>0</formula>
    </cfRule>
    <cfRule type="cellIs" dxfId="75" priority="186" operator="lessThan">
      <formula>0</formula>
    </cfRule>
  </conditionalFormatting>
  <conditionalFormatting sqref="AK1:AK34 B27:B34 B1:B25 AM475:AM1048576 AK475:AK1048576 AK353:AK354 AK357:AK358 AM59:AM473 B59:B1048576 AM1:AM34 AK59:AK351 AK360:AK473">
    <cfRule type="cellIs" dxfId="74" priority="184" operator="lessThan">
      <formula>0</formula>
    </cfRule>
  </conditionalFormatting>
  <conditionalFormatting sqref="AK128">
    <cfRule type="cellIs" dxfId="73" priority="174" operator="lessThan">
      <formula>0</formula>
    </cfRule>
    <cfRule type="cellIs" dxfId="72" priority="175" operator="lessThan">
      <formula>0</formula>
    </cfRule>
  </conditionalFormatting>
  <conditionalFormatting sqref="AK129:AK131">
    <cfRule type="cellIs" dxfId="71" priority="172" operator="lessThan">
      <formula>0</formula>
    </cfRule>
    <cfRule type="cellIs" dxfId="70" priority="173" operator="lessThan">
      <formula>0</formula>
    </cfRule>
  </conditionalFormatting>
  <conditionalFormatting sqref="B36:B38">
    <cfRule type="cellIs" dxfId="69" priority="159" operator="lessThan">
      <formula>0</formula>
    </cfRule>
    <cfRule type="cellIs" dxfId="68" priority="160" operator="lessThan">
      <formula>0</formula>
    </cfRule>
  </conditionalFormatting>
  <conditionalFormatting sqref="AK36:AK37">
    <cfRule type="cellIs" dxfId="67" priority="152" operator="lessThan">
      <formula>0</formula>
    </cfRule>
    <cfRule type="cellIs" dxfId="66" priority="155" operator="lessThan">
      <formula>0</formula>
    </cfRule>
  </conditionalFormatting>
  <conditionalFormatting sqref="AK35:AK38 B36:B38 AM35:AM38">
    <cfRule type="cellIs" dxfId="65" priority="153" operator="lessThan">
      <formula>0</formula>
    </cfRule>
  </conditionalFormatting>
  <conditionalFormatting sqref="B40:B42">
    <cfRule type="cellIs" dxfId="64" priority="148" operator="lessThan">
      <formula>0</formula>
    </cfRule>
    <cfRule type="cellIs" dxfId="63" priority="149" operator="lessThan">
      <formula>0</formula>
    </cfRule>
  </conditionalFormatting>
  <conditionalFormatting sqref="AK40:AK41">
    <cfRule type="cellIs" dxfId="62" priority="141" operator="lessThan">
      <formula>0</formula>
    </cfRule>
    <cfRule type="cellIs" dxfId="61" priority="144" operator="lessThan">
      <formula>0</formula>
    </cfRule>
  </conditionalFormatting>
  <conditionalFormatting sqref="AK39:AK42 B40:B42 AM39:AM42">
    <cfRule type="cellIs" dxfId="60" priority="142" operator="lessThan">
      <formula>0</formula>
    </cfRule>
  </conditionalFormatting>
  <conditionalFormatting sqref="B44:B46">
    <cfRule type="cellIs" dxfId="59" priority="137" operator="lessThan">
      <formula>0</formula>
    </cfRule>
    <cfRule type="cellIs" dxfId="58" priority="138" operator="lessThan">
      <formula>0</formula>
    </cfRule>
  </conditionalFormatting>
  <conditionalFormatting sqref="AK44:AK45">
    <cfRule type="cellIs" dxfId="57" priority="130" operator="lessThan">
      <formula>0</formula>
    </cfRule>
    <cfRule type="cellIs" dxfId="56" priority="133" operator="lessThan">
      <formula>0</formula>
    </cfRule>
  </conditionalFormatting>
  <conditionalFormatting sqref="AK43:AK46 AM43:AM46 B44:B46">
    <cfRule type="cellIs" dxfId="55" priority="131" operator="lessThan">
      <formula>0</formula>
    </cfRule>
  </conditionalFormatting>
  <conditionalFormatting sqref="B48:B50">
    <cfRule type="cellIs" dxfId="54" priority="126" operator="lessThan">
      <formula>0</formula>
    </cfRule>
    <cfRule type="cellIs" dxfId="53" priority="127" operator="lessThan">
      <formula>0</formula>
    </cfRule>
  </conditionalFormatting>
  <conditionalFormatting sqref="AK48:AK49">
    <cfRule type="cellIs" dxfId="52" priority="119" operator="lessThan">
      <formula>0</formula>
    </cfRule>
    <cfRule type="cellIs" dxfId="51" priority="122" operator="lessThan">
      <formula>0</formula>
    </cfRule>
  </conditionalFormatting>
  <conditionalFormatting sqref="AK47:AK50 AM47:AM50 B48:B50">
    <cfRule type="cellIs" dxfId="50" priority="120" operator="lessThan">
      <formula>0</formula>
    </cfRule>
  </conditionalFormatting>
  <conditionalFormatting sqref="B52:B54">
    <cfRule type="cellIs" dxfId="49" priority="115" operator="lessThan">
      <formula>0</formula>
    </cfRule>
    <cfRule type="cellIs" dxfId="48" priority="116" operator="lessThan">
      <formula>0</formula>
    </cfRule>
  </conditionalFormatting>
  <conditionalFormatting sqref="AK52:AK53">
    <cfRule type="cellIs" dxfId="47" priority="108" operator="lessThan">
      <formula>0</formula>
    </cfRule>
    <cfRule type="cellIs" dxfId="46" priority="111" operator="lessThan">
      <formula>0</formula>
    </cfRule>
  </conditionalFormatting>
  <conditionalFormatting sqref="AK51:AK54 AM51:AM54 B52:B54">
    <cfRule type="cellIs" dxfId="45" priority="109" operator="lessThan">
      <formula>0</formula>
    </cfRule>
  </conditionalFormatting>
  <conditionalFormatting sqref="B56:B58">
    <cfRule type="cellIs" dxfId="44" priority="104" operator="lessThan">
      <formula>0</formula>
    </cfRule>
    <cfRule type="cellIs" dxfId="43" priority="105" operator="lessThan">
      <formula>0</formula>
    </cfRule>
  </conditionalFormatting>
  <conditionalFormatting sqref="AK56:AK57">
    <cfRule type="cellIs" dxfId="42" priority="97" operator="lessThan">
      <formula>0</formula>
    </cfRule>
    <cfRule type="cellIs" dxfId="41" priority="100" operator="lessThan">
      <formula>0</formula>
    </cfRule>
  </conditionalFormatting>
  <conditionalFormatting sqref="AK55:AK58 AM55:AM58 B56:B58">
    <cfRule type="cellIs" dxfId="40" priority="98" operator="lessThan">
      <formula>0</formula>
    </cfRule>
  </conditionalFormatting>
  <conditionalFormatting sqref="B116 B121:B122">
    <cfRule type="cellIs" dxfId="39" priority="93" operator="lessThan">
      <formula>0</formula>
    </cfRule>
    <cfRule type="cellIs" dxfId="38" priority="94" operator="lessThan">
      <formula>0</formula>
    </cfRule>
  </conditionalFormatting>
  <conditionalFormatting sqref="B117:B120">
    <cfRule type="cellIs" dxfId="37" priority="91" operator="lessThan">
      <formula>0</formula>
    </cfRule>
    <cfRule type="cellIs" dxfId="36" priority="92" operator="lessThan">
      <formula>0</formula>
    </cfRule>
  </conditionalFormatting>
  <conditionalFormatting sqref="AK352">
    <cfRule type="cellIs" dxfId="35" priority="81" operator="lessThan">
      <formula>0</formula>
    </cfRule>
    <cfRule type="cellIs" dxfId="34" priority="82" operator="lessThan">
      <formula>0</formula>
    </cfRule>
  </conditionalFormatting>
  <conditionalFormatting sqref="AK352">
    <cfRule type="cellIs" dxfId="33" priority="73" operator="lessThan">
      <formula>0</formula>
    </cfRule>
  </conditionalFormatting>
  <conditionalFormatting sqref="B55">
    <cfRule type="cellIs" dxfId="32" priority="51" operator="lessThan">
      <formula>0</formula>
    </cfRule>
    <cfRule type="cellIs" dxfId="31" priority="52" operator="lessThan">
      <formula>0</formula>
    </cfRule>
  </conditionalFormatting>
  <conditionalFormatting sqref="B55">
    <cfRule type="cellIs" dxfId="30" priority="50" operator="lessThan">
      <formula>0</formula>
    </cfRule>
  </conditionalFormatting>
  <conditionalFormatting sqref="B51">
    <cfRule type="cellIs" dxfId="29" priority="48" operator="lessThan">
      <formula>0</formula>
    </cfRule>
    <cfRule type="cellIs" dxfId="28" priority="49" operator="lessThan">
      <formula>0</formula>
    </cfRule>
  </conditionalFormatting>
  <conditionalFormatting sqref="B51">
    <cfRule type="cellIs" dxfId="27" priority="47" operator="lessThan">
      <formula>0</formula>
    </cfRule>
  </conditionalFormatting>
  <conditionalFormatting sqref="B47">
    <cfRule type="cellIs" dxfId="26" priority="45" operator="lessThan">
      <formula>0</formula>
    </cfRule>
    <cfRule type="cellIs" dxfId="25" priority="46" operator="lessThan">
      <formula>0</formula>
    </cfRule>
  </conditionalFormatting>
  <conditionalFormatting sqref="B47">
    <cfRule type="cellIs" dxfId="24" priority="44" operator="lessThan">
      <formula>0</formula>
    </cfRule>
  </conditionalFormatting>
  <conditionalFormatting sqref="B43">
    <cfRule type="cellIs" dxfId="23" priority="42" operator="lessThan">
      <formula>0</formula>
    </cfRule>
    <cfRule type="cellIs" dxfId="22" priority="43" operator="lessThan">
      <formula>0</formula>
    </cfRule>
  </conditionalFormatting>
  <conditionalFormatting sqref="B43">
    <cfRule type="cellIs" dxfId="21" priority="41" operator="lessThan">
      <formula>0</formula>
    </cfRule>
  </conditionalFormatting>
  <conditionalFormatting sqref="B39">
    <cfRule type="cellIs" dxfId="20" priority="39" operator="lessThan">
      <formula>0</formula>
    </cfRule>
    <cfRule type="cellIs" dxfId="19" priority="40" operator="lessThan">
      <formula>0</formula>
    </cfRule>
  </conditionalFormatting>
  <conditionalFormatting sqref="B39">
    <cfRule type="cellIs" dxfId="18" priority="38" operator="lessThan">
      <formula>0</formula>
    </cfRule>
  </conditionalFormatting>
  <conditionalFormatting sqref="B35">
    <cfRule type="cellIs" dxfId="17" priority="36" operator="lessThan">
      <formula>0</formula>
    </cfRule>
    <cfRule type="cellIs" dxfId="16" priority="37" operator="lessThan">
      <formula>0</formula>
    </cfRule>
  </conditionalFormatting>
  <conditionalFormatting sqref="B35">
    <cfRule type="cellIs" dxfId="15" priority="35" operator="lessThan">
      <formula>0</formula>
    </cfRule>
  </conditionalFormatting>
  <conditionalFormatting sqref="B26">
    <cfRule type="cellIs" dxfId="14" priority="33" operator="lessThan">
      <formula>0</formula>
    </cfRule>
    <cfRule type="cellIs" dxfId="13" priority="34" operator="lessThan">
      <formula>0</formula>
    </cfRule>
  </conditionalFormatting>
  <conditionalFormatting sqref="B26">
    <cfRule type="cellIs" dxfId="12" priority="32" operator="lessThan">
      <formula>0</formula>
    </cfRule>
  </conditionalFormatting>
  <conditionalFormatting sqref="AK356">
    <cfRule type="cellIs" dxfId="11" priority="24" operator="lessThan">
      <formula>0</formula>
    </cfRule>
    <cfRule type="cellIs" dxfId="10" priority="25" operator="lessThan">
      <formula>0</formula>
    </cfRule>
  </conditionalFormatting>
  <conditionalFormatting sqref="AK356">
    <cfRule type="cellIs" dxfId="9" priority="16" operator="lessThan">
      <formula>0</formula>
    </cfRule>
  </conditionalFormatting>
  <conditionalFormatting sqref="AD475:AD1048576 AD1:AD473">
    <cfRule type="cellIs" dxfId="8" priority="9" operator="lessThan">
      <formula>0</formula>
    </cfRule>
  </conditionalFormatting>
  <conditionalFormatting sqref="J499:J512">
    <cfRule type="duplicateValues" dxfId="7" priority="7"/>
    <cfRule type="duplicateValues" dxfId="6" priority="8"/>
  </conditionalFormatting>
  <conditionalFormatting sqref="C528">
    <cfRule type="cellIs" dxfId="5" priority="5" operator="lessThan">
      <formula>0</formula>
    </cfRule>
    <cfRule type="cellIs" dxfId="4" priority="6" operator="lessThan">
      <formula>0</formula>
    </cfRule>
  </conditionalFormatting>
  <conditionalFormatting sqref="C528">
    <cfRule type="cellIs" dxfId="3" priority="4" operator="lessThan">
      <formula>0</formula>
    </cfRule>
  </conditionalFormatting>
  <conditionalFormatting sqref="D528">
    <cfRule type="cellIs" dxfId="2" priority="2" operator="lessThan">
      <formula>0</formula>
    </cfRule>
    <cfRule type="cellIs" dxfId="1" priority="3" operator="lessThan">
      <formula>0</formula>
    </cfRule>
  </conditionalFormatting>
  <conditionalFormatting sqref="D528">
    <cfRule type="cellIs" dxfId="0" priority="1" operator="lessThan">
      <formula>0</formula>
    </cfRule>
  </conditionalFormatting>
  <printOptions horizontalCentered="1" verticalCentered="1"/>
  <pageMargins left="0.39370078740157483" right="0.78740157480314965" top="0.27559055118110237" bottom="0.15748031496062992" header="0.31496062992125984" footer="0.31496062992125984"/>
  <pageSetup scale="35" fitToWidth="2" fitToHeight="2" orientation="landscape" r:id="rId1"/>
  <headerFooter>
    <oddFooter>&amp;LVersión 3. 23/07/2019</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zoomScale="91" zoomScaleNormal="91" workbookViewId="0">
      <selection sqref="A1:N1"/>
    </sheetView>
  </sheetViews>
  <sheetFormatPr baseColWidth="10" defaultRowHeight="12.75"/>
  <cols>
    <col min="1" max="1" width="33.28515625" customWidth="1"/>
    <col min="2" max="2" width="18.7109375" customWidth="1"/>
    <col min="3" max="3" width="18.5703125" customWidth="1"/>
    <col min="4" max="4" width="17" customWidth="1"/>
    <col min="5" max="5" width="16.28515625" customWidth="1"/>
    <col min="6" max="6" width="9.7109375" customWidth="1"/>
    <col min="7" max="7" width="15.42578125" customWidth="1"/>
    <col min="8" max="8" width="12.28515625" customWidth="1"/>
    <col min="9" max="9" width="10.42578125" customWidth="1"/>
    <col min="17" max="17" width="12.140625" bestFit="1" customWidth="1"/>
  </cols>
  <sheetData>
    <row r="1" spans="1:14" ht="22.5" customHeight="1">
      <c r="A1" s="2275" t="s">
        <v>617</v>
      </c>
      <c r="B1" s="2275"/>
      <c r="C1" s="2275"/>
      <c r="D1" s="2275"/>
      <c r="E1" s="2275"/>
      <c r="F1" s="2275"/>
      <c r="G1" s="2275"/>
      <c r="H1" s="2275"/>
      <c r="I1" s="2275"/>
      <c r="J1" s="2275"/>
      <c r="K1" s="2275"/>
      <c r="L1" s="2275"/>
      <c r="M1" s="2275"/>
      <c r="N1" s="2275"/>
    </row>
    <row r="2" spans="1:14">
      <c r="A2" s="1088"/>
      <c r="B2" s="1088"/>
      <c r="C2" s="1088"/>
      <c r="D2" s="1088"/>
      <c r="E2" s="1088"/>
      <c r="F2" s="1088"/>
      <c r="G2" s="1088"/>
      <c r="H2" s="1088"/>
      <c r="I2" s="1088"/>
      <c r="J2" s="1088"/>
      <c r="K2" s="1088"/>
      <c r="L2" s="1088"/>
      <c r="M2" s="1088"/>
      <c r="N2" s="1088"/>
    </row>
    <row r="3" spans="1:14" ht="15">
      <c r="A3" s="2271" t="s">
        <v>570</v>
      </c>
      <c r="B3" s="2272"/>
      <c r="C3" s="2272"/>
      <c r="D3" s="2272"/>
      <c r="E3" s="2272"/>
      <c r="F3" s="2272"/>
      <c r="G3" s="2272"/>
      <c r="H3" s="2272"/>
      <c r="I3" s="2272"/>
      <c r="J3" s="2272"/>
      <c r="K3" s="2272"/>
      <c r="L3" s="2272"/>
      <c r="M3" s="2272"/>
      <c r="N3" s="2272"/>
    </row>
    <row r="4" spans="1:14">
      <c r="A4" s="1089"/>
      <c r="B4" s="1089"/>
      <c r="C4" s="1089"/>
      <c r="D4" s="1089"/>
      <c r="E4" s="1089"/>
      <c r="F4" s="1089"/>
      <c r="G4" s="1089"/>
      <c r="H4" s="1089"/>
      <c r="I4" s="1089"/>
      <c r="J4" s="1089"/>
      <c r="K4" s="1089"/>
      <c r="L4" s="1089"/>
      <c r="M4" s="1089"/>
      <c r="N4" s="1089"/>
    </row>
    <row r="5" spans="1:14" ht="24">
      <c r="A5" s="1144" t="s">
        <v>571</v>
      </c>
      <c r="B5" s="1144" t="s">
        <v>572</v>
      </c>
      <c r="C5" s="1144" t="s">
        <v>124</v>
      </c>
      <c r="D5" s="1144" t="s">
        <v>125</v>
      </c>
      <c r="E5" s="1144" t="s">
        <v>573</v>
      </c>
      <c r="F5" s="1145" t="s">
        <v>574</v>
      </c>
      <c r="G5" s="2273" t="s">
        <v>124</v>
      </c>
      <c r="H5" s="2274"/>
      <c r="I5" s="1145" t="s">
        <v>575</v>
      </c>
      <c r="J5" s="2273" t="s">
        <v>125</v>
      </c>
      <c r="K5" s="2274"/>
      <c r="L5" s="1145" t="s">
        <v>576</v>
      </c>
      <c r="M5" s="2273" t="s">
        <v>573</v>
      </c>
      <c r="N5" s="2274"/>
    </row>
    <row r="6" spans="1:14" ht="25.5">
      <c r="A6" s="1090" t="s">
        <v>23</v>
      </c>
      <c r="B6" s="1091">
        <f>'1024'!B17</f>
        <v>618333656</v>
      </c>
      <c r="C6" s="1091">
        <f>'1024'!M37</f>
        <v>617997256</v>
      </c>
      <c r="D6" s="1091">
        <f>'1024'!O37</f>
        <v>617997256</v>
      </c>
      <c r="E6" s="1091">
        <f>'1024'!AC37</f>
        <v>586029204</v>
      </c>
      <c r="F6" s="1092">
        <f>C6/B6</f>
        <v>0.9994559571572148</v>
      </c>
      <c r="G6" s="1093">
        <f>C6/B6</f>
        <v>0.9994559571572148</v>
      </c>
      <c r="H6" s="1094">
        <f>C6/B6</f>
        <v>0.9994559571572148</v>
      </c>
      <c r="I6" s="1095">
        <f>D6/B6</f>
        <v>0.9994559571572148</v>
      </c>
      <c r="J6" s="1093">
        <f>D6/B6</f>
        <v>0.9994559571572148</v>
      </c>
      <c r="K6" s="1094">
        <f>D6/B6</f>
        <v>0.9994559571572148</v>
      </c>
      <c r="L6" s="1096">
        <f>E6/B6</f>
        <v>0.94775563049733136</v>
      </c>
      <c r="M6" s="1093">
        <f>E6/B6</f>
        <v>0.94775563049733136</v>
      </c>
      <c r="N6" s="1094">
        <f>E6/B6</f>
        <v>0.94775563049733136</v>
      </c>
    </row>
    <row r="7" spans="1:14">
      <c r="A7" s="1097" t="s">
        <v>577</v>
      </c>
      <c r="B7" s="1091">
        <f>'1024'!B38</f>
        <v>103271401</v>
      </c>
      <c r="C7" s="1091">
        <f>'1024'!M43</f>
        <v>103018666</v>
      </c>
      <c r="D7" s="1091">
        <f>'1024'!O43</f>
        <v>103018666</v>
      </c>
      <c r="E7" s="1091">
        <f>'1024'!AC43</f>
        <v>96920667</v>
      </c>
      <c r="F7" s="1092">
        <f>C7/B7</f>
        <v>0.99755271064832363</v>
      </c>
      <c r="G7" s="1093">
        <f>C7/B7</f>
        <v>0.99755271064832363</v>
      </c>
      <c r="H7" s="1094">
        <f>C7/B7</f>
        <v>0.99755271064832363</v>
      </c>
      <c r="I7" s="1095">
        <f>D7/B7</f>
        <v>0.99755271064832363</v>
      </c>
      <c r="J7" s="1093">
        <f>D7/B7</f>
        <v>0.99755271064832363</v>
      </c>
      <c r="K7" s="1094">
        <f>D7/B7</f>
        <v>0.99755271064832363</v>
      </c>
      <c r="L7" s="1096">
        <f>E7/B7</f>
        <v>0.93850442679672763</v>
      </c>
      <c r="M7" s="1093">
        <f>E7/B7</f>
        <v>0.93850442679672763</v>
      </c>
      <c r="N7" s="1094">
        <f>E7/B7</f>
        <v>0.93850442679672763</v>
      </c>
    </row>
    <row r="8" spans="1:14">
      <c r="A8" s="1090" t="s">
        <v>578</v>
      </c>
      <c r="B8" s="1091">
        <f>'1024'!B44</f>
        <v>18394943</v>
      </c>
      <c r="C8" s="1091">
        <f>'1024'!M48</f>
        <v>18394943</v>
      </c>
      <c r="D8" s="1091">
        <f>'1024'!O48</f>
        <v>18394943</v>
      </c>
      <c r="E8" s="1091">
        <f>'1024'!AC48</f>
        <v>18394943</v>
      </c>
      <c r="F8" s="1092">
        <f>C8/B8</f>
        <v>1</v>
      </c>
      <c r="G8" s="1093">
        <f>C8/B8</f>
        <v>1</v>
      </c>
      <c r="H8" s="1094">
        <f>C8/B8</f>
        <v>1</v>
      </c>
      <c r="I8" s="1095">
        <f>D8/B8</f>
        <v>1</v>
      </c>
      <c r="J8" s="1093">
        <f>D8/B8</f>
        <v>1</v>
      </c>
      <c r="K8" s="1094">
        <f>D8/B8</f>
        <v>1</v>
      </c>
      <c r="L8" s="1096">
        <f>E8/B8</f>
        <v>1</v>
      </c>
      <c r="M8" s="1093">
        <f>E8/B8</f>
        <v>1</v>
      </c>
      <c r="N8" s="1094">
        <f>E8/B8</f>
        <v>1</v>
      </c>
    </row>
    <row r="9" spans="1:14">
      <c r="A9" s="1098" t="s">
        <v>579</v>
      </c>
      <c r="B9" s="1099">
        <f>SUM(B6:B8)</f>
        <v>740000000</v>
      </c>
      <c r="C9" s="1099">
        <f>SUM(C6:C8)</f>
        <v>739410865</v>
      </c>
      <c r="D9" s="1099">
        <f>SUM(D6:D8)</f>
        <v>739410865</v>
      </c>
      <c r="E9" s="1100">
        <f>SUM(E6:E8)</f>
        <v>701344814</v>
      </c>
      <c r="F9" s="1101">
        <f>C9/B9</f>
        <v>0.99920387162162161</v>
      </c>
      <c r="G9" s="1102">
        <f>C9/B9</f>
        <v>0.99920387162162161</v>
      </c>
      <c r="H9" s="1103">
        <f>C9/B9</f>
        <v>0.99920387162162161</v>
      </c>
      <c r="I9" s="1104">
        <f>D9/B9</f>
        <v>0.99920387162162161</v>
      </c>
      <c r="J9" s="1102">
        <f>D9/B9</f>
        <v>0.99920387162162161</v>
      </c>
      <c r="K9" s="1103">
        <f>D9/B9</f>
        <v>0.99920387162162161</v>
      </c>
      <c r="L9" s="1105">
        <f>E9/B9</f>
        <v>0.94776326216216211</v>
      </c>
      <c r="M9" s="1102">
        <f>E9/B9</f>
        <v>0.94776326216216211</v>
      </c>
      <c r="N9" s="1103">
        <f>E9/B9</f>
        <v>0.94776326216216211</v>
      </c>
    </row>
    <row r="10" spans="1:14" ht="24">
      <c r="A10" s="1146" t="s">
        <v>580</v>
      </c>
      <c r="B10" s="1146" t="s">
        <v>572</v>
      </c>
      <c r="C10" s="1146" t="s">
        <v>124</v>
      </c>
      <c r="D10" s="1146" t="s">
        <v>125</v>
      </c>
      <c r="E10" s="1146" t="s">
        <v>573</v>
      </c>
      <c r="F10" s="1146" t="s">
        <v>574</v>
      </c>
      <c r="G10" s="2269" t="s">
        <v>124</v>
      </c>
      <c r="H10" s="2270"/>
      <c r="I10" s="1146" t="s">
        <v>575</v>
      </c>
      <c r="J10" s="2269" t="s">
        <v>125</v>
      </c>
      <c r="K10" s="2270"/>
      <c r="L10" s="1146" t="s">
        <v>576</v>
      </c>
      <c r="M10" s="2269" t="s">
        <v>573</v>
      </c>
      <c r="N10" s="2270"/>
    </row>
    <row r="11" spans="1:14" ht="25.5">
      <c r="A11" s="1090" t="s">
        <v>22</v>
      </c>
      <c r="B11" s="1091">
        <f>'1024'!B55</f>
        <v>740000000</v>
      </c>
      <c r="C11" s="1091">
        <f>'1024'!M50</f>
        <v>739410865</v>
      </c>
      <c r="D11" s="1091">
        <f>'1024'!O50</f>
        <v>739410865</v>
      </c>
      <c r="E11" s="1091">
        <f>'1024'!AC50</f>
        <v>701344814</v>
      </c>
      <c r="F11" s="1092">
        <f>C11/B11</f>
        <v>0.99920387162162161</v>
      </c>
      <c r="G11" s="1093">
        <f>C11/B11</f>
        <v>0.99920387162162161</v>
      </c>
      <c r="H11" s="1094">
        <f>C11/B11</f>
        <v>0.99920387162162161</v>
      </c>
      <c r="I11" s="1095">
        <f>D11/B11</f>
        <v>0.99920387162162161</v>
      </c>
      <c r="J11" s="1093">
        <f>D11/B11</f>
        <v>0.99920387162162161</v>
      </c>
      <c r="K11" s="1094">
        <f>D11/B11</f>
        <v>0.99920387162162161</v>
      </c>
      <c r="L11" s="1096">
        <f>E11/B11</f>
        <v>0.94776326216216211</v>
      </c>
      <c r="M11" s="1093">
        <f>E11/B11</f>
        <v>0.94776326216216211</v>
      </c>
      <c r="N11" s="1094">
        <f>E11/B11</f>
        <v>0.94776326216216211</v>
      </c>
    </row>
    <row r="12" spans="1:14">
      <c r="A12" s="1106"/>
      <c r="B12" s="1107"/>
      <c r="C12" s="1107"/>
      <c r="D12" s="1107"/>
      <c r="E12" s="1107"/>
      <c r="F12" s="1108"/>
      <c r="G12" s="1109"/>
      <c r="H12" s="1110"/>
      <c r="I12" s="1108"/>
      <c r="J12" s="1109"/>
      <c r="K12" s="1110"/>
      <c r="L12" s="1111"/>
      <c r="M12" s="1109"/>
      <c r="N12" s="1110"/>
    </row>
    <row r="13" spans="1:14" ht="15">
      <c r="A13" s="2271" t="s">
        <v>581</v>
      </c>
      <c r="B13" s="2272"/>
      <c r="C13" s="2272"/>
      <c r="D13" s="2272"/>
      <c r="E13" s="2272"/>
      <c r="F13" s="2272"/>
      <c r="G13" s="2272"/>
      <c r="H13" s="2272"/>
      <c r="I13" s="2272"/>
      <c r="J13" s="2272"/>
      <c r="K13" s="2272"/>
      <c r="L13" s="2272"/>
      <c r="M13" s="2272"/>
      <c r="N13" s="2272"/>
    </row>
    <row r="14" spans="1:14">
      <c r="A14" s="1089"/>
      <c r="B14" s="1089"/>
      <c r="C14" s="1089"/>
      <c r="D14" s="1089"/>
      <c r="E14" s="1089"/>
      <c r="F14" s="1089"/>
      <c r="G14" s="1089"/>
      <c r="H14" s="1089"/>
      <c r="I14" s="1089"/>
      <c r="J14" s="1089"/>
      <c r="K14" s="1089"/>
      <c r="L14" s="1089"/>
      <c r="M14" s="1089"/>
      <c r="N14" s="1089"/>
    </row>
    <row r="15" spans="1:14" ht="24">
      <c r="A15" s="1144" t="s">
        <v>571</v>
      </c>
      <c r="B15" s="1144" t="s">
        <v>572</v>
      </c>
      <c r="C15" s="1144" t="s">
        <v>124</v>
      </c>
      <c r="D15" s="1144" t="s">
        <v>125</v>
      </c>
      <c r="E15" s="1144" t="s">
        <v>573</v>
      </c>
      <c r="F15" s="1145" t="s">
        <v>574</v>
      </c>
      <c r="G15" s="2273" t="s">
        <v>124</v>
      </c>
      <c r="H15" s="2274"/>
      <c r="I15" s="1145" t="s">
        <v>575</v>
      </c>
      <c r="J15" s="2273" t="s">
        <v>125</v>
      </c>
      <c r="K15" s="2274"/>
      <c r="L15" s="1145" t="s">
        <v>576</v>
      </c>
      <c r="M15" s="2273" t="s">
        <v>573</v>
      </c>
      <c r="N15" s="2274"/>
    </row>
    <row r="16" spans="1:14" ht="23.25" customHeight="1">
      <c r="A16" s="1090" t="s">
        <v>35</v>
      </c>
      <c r="B16" s="1091">
        <f>'1107'!B17</f>
        <v>3540406532</v>
      </c>
      <c r="C16" s="1091">
        <f>'1107'!M129+'1107'!M134+'1107'!M138+'1107'!M144</f>
        <v>2933583600</v>
      </c>
      <c r="D16" s="1091">
        <f>'1107'!O129+'1107'!O134+'1107'!O138+'1107'!O144</f>
        <v>2933583600</v>
      </c>
      <c r="E16" s="1091">
        <f>'1107'!AC129+'1107'!AC134+'1107'!AC138+'1107'!AC144</f>
        <v>2052271391</v>
      </c>
      <c r="F16" s="1092">
        <f>IFERROR(C16/B16,0)</f>
        <v>0.82860077606477534</v>
      </c>
      <c r="G16" s="1093">
        <f>IFERROR(C16/B16,0)</f>
        <v>0.82860077606477534</v>
      </c>
      <c r="H16" s="1094">
        <f>IFERROR(C16/B16,0)</f>
        <v>0.82860077606477534</v>
      </c>
      <c r="I16" s="1095">
        <f>IFERROR(D16/B16,0)</f>
        <v>0.82860077606477534</v>
      </c>
      <c r="J16" s="1093">
        <f>IFERROR(D16/B16,0)</f>
        <v>0.82860077606477534</v>
      </c>
      <c r="K16" s="1094">
        <f>IFERROR(D16/B16,0)</f>
        <v>0.82860077606477534</v>
      </c>
      <c r="L16" s="1096">
        <f>IFERROR(E16/B16,0)</f>
        <v>0.57967111190495335</v>
      </c>
      <c r="M16" s="1093">
        <f>IFERROR(E16/B16,0)</f>
        <v>0.57967111190495335</v>
      </c>
      <c r="N16" s="1094">
        <f>IFERROR(E16/B16,0)</f>
        <v>0.57967111190495335</v>
      </c>
    </row>
    <row r="17" spans="1:17" ht="23.25" customHeight="1">
      <c r="A17" s="1090" t="s">
        <v>40</v>
      </c>
      <c r="B17" s="1091">
        <f>'1107'!B206</f>
        <v>2824008968</v>
      </c>
      <c r="C17" s="1091">
        <f>'1107'!M287+'1107'!M291</f>
        <v>2780181410</v>
      </c>
      <c r="D17" s="1091">
        <f>'1107'!O287+'1107'!O291</f>
        <v>2780181410</v>
      </c>
      <c r="E17" s="1091">
        <f>'1107'!AC287+'1107'!AC291</f>
        <v>2522395586</v>
      </c>
      <c r="F17" s="1092">
        <f>C17/B17</f>
        <v>0.98448037577195113</v>
      </c>
      <c r="G17" s="1093">
        <f>C17/B17</f>
        <v>0.98448037577195113</v>
      </c>
      <c r="H17" s="1094">
        <f>C17/B17</f>
        <v>0.98448037577195113</v>
      </c>
      <c r="I17" s="1095">
        <f>D17/B17</f>
        <v>0.98448037577195113</v>
      </c>
      <c r="J17" s="1093">
        <f>D17/B17</f>
        <v>0.98448037577195113</v>
      </c>
      <c r="K17" s="1094">
        <f>D17/B17</f>
        <v>0.98448037577195113</v>
      </c>
      <c r="L17" s="1096">
        <f>E17/B17</f>
        <v>0.89319673364436714</v>
      </c>
      <c r="M17" s="1093">
        <f>E17/B17</f>
        <v>0.89319673364436714</v>
      </c>
      <c r="N17" s="1094">
        <f>E17/B17</f>
        <v>0.89319673364436714</v>
      </c>
    </row>
    <row r="18" spans="1:17" ht="38.25">
      <c r="A18" s="1090" t="s">
        <v>595</v>
      </c>
      <c r="B18" s="1091">
        <f>'1107'!B145</f>
        <v>573584500</v>
      </c>
      <c r="C18" s="1091">
        <f>'1107'!M205</f>
        <v>572915000</v>
      </c>
      <c r="D18" s="1091">
        <f>'1107'!O205</f>
        <v>572915000</v>
      </c>
      <c r="E18" s="1091">
        <f>'1107'!AC205</f>
        <v>562996500</v>
      </c>
      <c r="F18" s="1092">
        <f>C18/B18</f>
        <v>0.99883277877976129</v>
      </c>
      <c r="G18" s="1093">
        <f>C18/B18</f>
        <v>0.99883277877976129</v>
      </c>
      <c r="H18" s="1094">
        <f>C18/B18</f>
        <v>0.99883277877976129</v>
      </c>
      <c r="I18" s="1095">
        <f>D18/B18</f>
        <v>0.99883277877976129</v>
      </c>
      <c r="J18" s="1093">
        <f>D18/B18</f>
        <v>0.99883277877976129</v>
      </c>
      <c r="K18" s="1094">
        <f>D18/B18</f>
        <v>0.99883277877976129</v>
      </c>
      <c r="L18" s="1096">
        <f>E18/B18</f>
        <v>0.9815406448396008</v>
      </c>
      <c r="M18" s="1093">
        <f>E18/B18</f>
        <v>0.9815406448396008</v>
      </c>
      <c r="N18" s="1094">
        <f>E18/B18</f>
        <v>0.9815406448396008</v>
      </c>
    </row>
    <row r="19" spans="1:17">
      <c r="A19" s="1098" t="s">
        <v>579</v>
      </c>
      <c r="B19" s="1099">
        <f>SUM(B16:B18)</f>
        <v>6938000000</v>
      </c>
      <c r="C19" s="1099">
        <f>SUM(C16:C18)</f>
        <v>6286680010</v>
      </c>
      <c r="D19" s="1099">
        <f>SUM(D16:D18)</f>
        <v>6286680010</v>
      </c>
      <c r="E19" s="1100">
        <f>SUM(E16:E18)</f>
        <v>5137663477</v>
      </c>
      <c r="F19" s="1101">
        <f>C19/B19</f>
        <v>0.9061228034015566</v>
      </c>
      <c r="G19" s="1102">
        <f>C19/B19</f>
        <v>0.9061228034015566</v>
      </c>
      <c r="H19" s="1103">
        <f>C19/B19</f>
        <v>0.9061228034015566</v>
      </c>
      <c r="I19" s="1104">
        <f>D19/B19</f>
        <v>0.9061228034015566</v>
      </c>
      <c r="J19" s="1102">
        <f>D19/B19</f>
        <v>0.9061228034015566</v>
      </c>
      <c r="K19" s="1103">
        <f>D19/B19</f>
        <v>0.9061228034015566</v>
      </c>
      <c r="L19" s="1105">
        <f>E19/B19</f>
        <v>0.74051073464975492</v>
      </c>
      <c r="M19" s="1102">
        <f>E19/B19</f>
        <v>0.74051073464975492</v>
      </c>
      <c r="N19" s="1103">
        <f>E19/B19</f>
        <v>0.74051073464975492</v>
      </c>
    </row>
    <row r="20" spans="1:17" ht="24">
      <c r="A20" s="1146" t="s">
        <v>580</v>
      </c>
      <c r="B20" s="1146" t="s">
        <v>572</v>
      </c>
      <c r="C20" s="1146" t="s">
        <v>124</v>
      </c>
      <c r="D20" s="1146" t="s">
        <v>125</v>
      </c>
      <c r="E20" s="1146" t="s">
        <v>573</v>
      </c>
      <c r="F20" s="1146" t="s">
        <v>574</v>
      </c>
      <c r="G20" s="2269" t="s">
        <v>124</v>
      </c>
      <c r="H20" s="2270"/>
      <c r="I20" s="1146" t="s">
        <v>575</v>
      </c>
      <c r="J20" s="2269" t="s">
        <v>125</v>
      </c>
      <c r="K20" s="2270"/>
      <c r="L20" s="1146" t="s">
        <v>576</v>
      </c>
      <c r="M20" s="2269" t="s">
        <v>573</v>
      </c>
      <c r="N20" s="2270"/>
    </row>
    <row r="21" spans="1:17" ht="38.25">
      <c r="A21" s="1090" t="s">
        <v>582</v>
      </c>
      <c r="B21" s="1091">
        <f>'1107'!B300</f>
        <v>6938000000</v>
      </c>
      <c r="C21" s="1091">
        <f>'1107'!M293</f>
        <v>6286680010</v>
      </c>
      <c r="D21" s="1091">
        <f>'1107'!O293</f>
        <v>6286680010</v>
      </c>
      <c r="E21" s="1091">
        <f>'1107'!AC293</f>
        <v>5137663477</v>
      </c>
      <c r="F21" s="1092">
        <f>C21/B21</f>
        <v>0.9061228034015566</v>
      </c>
      <c r="G21" s="1093">
        <f>C21/B21</f>
        <v>0.9061228034015566</v>
      </c>
      <c r="H21" s="1094">
        <f>C21/B21</f>
        <v>0.9061228034015566</v>
      </c>
      <c r="I21" s="1095">
        <f>D21/B21</f>
        <v>0.9061228034015566</v>
      </c>
      <c r="J21" s="1093">
        <f>D21/B21</f>
        <v>0.9061228034015566</v>
      </c>
      <c r="K21" s="1094">
        <f>D21/B21</f>
        <v>0.9061228034015566</v>
      </c>
      <c r="L21" s="1096">
        <f>E21/B21</f>
        <v>0.74051073464975492</v>
      </c>
      <c r="M21" s="1093">
        <f>E21/B21</f>
        <v>0.74051073464975492</v>
      </c>
      <c r="N21" s="1094">
        <f>E21/B21</f>
        <v>0.74051073464975492</v>
      </c>
    </row>
    <row r="22" spans="1:17">
      <c r="A22" s="1106"/>
      <c r="B22" s="1107"/>
      <c r="C22" s="1107"/>
      <c r="D22" s="1107"/>
      <c r="E22" s="1107"/>
      <c r="F22" s="1108"/>
      <c r="G22" s="1109"/>
      <c r="H22" s="1110"/>
      <c r="I22" s="1108"/>
      <c r="J22" s="1109"/>
      <c r="K22" s="1110"/>
      <c r="L22" s="1111"/>
      <c r="M22" s="1109"/>
      <c r="N22" s="1110"/>
    </row>
    <row r="23" spans="1:17" ht="15">
      <c r="A23" s="2271" t="s">
        <v>583</v>
      </c>
      <c r="B23" s="2272"/>
      <c r="C23" s="2272"/>
      <c r="D23" s="2272"/>
      <c r="E23" s="2272"/>
      <c r="F23" s="2272"/>
      <c r="G23" s="2272"/>
      <c r="H23" s="2272"/>
      <c r="I23" s="2272"/>
      <c r="J23" s="2272"/>
      <c r="K23" s="2272"/>
      <c r="L23" s="2272"/>
      <c r="M23" s="2272"/>
      <c r="N23" s="2272"/>
    </row>
    <row r="24" spans="1:17">
      <c r="A24" s="1089"/>
      <c r="B24" s="1089"/>
      <c r="C24" s="1089"/>
      <c r="D24" s="1089"/>
      <c r="E24" s="1089"/>
      <c r="F24" s="1089"/>
      <c r="G24" s="1089"/>
      <c r="H24" s="1089"/>
      <c r="I24" s="1089"/>
      <c r="J24" s="1089"/>
      <c r="K24" s="1089"/>
      <c r="L24" s="1089"/>
      <c r="M24" s="1089"/>
      <c r="N24" s="1089"/>
    </row>
    <row r="25" spans="1:17" ht="24">
      <c r="A25" s="1144" t="s">
        <v>571</v>
      </c>
      <c r="B25" s="1144" t="s">
        <v>572</v>
      </c>
      <c r="C25" s="1144" t="s">
        <v>124</v>
      </c>
      <c r="D25" s="1144" t="s">
        <v>125</v>
      </c>
      <c r="E25" s="1144" t="s">
        <v>573</v>
      </c>
      <c r="F25" s="1145" t="s">
        <v>574</v>
      </c>
      <c r="G25" s="2273" t="s">
        <v>124</v>
      </c>
      <c r="H25" s="2274"/>
      <c r="I25" s="1145" t="s">
        <v>575</v>
      </c>
      <c r="J25" s="2273" t="s">
        <v>125</v>
      </c>
      <c r="K25" s="2274"/>
      <c r="L25" s="1145" t="s">
        <v>576</v>
      </c>
      <c r="M25" s="2273" t="s">
        <v>573</v>
      </c>
      <c r="N25" s="2274"/>
      <c r="Q25" s="114"/>
    </row>
    <row r="26" spans="1:17" ht="51">
      <c r="A26" s="1148" t="s">
        <v>598</v>
      </c>
      <c r="B26" s="1091">
        <f>'1110'!B88</f>
        <v>499373333</v>
      </c>
      <c r="C26" s="1091">
        <f>'1110'!M116</f>
        <v>499373332</v>
      </c>
      <c r="D26" s="1091">
        <f>'1110'!O116</f>
        <v>499373332</v>
      </c>
      <c r="E26" s="1091">
        <f>'1110'!AC116</f>
        <v>472613332</v>
      </c>
      <c r="F26" s="1112">
        <f>IFERROR(C26/B26,0)</f>
        <v>0.99999999799749018</v>
      </c>
      <c r="G26" s="1093">
        <f>IFERROR(C26/B26,0)</f>
        <v>0.99999999799749018</v>
      </c>
      <c r="H26" s="1094">
        <f>IFERROR(C26/B26,0)</f>
        <v>0.99999999799749018</v>
      </c>
      <c r="I26" s="1113">
        <f>IFERROR(D26/B26,0)</f>
        <v>0.99999999799749018</v>
      </c>
      <c r="J26" s="1093">
        <f>IFERROR(D26/B26,0)</f>
        <v>0.99999999799749018</v>
      </c>
      <c r="K26" s="1094">
        <f>IFERROR(D26/B26,0)</f>
        <v>0.99999999799749018</v>
      </c>
      <c r="L26" s="1096">
        <f>IFERROR(E26/B26,0)</f>
        <v>0.94641283538462395</v>
      </c>
      <c r="M26" s="1093">
        <f>IFERROR(E26/B26,0)</f>
        <v>0.94641283538462395</v>
      </c>
      <c r="N26" s="1094">
        <f>IFERROR(E26/B26,0)</f>
        <v>0.94641283538462395</v>
      </c>
    </row>
    <row r="27" spans="1:17" ht="25.5">
      <c r="A27" s="1090" t="s">
        <v>596</v>
      </c>
      <c r="B27" s="1091">
        <f>'1110'!B117</f>
        <v>2641146274</v>
      </c>
      <c r="C27" s="1091">
        <f>'1110'!M224+'1110'!M227</f>
        <v>2640579034</v>
      </c>
      <c r="D27" s="1091">
        <f>'1110'!O224+'1110'!O227</f>
        <v>2640579034</v>
      </c>
      <c r="E27" s="1091">
        <f>'1110'!AC224+'1110'!AC227</f>
        <v>2457368665</v>
      </c>
      <c r="F27" s="1112">
        <f t="shared" ref="F27:F32" si="0">C27/B27</f>
        <v>0.9997852296157983</v>
      </c>
      <c r="G27" s="1093">
        <f t="shared" ref="G27:G32" si="1">C27/B27</f>
        <v>0.9997852296157983</v>
      </c>
      <c r="H27" s="1094">
        <f t="shared" ref="H27:H32" si="2">C27/B27</f>
        <v>0.9997852296157983</v>
      </c>
      <c r="I27" s="1113">
        <f t="shared" ref="I27:I32" si="3">D27/B27</f>
        <v>0.9997852296157983</v>
      </c>
      <c r="J27" s="1093">
        <f t="shared" ref="J27:J32" si="4">D27/B27</f>
        <v>0.9997852296157983</v>
      </c>
      <c r="K27" s="1094">
        <f t="shared" ref="K27:K32" si="5">D27/B27</f>
        <v>0.9997852296157983</v>
      </c>
      <c r="L27" s="1096">
        <f t="shared" ref="L27:L32" si="6">E27/B27</f>
        <v>0.9304174816786388</v>
      </c>
      <c r="M27" s="1093">
        <f t="shared" ref="M27:M32" si="7">E27/B27</f>
        <v>0.9304174816786388</v>
      </c>
      <c r="N27" s="1094">
        <f t="shared" ref="N27:N32" si="8">E27/B27</f>
        <v>0.9304174816786388</v>
      </c>
    </row>
    <row r="28" spans="1:17" ht="25.5">
      <c r="A28" s="1090" t="s">
        <v>61</v>
      </c>
      <c r="B28" s="1091">
        <f>'1110'!B228</f>
        <v>268012000</v>
      </c>
      <c r="C28" s="1091">
        <f>'1110'!M239</f>
        <v>267943334</v>
      </c>
      <c r="D28" s="1091">
        <f>'1110'!O239</f>
        <v>267943334</v>
      </c>
      <c r="E28" s="1091">
        <f>'1110'!AC239</f>
        <v>253483333</v>
      </c>
      <c r="F28" s="1112">
        <f t="shared" si="0"/>
        <v>0.99974379505395283</v>
      </c>
      <c r="G28" s="1093">
        <f t="shared" si="1"/>
        <v>0.99974379505395283</v>
      </c>
      <c r="H28" s="1094">
        <f t="shared" si="2"/>
        <v>0.99974379505395283</v>
      </c>
      <c r="I28" s="1113">
        <f t="shared" si="3"/>
        <v>0.99974379505395283</v>
      </c>
      <c r="J28" s="1093">
        <f t="shared" si="4"/>
        <v>0.99974379505395283</v>
      </c>
      <c r="K28" s="1094">
        <f t="shared" si="5"/>
        <v>0.99974379505395283</v>
      </c>
      <c r="L28" s="1096">
        <f t="shared" si="6"/>
        <v>0.94579098323955646</v>
      </c>
      <c r="M28" s="1093">
        <f t="shared" si="7"/>
        <v>0.94579098323955646</v>
      </c>
      <c r="N28" s="1094">
        <f t="shared" si="8"/>
        <v>0.94579098323955646</v>
      </c>
    </row>
    <row r="29" spans="1:17" ht="38.25">
      <c r="A29" s="1090" t="s">
        <v>597</v>
      </c>
      <c r="B29" s="1091">
        <f>'1110'!B75</f>
        <v>282852000</v>
      </c>
      <c r="C29" s="1091">
        <f>'1110'!M87</f>
        <v>282852000</v>
      </c>
      <c r="D29" s="1091">
        <f>'1110'!O87</f>
        <v>282852000</v>
      </c>
      <c r="E29" s="1091">
        <f>'1110'!AC87</f>
        <v>268022000</v>
      </c>
      <c r="F29" s="1112">
        <f t="shared" si="0"/>
        <v>1</v>
      </c>
      <c r="G29" s="1093">
        <f t="shared" si="1"/>
        <v>1</v>
      </c>
      <c r="H29" s="1094">
        <f t="shared" si="2"/>
        <v>1</v>
      </c>
      <c r="I29" s="1113">
        <f t="shared" si="3"/>
        <v>1</v>
      </c>
      <c r="J29" s="1093">
        <f t="shared" si="4"/>
        <v>1</v>
      </c>
      <c r="K29" s="1094">
        <f t="shared" si="5"/>
        <v>1</v>
      </c>
      <c r="L29" s="1096">
        <f t="shared" si="6"/>
        <v>0.94756975379350328</v>
      </c>
      <c r="M29" s="1093">
        <f t="shared" si="7"/>
        <v>0.94756975379350328</v>
      </c>
      <c r="N29" s="1094">
        <f t="shared" si="8"/>
        <v>0.94756975379350328</v>
      </c>
    </row>
    <row r="30" spans="1:17" ht="25.5">
      <c r="A30" s="1090" t="s">
        <v>58</v>
      </c>
      <c r="B30" s="1091">
        <f>'1110'!B45</f>
        <v>384745221</v>
      </c>
      <c r="C30" s="1091">
        <f>'1110'!M66+'1110'!M74</f>
        <v>384721763</v>
      </c>
      <c r="D30" s="1091">
        <f>'1110'!O66+'1110'!O74</f>
        <v>384721763</v>
      </c>
      <c r="E30" s="1091">
        <f>'1110'!AC66+'1110'!AC74</f>
        <v>314058782</v>
      </c>
      <c r="F30" s="1112">
        <f t="shared" si="0"/>
        <v>0.999939029781997</v>
      </c>
      <c r="G30" s="1093">
        <f t="shared" si="1"/>
        <v>0.999939029781997</v>
      </c>
      <c r="H30" s="1094">
        <f t="shared" si="2"/>
        <v>0.999939029781997</v>
      </c>
      <c r="I30" s="1113">
        <f t="shared" si="3"/>
        <v>0.999939029781997</v>
      </c>
      <c r="J30" s="1093">
        <f t="shared" si="4"/>
        <v>0.999939029781997</v>
      </c>
      <c r="K30" s="1094">
        <f t="shared" si="5"/>
        <v>0.999939029781997</v>
      </c>
      <c r="L30" s="1096">
        <f t="shared" si="6"/>
        <v>0.81627727872414557</v>
      </c>
      <c r="M30" s="1093">
        <f t="shared" si="7"/>
        <v>0.81627727872414557</v>
      </c>
      <c r="N30" s="1094">
        <f t="shared" si="8"/>
        <v>0.81627727872414557</v>
      </c>
    </row>
    <row r="31" spans="1:17" ht="25.5">
      <c r="A31" s="1147" t="s">
        <v>52</v>
      </c>
      <c r="B31" s="1122">
        <f>'1110'!B17</f>
        <v>1502033172</v>
      </c>
      <c r="C31" s="1122">
        <f>'1110'!M34+'1110'!M39+'1110'!M44</f>
        <v>1497956071</v>
      </c>
      <c r="D31" s="1122">
        <f>'1110'!O34+'1110'!O39+'1110'!O44</f>
        <v>1497956071</v>
      </c>
      <c r="E31" s="1091">
        <f>'1110'!AC34+'1110'!AC39+'1110'!AC44</f>
        <v>1274481517</v>
      </c>
      <c r="F31" s="1113">
        <f t="shared" si="0"/>
        <v>0.99728561187861697</v>
      </c>
      <c r="G31" s="1093">
        <f t="shared" si="1"/>
        <v>0.99728561187861697</v>
      </c>
      <c r="H31" s="1094">
        <f t="shared" si="2"/>
        <v>0.99728561187861697</v>
      </c>
      <c r="I31" s="1113">
        <f t="shared" si="3"/>
        <v>0.99728561187861697</v>
      </c>
      <c r="J31" s="1093">
        <f t="shared" si="4"/>
        <v>0.99728561187861697</v>
      </c>
      <c r="K31" s="1094">
        <f t="shared" si="5"/>
        <v>0.99728561187861697</v>
      </c>
      <c r="L31" s="1096">
        <f t="shared" si="6"/>
        <v>0.84850424128981883</v>
      </c>
      <c r="M31" s="1093">
        <f t="shared" si="7"/>
        <v>0.84850424128981883</v>
      </c>
      <c r="N31" s="1094">
        <f t="shared" si="8"/>
        <v>0.84850424128981883</v>
      </c>
    </row>
    <row r="32" spans="1:17">
      <c r="A32" s="1098" t="s">
        <v>579</v>
      </c>
      <c r="B32" s="1099">
        <f>SUM(B26:B31)</f>
        <v>5578162000</v>
      </c>
      <c r="C32" s="1099">
        <f>SUM(C26:C31)</f>
        <v>5573425534</v>
      </c>
      <c r="D32" s="1099">
        <f>SUM(D26:D31)</f>
        <v>5573425534</v>
      </c>
      <c r="E32" s="1099">
        <f>SUM(E26:E31)</f>
        <v>5040027629</v>
      </c>
      <c r="F32" s="1114">
        <f t="shared" si="0"/>
        <v>0.99915089127924217</v>
      </c>
      <c r="G32" s="1102">
        <f t="shared" si="1"/>
        <v>0.99915089127924217</v>
      </c>
      <c r="H32" s="1103">
        <f t="shared" si="2"/>
        <v>0.99915089127924217</v>
      </c>
      <c r="I32" s="1115">
        <f t="shared" si="3"/>
        <v>0.99915089127924217</v>
      </c>
      <c r="J32" s="1102">
        <f t="shared" si="4"/>
        <v>0.99915089127924217</v>
      </c>
      <c r="K32" s="1103">
        <f t="shared" si="5"/>
        <v>0.99915089127924217</v>
      </c>
      <c r="L32" s="1105">
        <f t="shared" si="6"/>
        <v>0.90352837171096856</v>
      </c>
      <c r="M32" s="1102">
        <f t="shared" si="7"/>
        <v>0.90352837171096856</v>
      </c>
      <c r="N32" s="1103">
        <f t="shared" si="8"/>
        <v>0.90352837171096856</v>
      </c>
    </row>
    <row r="33" spans="1:14" ht="24">
      <c r="A33" s="1146" t="s">
        <v>580</v>
      </c>
      <c r="B33" s="1146" t="s">
        <v>572</v>
      </c>
      <c r="C33" s="1146" t="s">
        <v>124</v>
      </c>
      <c r="D33" s="1146" t="s">
        <v>125</v>
      </c>
      <c r="E33" s="1146" t="s">
        <v>573</v>
      </c>
      <c r="F33" s="1146" t="s">
        <v>574</v>
      </c>
      <c r="G33" s="2269" t="s">
        <v>124</v>
      </c>
      <c r="H33" s="2270"/>
      <c r="I33" s="1146" t="s">
        <v>575</v>
      </c>
      <c r="J33" s="2269" t="s">
        <v>125</v>
      </c>
      <c r="K33" s="2270"/>
      <c r="L33" s="1146" t="s">
        <v>576</v>
      </c>
      <c r="M33" s="2269" t="s">
        <v>573</v>
      </c>
      <c r="N33" s="2270"/>
    </row>
    <row r="34" spans="1:14" ht="25.5">
      <c r="A34" s="1090" t="str">
        <f>'[10]1110'!A81</f>
        <v>10. Procesos articulados dentro del sistema integrado de gestión.</v>
      </c>
      <c r="B34" s="1091">
        <f>'1110'!B246</f>
        <v>5578162000</v>
      </c>
      <c r="C34" s="1091">
        <f>'1110'!M241</f>
        <v>5573425534</v>
      </c>
      <c r="D34" s="1091">
        <f>'1110'!O241</f>
        <v>5573425534</v>
      </c>
      <c r="E34" s="1091">
        <f>'1110'!AC241</f>
        <v>5040027629</v>
      </c>
      <c r="F34" s="1112">
        <f>C34/B34</f>
        <v>0.99915089127924217</v>
      </c>
      <c r="G34" s="1093">
        <f>C34/B34</f>
        <v>0.99915089127924217</v>
      </c>
      <c r="H34" s="1094">
        <f>C34/B34</f>
        <v>0.99915089127924217</v>
      </c>
      <c r="I34" s="1113">
        <f>D34/B34</f>
        <v>0.99915089127924217</v>
      </c>
      <c r="J34" s="1093">
        <f>D34/B34</f>
        <v>0.99915089127924217</v>
      </c>
      <c r="K34" s="1094">
        <f>D34/B34</f>
        <v>0.99915089127924217</v>
      </c>
      <c r="L34" s="1096">
        <f>E34/B34</f>
        <v>0.90352837171096856</v>
      </c>
      <c r="M34" s="1093">
        <f>E34/B34</f>
        <v>0.90352837171096856</v>
      </c>
      <c r="N34" s="1094">
        <f>E34/B34</f>
        <v>0.90352837171096856</v>
      </c>
    </row>
    <row r="35" spans="1:14">
      <c r="A35" s="1106"/>
      <c r="B35" s="1107"/>
      <c r="C35" s="1107"/>
      <c r="D35" s="1107"/>
      <c r="E35" s="1107"/>
      <c r="F35" s="1108"/>
      <c r="G35" s="1109"/>
      <c r="H35" s="1110"/>
      <c r="I35" s="1108"/>
      <c r="J35" s="1109"/>
      <c r="K35" s="1110"/>
      <c r="L35" s="1111"/>
      <c r="M35" s="1109"/>
      <c r="N35" s="1110"/>
    </row>
    <row r="36" spans="1:14" ht="15">
      <c r="A36" s="2271" t="s">
        <v>584</v>
      </c>
      <c r="B36" s="2272"/>
      <c r="C36" s="2272"/>
      <c r="D36" s="2272"/>
      <c r="E36" s="2272"/>
      <c r="F36" s="2272"/>
      <c r="G36" s="2272"/>
      <c r="H36" s="2272"/>
      <c r="I36" s="2272"/>
      <c r="J36" s="2272"/>
      <c r="K36" s="2272"/>
      <c r="L36" s="2272"/>
      <c r="M36" s="2272"/>
      <c r="N36" s="2272"/>
    </row>
    <row r="37" spans="1:14">
      <c r="A37" s="1089"/>
      <c r="B37" s="1089"/>
      <c r="C37" s="1089"/>
      <c r="D37" s="1089"/>
      <c r="E37" s="1089"/>
      <c r="F37" s="1089"/>
      <c r="G37" s="1089"/>
      <c r="H37" s="1089"/>
      <c r="I37" s="1089"/>
      <c r="J37" s="1089"/>
      <c r="K37" s="1089"/>
      <c r="L37" s="1089"/>
      <c r="M37" s="1089"/>
      <c r="N37" s="1089"/>
    </row>
    <row r="38" spans="1:14" ht="24">
      <c r="A38" s="1144" t="s">
        <v>571</v>
      </c>
      <c r="B38" s="1144" t="s">
        <v>572</v>
      </c>
      <c r="C38" s="1144" t="s">
        <v>124</v>
      </c>
      <c r="D38" s="1144" t="s">
        <v>125</v>
      </c>
      <c r="E38" s="1144" t="s">
        <v>573</v>
      </c>
      <c r="F38" s="1145" t="s">
        <v>574</v>
      </c>
      <c r="G38" s="2273" t="s">
        <v>124</v>
      </c>
      <c r="H38" s="2274"/>
      <c r="I38" s="1145" t="s">
        <v>575</v>
      </c>
      <c r="J38" s="2273" t="s">
        <v>125</v>
      </c>
      <c r="K38" s="2274"/>
      <c r="L38" s="1145" t="s">
        <v>576</v>
      </c>
      <c r="M38" s="2273" t="s">
        <v>573</v>
      </c>
      <c r="N38" s="2274"/>
    </row>
    <row r="39" spans="1:14" ht="25.5">
      <c r="A39" s="1148" t="s">
        <v>72</v>
      </c>
      <c r="B39" s="1091">
        <f>'1112'!B17</f>
        <v>1440474166</v>
      </c>
      <c r="C39" s="1091">
        <f>'1112'!M88</f>
        <v>1440474166</v>
      </c>
      <c r="D39" s="1091">
        <f>'1112'!O88</f>
        <v>1440474166</v>
      </c>
      <c r="E39" s="1091">
        <f>'1112'!AC88</f>
        <v>1427274166</v>
      </c>
      <c r="F39" s="1112">
        <f>IFERROR(C39/B39,0)</f>
        <v>1</v>
      </c>
      <c r="G39" s="1093">
        <f>IFERROR(C39/B39,0)</f>
        <v>1</v>
      </c>
      <c r="H39" s="1094">
        <f>IFERROR(C39/B39,0)</f>
        <v>1</v>
      </c>
      <c r="I39" s="1113">
        <f>IFERROR(D39/B39,0)</f>
        <v>1</v>
      </c>
      <c r="J39" s="1093">
        <f>IFERROR(D39/B39,0)</f>
        <v>1</v>
      </c>
      <c r="K39" s="1094">
        <f>IFERROR(D39/B39,0)</f>
        <v>1</v>
      </c>
      <c r="L39" s="1096">
        <f>IFERROR(E39/B39,0)</f>
        <v>0.99083635075757404</v>
      </c>
      <c r="M39" s="1093">
        <f>IFERROR(E39/B39,0)</f>
        <v>0.99083635075757404</v>
      </c>
      <c r="N39" s="1094">
        <f>IFERROR(E39/B39,0)</f>
        <v>0.99083635075757404</v>
      </c>
    </row>
    <row r="40" spans="1:14" ht="25.5">
      <c r="A40" s="1148" t="s">
        <v>74</v>
      </c>
      <c r="B40" s="1091">
        <f>'1112'!B96</f>
        <v>765799167</v>
      </c>
      <c r="C40" s="1091">
        <f>'1112'!O124</f>
        <v>765595001</v>
      </c>
      <c r="D40" s="1091">
        <f>'1112'!O124</f>
        <v>765595001</v>
      </c>
      <c r="E40" s="1091">
        <f>'1112'!AC124</f>
        <v>747368665</v>
      </c>
      <c r="F40" s="1112">
        <f>C40/B40</f>
        <v>0.9997333948523347</v>
      </c>
      <c r="G40" s="1093">
        <f>C40/B40</f>
        <v>0.9997333948523347</v>
      </c>
      <c r="H40" s="1094">
        <f>C40/B40</f>
        <v>0.9997333948523347</v>
      </c>
      <c r="I40" s="1113">
        <f>D40/B40</f>
        <v>0.9997333948523347</v>
      </c>
      <c r="J40" s="1093">
        <f>D40/B40</f>
        <v>0.9997333948523347</v>
      </c>
      <c r="K40" s="1094">
        <f>D40/B40</f>
        <v>0.9997333948523347</v>
      </c>
      <c r="L40" s="1096">
        <f>E40/B40</f>
        <v>0.97593298243950688</v>
      </c>
      <c r="M40" s="1093">
        <f>E40/B40</f>
        <v>0.97593298243950688</v>
      </c>
      <c r="N40" s="1094">
        <f>E40/B40</f>
        <v>0.97593298243950688</v>
      </c>
    </row>
    <row r="41" spans="1:14" ht="38.25">
      <c r="A41" s="1148" t="s">
        <v>599</v>
      </c>
      <c r="B41" s="1091">
        <f>'1112'!B125</f>
        <v>217726667</v>
      </c>
      <c r="C41" s="1091">
        <f>'1112'!M132</f>
        <v>217493334</v>
      </c>
      <c r="D41" s="1091">
        <f>'1112'!O132</f>
        <v>217493334</v>
      </c>
      <c r="E41" s="1091">
        <f>'1112'!AC132</f>
        <v>217493334</v>
      </c>
      <c r="F41" s="1112">
        <f>IFERROR(C41/B41,0)</f>
        <v>0.99892832144442834</v>
      </c>
      <c r="G41" s="1093">
        <f>IFERROR(C41/B41,0)</f>
        <v>0.99892832144442834</v>
      </c>
      <c r="H41" s="1094">
        <f>IFERROR(C41/B41,0)</f>
        <v>0.99892832144442834</v>
      </c>
      <c r="I41" s="1113">
        <f>IFERROR(D41/B41,0)</f>
        <v>0.99892832144442834</v>
      </c>
      <c r="J41" s="1093">
        <f>IFERROR(D41/B41,0)</f>
        <v>0.99892832144442834</v>
      </c>
      <c r="K41" s="1094">
        <f>IFERROR(D41/B41,0)</f>
        <v>0.99892832144442834</v>
      </c>
      <c r="L41" s="1096">
        <f>IFERROR(E41/B41,0)</f>
        <v>0.99892832144442834</v>
      </c>
      <c r="M41" s="1093">
        <f>IFERROR(E41/B41,0)</f>
        <v>0.99892832144442834</v>
      </c>
      <c r="N41" s="1094">
        <f>IFERROR(E41/B41,0)</f>
        <v>0.99892832144442834</v>
      </c>
    </row>
    <row r="42" spans="1:14" ht="51">
      <c r="A42" s="1147" t="s">
        <v>1277</v>
      </c>
      <c r="B42" s="1122">
        <f>'1112'!B89</f>
        <v>499660347</v>
      </c>
      <c r="C42" s="1122">
        <f>'1112'!M95</f>
        <v>498448500</v>
      </c>
      <c r="D42" s="1122">
        <f>'1112'!O95</f>
        <v>498448500</v>
      </c>
      <c r="E42" s="1122">
        <f>'1112'!AC95</f>
        <v>186099400</v>
      </c>
      <c r="F42" s="1112">
        <f>IFERROR(C42/B42,0)</f>
        <v>0.99757465845093363</v>
      </c>
      <c r="G42" s="1093">
        <f>IFERROR(C42/B42,0)</f>
        <v>0.99757465845093363</v>
      </c>
      <c r="H42" s="1094">
        <f>IFERROR(C42/B42,0)</f>
        <v>0.99757465845093363</v>
      </c>
      <c r="I42" s="1113">
        <f>IFERROR(D42/B42,0)</f>
        <v>0.99757465845093363</v>
      </c>
      <c r="J42" s="1093">
        <f>IFERROR(D42/B42,0)</f>
        <v>0.99757465845093363</v>
      </c>
      <c r="K42" s="1094">
        <f>IFERROR(D42/B42,0)</f>
        <v>0.99757465845093363</v>
      </c>
      <c r="L42" s="1096">
        <f>IFERROR(E42/B42,0)</f>
        <v>0.37245180874839362</v>
      </c>
      <c r="M42" s="1093">
        <f>IFERROR(E42/B42,0)</f>
        <v>0.37245180874839362</v>
      </c>
      <c r="N42" s="1094">
        <f>IFERROR(E42/B42,0)</f>
        <v>0.37245180874839362</v>
      </c>
    </row>
    <row r="43" spans="1:14">
      <c r="A43" s="1098" t="s">
        <v>579</v>
      </c>
      <c r="B43" s="1099">
        <f>SUM(B39:B42)</f>
        <v>2923660347</v>
      </c>
      <c r="C43" s="1099">
        <f>SUM(C39:C42)</f>
        <v>2922011001</v>
      </c>
      <c r="D43" s="1099">
        <f>SUM(D39:D42)</f>
        <v>2922011001</v>
      </c>
      <c r="E43" s="1099">
        <f>SUM(E39:E42)</f>
        <v>2578235565</v>
      </c>
      <c r="F43" s="1114">
        <f>C43/B43</f>
        <v>0.99943586265015616</v>
      </c>
      <c r="G43" s="1102">
        <f>C43/B43</f>
        <v>0.99943586265015616</v>
      </c>
      <c r="H43" s="1103">
        <f>C43/B43</f>
        <v>0.99943586265015616</v>
      </c>
      <c r="I43" s="1115">
        <f>D43/B43</f>
        <v>0.99943586265015616</v>
      </c>
      <c r="J43" s="1102">
        <f>D43/B43</f>
        <v>0.99943586265015616</v>
      </c>
      <c r="K43" s="1103">
        <f>D43/B43</f>
        <v>0.99943586265015616</v>
      </c>
      <c r="L43" s="1105">
        <f>E43/B43</f>
        <v>0.88185194550576163</v>
      </c>
      <c r="M43" s="1102">
        <f>E43/B43</f>
        <v>0.88185194550576163</v>
      </c>
      <c r="N43" s="1103">
        <f>E43/B43</f>
        <v>0.88185194550576163</v>
      </c>
    </row>
    <row r="44" spans="1:14" ht="24">
      <c r="A44" s="1146" t="s">
        <v>580</v>
      </c>
      <c r="B44" s="1146" t="s">
        <v>572</v>
      </c>
      <c r="C44" s="1146" t="s">
        <v>124</v>
      </c>
      <c r="D44" s="1146" t="s">
        <v>125</v>
      </c>
      <c r="E44" s="1146" t="s">
        <v>573</v>
      </c>
      <c r="F44" s="1146" t="s">
        <v>574</v>
      </c>
      <c r="G44" s="2269" t="s">
        <v>124</v>
      </c>
      <c r="H44" s="2270"/>
      <c r="I44" s="1146" t="s">
        <v>575</v>
      </c>
      <c r="J44" s="2269" t="s">
        <v>125</v>
      </c>
      <c r="K44" s="2270"/>
      <c r="L44" s="1146" t="s">
        <v>576</v>
      </c>
      <c r="M44" s="2269" t="s">
        <v>573</v>
      </c>
      <c r="N44" s="2270"/>
    </row>
    <row r="45" spans="1:14" ht="38.25">
      <c r="A45" s="1090" t="str">
        <f>'[10]1112'!A94</f>
        <v>15. Instrumentos técnicos de gestión para la preservación del patrimonio cultural</v>
      </c>
      <c r="B45" s="1091">
        <f>'1112'!B140</f>
        <v>2923660347</v>
      </c>
      <c r="C45" s="1091">
        <f>'1112'!M134</f>
        <v>2922011001</v>
      </c>
      <c r="D45" s="1091">
        <f>'1112'!O134</f>
        <v>2922011001</v>
      </c>
      <c r="E45" s="1091">
        <f>'1112'!AC134</f>
        <v>2578235565</v>
      </c>
      <c r="F45" s="1112">
        <f>C45/B45</f>
        <v>0.99943586265015616</v>
      </c>
      <c r="G45" s="1093">
        <f>C45/B45</f>
        <v>0.99943586265015616</v>
      </c>
      <c r="H45" s="1094">
        <f>C45/B45</f>
        <v>0.99943586265015616</v>
      </c>
      <c r="I45" s="1113">
        <f>D45/B45</f>
        <v>0.99943586265015616</v>
      </c>
      <c r="J45" s="1093">
        <f>D45/B45</f>
        <v>0.99943586265015616</v>
      </c>
      <c r="K45" s="1094">
        <f>D45/B45</f>
        <v>0.99943586265015616</v>
      </c>
      <c r="L45" s="1096">
        <f>E45/B45</f>
        <v>0.88185194550576163</v>
      </c>
      <c r="M45" s="1093">
        <f>E45/B45</f>
        <v>0.88185194550576163</v>
      </c>
      <c r="N45" s="1094">
        <f>E45/B45</f>
        <v>0.88185194550576163</v>
      </c>
    </row>
    <row r="46" spans="1:14">
      <c r="A46" s="1106"/>
      <c r="B46" s="1107"/>
      <c r="C46" s="1107"/>
      <c r="D46" s="1107"/>
      <c r="E46" s="1107"/>
      <c r="F46" s="1108"/>
      <c r="G46" s="1109"/>
      <c r="H46" s="1110"/>
      <c r="I46" s="1108"/>
      <c r="J46" s="1109"/>
      <c r="K46" s="1110"/>
      <c r="L46" s="1111"/>
      <c r="M46" s="1109"/>
      <c r="N46" s="1110"/>
    </row>
    <row r="47" spans="1:14" ht="15">
      <c r="A47" s="2271" t="s">
        <v>585</v>
      </c>
      <c r="B47" s="2272"/>
      <c r="C47" s="2272"/>
      <c r="D47" s="2272"/>
      <c r="E47" s="2272"/>
      <c r="F47" s="2272"/>
      <c r="G47" s="2272"/>
      <c r="H47" s="2272"/>
      <c r="I47" s="2272"/>
      <c r="J47" s="2272"/>
      <c r="K47" s="2272"/>
      <c r="L47" s="2272"/>
      <c r="M47" s="2272"/>
      <c r="N47" s="2272"/>
    </row>
    <row r="48" spans="1:14">
      <c r="A48" s="1089"/>
      <c r="B48" s="1089"/>
      <c r="C48" s="1089"/>
      <c r="D48" s="1089"/>
      <c r="E48" s="1089"/>
      <c r="F48" s="1089"/>
      <c r="G48" s="1089"/>
      <c r="H48" s="1089"/>
      <c r="I48" s="1089"/>
      <c r="J48" s="1089"/>
      <c r="K48" s="1089"/>
      <c r="L48" s="1089"/>
      <c r="M48" s="1089"/>
      <c r="N48" s="1089"/>
    </row>
    <row r="49" spans="1:14" ht="24">
      <c r="A49" s="1144" t="s">
        <v>571</v>
      </c>
      <c r="B49" s="1144" t="s">
        <v>572</v>
      </c>
      <c r="C49" s="1144" t="s">
        <v>124</v>
      </c>
      <c r="D49" s="1144" t="s">
        <v>125</v>
      </c>
      <c r="E49" s="1144" t="s">
        <v>573</v>
      </c>
      <c r="F49" s="1145" t="s">
        <v>574</v>
      </c>
      <c r="G49" s="2273" t="s">
        <v>124</v>
      </c>
      <c r="H49" s="2274"/>
      <c r="I49" s="1145" t="s">
        <v>575</v>
      </c>
      <c r="J49" s="2273" t="s">
        <v>125</v>
      </c>
      <c r="K49" s="2274"/>
      <c r="L49" s="1145" t="s">
        <v>576</v>
      </c>
      <c r="M49" s="2273" t="s">
        <v>573</v>
      </c>
      <c r="N49" s="2274"/>
    </row>
    <row r="50" spans="1:14" ht="25.5">
      <c r="A50" s="1150" t="str">
        <f>'[10]1114'!A16</f>
        <v xml:space="preserve">Bienes de Interés Cultural de tipo inmueble intervenidos </v>
      </c>
      <c r="B50" s="1149">
        <f>SUM(B51:B63)</f>
        <v>12506701658</v>
      </c>
      <c r="C50" s="1149">
        <f>SUM(C51:C63)</f>
        <v>8124987056</v>
      </c>
      <c r="D50" s="1149">
        <f>SUM(D51:D63)</f>
        <v>9745624116</v>
      </c>
      <c r="E50" s="1149">
        <f>SUM(E51:E63)</f>
        <v>6054893638</v>
      </c>
      <c r="F50" s="1116">
        <f t="shared" ref="F50:F72" si="9">IFERROR(C50/B50,0)</f>
        <v>0.64965066555359896</v>
      </c>
      <c r="G50" s="1117">
        <f t="shared" ref="G50:G55" si="10">IFERROR(C50/B50,0)</f>
        <v>0.64965066555359896</v>
      </c>
      <c r="H50" s="1118">
        <f t="shared" ref="H50:H72" si="11">IFERROR(C50/B50,0)</f>
        <v>0.64965066555359896</v>
      </c>
      <c r="I50" s="1119">
        <f t="shared" ref="I50:I72" si="12">IFERROR(D50/B50,0)</f>
        <v>0.77923215748623398</v>
      </c>
      <c r="J50" s="1117">
        <f t="shared" ref="J50:J72" si="13">IFERROR(D50/B50,0)</f>
        <v>0.77923215748623398</v>
      </c>
      <c r="K50" s="1118">
        <f t="shared" ref="K50:K72" si="14">IFERROR(D50/B50,0)</f>
        <v>0.77923215748623398</v>
      </c>
      <c r="L50" s="1120">
        <f t="shared" ref="L50:L72" si="15">IFERROR(E50/B50,0)</f>
        <v>0.48413193210913003</v>
      </c>
      <c r="M50" s="1117">
        <f t="shared" ref="M50:M72" si="16">IFERROR(E50/B50,0)</f>
        <v>0.48413193210913003</v>
      </c>
      <c r="N50" s="1118">
        <f t="shared" ref="N50:N72" si="17">IFERROR(E50/B50,0)</f>
        <v>0.48413193210913003</v>
      </c>
    </row>
    <row r="51" spans="1:14">
      <c r="A51" s="1090" t="s">
        <v>586</v>
      </c>
      <c r="B51" s="1091">
        <f>'1114'!B18</f>
        <v>0</v>
      </c>
      <c r="C51" s="1091">
        <f>'1114'!M24</f>
        <v>0</v>
      </c>
      <c r="D51" s="1091">
        <f>'1114'!O24</f>
        <v>0</v>
      </c>
      <c r="E51" s="1091">
        <f>'1114'!AC24</f>
        <v>0</v>
      </c>
      <c r="F51" s="1112">
        <f t="shared" si="9"/>
        <v>0</v>
      </c>
      <c r="G51" s="1093">
        <f t="shared" si="10"/>
        <v>0</v>
      </c>
      <c r="H51" s="1094">
        <f t="shared" si="11"/>
        <v>0</v>
      </c>
      <c r="I51" s="1113">
        <f t="shared" si="12"/>
        <v>0</v>
      </c>
      <c r="J51" s="1093">
        <f t="shared" si="13"/>
        <v>0</v>
      </c>
      <c r="K51" s="1094">
        <f t="shared" si="14"/>
        <v>0</v>
      </c>
      <c r="L51" s="1096">
        <f t="shared" si="15"/>
        <v>0</v>
      </c>
      <c r="M51" s="1093">
        <f t="shared" si="16"/>
        <v>0</v>
      </c>
      <c r="N51" s="1094">
        <f t="shared" si="17"/>
        <v>0</v>
      </c>
    </row>
    <row r="52" spans="1:14">
      <c r="A52" s="1148" t="s">
        <v>1372</v>
      </c>
      <c r="B52" s="1091">
        <f>'1114'!B26+'1114'!B35+'1114'!B39+'1114'!B43+'1114'!B47+'1114'!B51+'1114'!B55</f>
        <v>3218613548</v>
      </c>
      <c r="C52" s="1091">
        <f>'1114'!M34</f>
        <v>526216543</v>
      </c>
      <c r="D52" s="1091">
        <f>'1114'!O34</f>
        <v>526216543</v>
      </c>
      <c r="E52" s="1091">
        <f>'1114'!AC34</f>
        <v>116425470</v>
      </c>
      <c r="F52" s="1112">
        <f>IFERROR(C52/B52,0)</f>
        <v>0.16349168210237086</v>
      </c>
      <c r="G52" s="1093">
        <f t="shared" si="10"/>
        <v>0.16349168210237086</v>
      </c>
      <c r="H52" s="1094">
        <f>IFERROR(C52/B52,0)</f>
        <v>0.16349168210237086</v>
      </c>
      <c r="I52" s="1113">
        <f>IFERROR(D52/B52,0)</f>
        <v>0.16349168210237086</v>
      </c>
      <c r="J52" s="1093">
        <f>IFERROR(D52/B52,0)</f>
        <v>0.16349168210237086</v>
      </c>
      <c r="K52" s="1094">
        <f>IFERROR(D52/B52,0)</f>
        <v>0.16349168210237086</v>
      </c>
      <c r="L52" s="1096">
        <f>IFERROR(E52/B52,0)</f>
        <v>3.6172553263607903E-2</v>
      </c>
      <c r="M52" s="1093">
        <f>IFERROR(E52/B52,0)</f>
        <v>3.6172553263607903E-2</v>
      </c>
      <c r="N52" s="1094">
        <f>IFERROR(E52/B52,0)</f>
        <v>3.6172553263607903E-2</v>
      </c>
    </row>
    <row r="53" spans="1:14">
      <c r="A53" s="1148" t="s">
        <v>1373</v>
      </c>
      <c r="B53" s="1091">
        <f>'1114'!B60+'1114'!B68+'1114'!B71+'1114'!B74+'1114'!B77+'1114'!B80+'1114'!B83+'1114'!B86</f>
        <v>57376984</v>
      </c>
      <c r="C53" s="1091">
        <f>'1114'!M67+'1114'!M70+'1114'!M73+'1114'!M76+'1114'!M79+'1114'!M85+'1114'!M88</f>
        <v>56777699</v>
      </c>
      <c r="D53" s="1091">
        <f>'1114'!O67+'1114'!O70+'1114'!O73+'1114'!O76+'1114'!O79+'1114'!O85+'1114'!O88</f>
        <v>56777699</v>
      </c>
      <c r="E53" s="1091">
        <f>'1114'!AC67+'1114'!AC70+'1114'!AC73+'1114'!AC76+'1114'!AC79+'1114'!AC85+'1114'!AC88</f>
        <v>56478414</v>
      </c>
      <c r="F53" s="1112">
        <f t="shared" si="9"/>
        <v>0.98955530670625702</v>
      </c>
      <c r="G53" s="1093">
        <f t="shared" si="10"/>
        <v>0.98955530670625702</v>
      </c>
      <c r="H53" s="1094">
        <f t="shared" si="11"/>
        <v>0.98955530670625702</v>
      </c>
      <c r="I53" s="1113">
        <f t="shared" si="12"/>
        <v>0.98955530670625702</v>
      </c>
      <c r="J53" s="1093">
        <f t="shared" si="13"/>
        <v>0.98955530670625702</v>
      </c>
      <c r="K53" s="1094">
        <f t="shared" si="14"/>
        <v>0.98955530670625702</v>
      </c>
      <c r="L53" s="1096">
        <f t="shared" si="15"/>
        <v>0.98433919078074927</v>
      </c>
      <c r="M53" s="1093">
        <f t="shared" si="16"/>
        <v>0.98433919078074927</v>
      </c>
      <c r="N53" s="1094">
        <f t="shared" si="17"/>
        <v>0.98433919078074927</v>
      </c>
    </row>
    <row r="54" spans="1:14">
      <c r="A54" s="1148" t="s">
        <v>601</v>
      </c>
      <c r="B54" s="1091">
        <f>'1114'!B89</f>
        <v>0</v>
      </c>
      <c r="C54" s="1091">
        <f>'1114'!M91</f>
        <v>0</v>
      </c>
      <c r="D54" s="1091">
        <f>'1114'!O91</f>
        <v>0</v>
      </c>
      <c r="E54" s="1091">
        <f>'1114'!AC91</f>
        <v>0</v>
      </c>
      <c r="F54" s="1112">
        <f t="shared" si="9"/>
        <v>0</v>
      </c>
      <c r="G54" s="1093">
        <f t="shared" si="10"/>
        <v>0</v>
      </c>
      <c r="H54" s="1094">
        <f t="shared" si="11"/>
        <v>0</v>
      </c>
      <c r="I54" s="1113">
        <f t="shared" si="12"/>
        <v>0</v>
      </c>
      <c r="J54" s="1093">
        <f t="shared" si="13"/>
        <v>0</v>
      </c>
      <c r="K54" s="1094">
        <f t="shared" si="14"/>
        <v>0</v>
      </c>
      <c r="L54" s="1096">
        <f t="shared" si="15"/>
        <v>0</v>
      </c>
      <c r="M54" s="1093">
        <f t="shared" si="16"/>
        <v>0</v>
      </c>
      <c r="N54" s="1094">
        <f t="shared" si="17"/>
        <v>0</v>
      </c>
    </row>
    <row r="55" spans="1:14">
      <c r="A55" s="1148" t="s">
        <v>602</v>
      </c>
      <c r="B55" s="1091">
        <f>'1114'!B92</f>
        <v>218148098</v>
      </c>
      <c r="C55" s="1091">
        <f>'1114'!M98</f>
        <v>209643428</v>
      </c>
      <c r="D55" s="1091">
        <f>'1114'!O98</f>
        <v>209643428</v>
      </c>
      <c r="E55" s="1091">
        <f>'1114'!AC98</f>
        <v>8133333</v>
      </c>
      <c r="F55" s="1112">
        <f t="shared" si="9"/>
        <v>0.96101423721787393</v>
      </c>
      <c r="G55" s="1093">
        <f t="shared" si="10"/>
        <v>0.96101423721787393</v>
      </c>
      <c r="H55" s="1094">
        <f t="shared" si="11"/>
        <v>0.96101423721787393</v>
      </c>
      <c r="I55" s="1113">
        <f t="shared" si="12"/>
        <v>0.96101423721787393</v>
      </c>
      <c r="J55" s="1093">
        <f t="shared" si="13"/>
        <v>0.96101423721787393</v>
      </c>
      <c r="K55" s="1094">
        <f t="shared" si="14"/>
        <v>0.96101423721787393</v>
      </c>
      <c r="L55" s="1096">
        <f t="shared" si="15"/>
        <v>3.7283538451937361E-2</v>
      </c>
      <c r="M55" s="1093">
        <f t="shared" si="16"/>
        <v>3.7283538451937361E-2</v>
      </c>
      <c r="N55" s="1094">
        <f t="shared" si="17"/>
        <v>3.7283538451937361E-2</v>
      </c>
    </row>
    <row r="56" spans="1:14">
      <c r="A56" s="1148" t="s">
        <v>603</v>
      </c>
      <c r="B56" s="1091">
        <f>'1114'!B99</f>
        <v>866398932</v>
      </c>
      <c r="C56" s="1091">
        <f>'1114'!M106</f>
        <v>866123059</v>
      </c>
      <c r="D56" s="1091">
        <f>'1114'!O106</f>
        <v>866123059</v>
      </c>
      <c r="E56" s="1091">
        <f>'1114'!AC106</f>
        <v>809074941</v>
      </c>
      <c r="F56" s="1112">
        <f t="shared" si="9"/>
        <v>0.99968158663427342</v>
      </c>
      <c r="G56" s="1093">
        <f t="shared" ref="G56:G62" si="18">IFERROR(C56/B56,0)</f>
        <v>0.99968158663427342</v>
      </c>
      <c r="H56" s="1094">
        <f t="shared" si="11"/>
        <v>0.99968158663427342</v>
      </c>
      <c r="I56" s="1113">
        <f t="shared" si="12"/>
        <v>0.99968158663427342</v>
      </c>
      <c r="J56" s="1093">
        <f t="shared" si="13"/>
        <v>0.99968158663427342</v>
      </c>
      <c r="K56" s="1094">
        <f t="shared" si="14"/>
        <v>0.99968158663427342</v>
      </c>
      <c r="L56" s="1096">
        <f t="shared" si="15"/>
        <v>0.93383649392587198</v>
      </c>
      <c r="M56" s="1093">
        <f t="shared" si="16"/>
        <v>0.93383649392587198</v>
      </c>
      <c r="N56" s="1094">
        <f t="shared" si="17"/>
        <v>0.93383649392587198</v>
      </c>
    </row>
    <row r="57" spans="1:14">
      <c r="A57" s="1148" t="s">
        <v>1374</v>
      </c>
      <c r="B57" s="1091">
        <f>'1114'!B107</f>
        <v>423402072</v>
      </c>
      <c r="C57" s="1091">
        <f>'1114'!M115</f>
        <v>423402072</v>
      </c>
      <c r="D57" s="1091">
        <f>'1114'!O115</f>
        <v>423402072</v>
      </c>
      <c r="E57" s="1091">
        <f>'1114'!AC115</f>
        <v>412690732</v>
      </c>
      <c r="F57" s="1112">
        <f t="shared" si="9"/>
        <v>1</v>
      </c>
      <c r="G57" s="1093">
        <f t="shared" si="18"/>
        <v>1</v>
      </c>
      <c r="H57" s="1094">
        <f t="shared" si="11"/>
        <v>1</v>
      </c>
      <c r="I57" s="1113">
        <f t="shared" si="12"/>
        <v>1</v>
      </c>
      <c r="J57" s="1093">
        <f t="shared" si="13"/>
        <v>1</v>
      </c>
      <c r="K57" s="1094">
        <f t="shared" si="14"/>
        <v>1</v>
      </c>
      <c r="L57" s="1096">
        <f t="shared" si="15"/>
        <v>0.97470172984887993</v>
      </c>
      <c r="M57" s="1093">
        <f t="shared" si="16"/>
        <v>0.97470172984887993</v>
      </c>
      <c r="N57" s="1094">
        <f t="shared" si="17"/>
        <v>0.97470172984887993</v>
      </c>
    </row>
    <row r="58" spans="1:14">
      <c r="A58" s="1148" t="s">
        <v>1375</v>
      </c>
      <c r="B58" s="1091">
        <f>'1114'!B116</f>
        <v>2085009078</v>
      </c>
      <c r="C58" s="1091">
        <f>'1114'!M115</f>
        <v>423402072</v>
      </c>
      <c r="D58" s="1091">
        <f>'1114'!O122</f>
        <v>2044039132</v>
      </c>
      <c r="E58" s="1091">
        <f>'1114'!AC122</f>
        <v>0</v>
      </c>
      <c r="F58" s="1112">
        <f>IFERROR(C58/B58,0)</f>
        <v>0.2030696539729886</v>
      </c>
      <c r="G58" s="1093">
        <f>IFERROR(C58/B58,0)</f>
        <v>0.2030696539729886</v>
      </c>
      <c r="H58" s="1094">
        <f>IFERROR(C58/B58,0)</f>
        <v>0.2030696539729886</v>
      </c>
      <c r="I58" s="1113">
        <f>IFERROR(D58/B58,0)</f>
        <v>0.9803502313576018</v>
      </c>
      <c r="J58" s="1093">
        <f>IFERROR(D58/B58,0)</f>
        <v>0.9803502313576018</v>
      </c>
      <c r="K58" s="1094">
        <f>IFERROR(D58/B58,0)</f>
        <v>0.9803502313576018</v>
      </c>
      <c r="L58" s="1096">
        <f>IFERROR(E58/B58,0)</f>
        <v>0</v>
      </c>
      <c r="M58" s="1093">
        <f>IFERROR(E58/B58,0)</f>
        <v>0</v>
      </c>
      <c r="N58" s="1094">
        <f>IFERROR(E58/B58,0)</f>
        <v>0</v>
      </c>
    </row>
    <row r="59" spans="1:14">
      <c r="A59" s="1148" t="s">
        <v>604</v>
      </c>
      <c r="B59" s="1091">
        <f>'1114'!B123</f>
        <v>0</v>
      </c>
      <c r="C59" s="1091">
        <f>'1114'!M127</f>
        <v>0</v>
      </c>
      <c r="D59" s="1091">
        <f>'1114'!O127</f>
        <v>0</v>
      </c>
      <c r="E59" s="1091">
        <f>'1114'!AC127</f>
        <v>0</v>
      </c>
      <c r="F59" s="1112">
        <f t="shared" si="9"/>
        <v>0</v>
      </c>
      <c r="G59" s="1093">
        <f t="shared" si="18"/>
        <v>0</v>
      </c>
      <c r="H59" s="1094">
        <f t="shared" si="11"/>
        <v>0</v>
      </c>
      <c r="I59" s="1113">
        <f t="shared" si="12"/>
        <v>0</v>
      </c>
      <c r="J59" s="1093">
        <f t="shared" si="13"/>
        <v>0</v>
      </c>
      <c r="K59" s="1094">
        <f t="shared" si="14"/>
        <v>0</v>
      </c>
      <c r="L59" s="1096">
        <f t="shared" si="15"/>
        <v>0</v>
      </c>
      <c r="M59" s="1093">
        <f t="shared" si="16"/>
        <v>0</v>
      </c>
      <c r="N59" s="1094">
        <f t="shared" si="17"/>
        <v>0</v>
      </c>
    </row>
    <row r="60" spans="1:14">
      <c r="A60" s="1148" t="s">
        <v>1132</v>
      </c>
      <c r="B60" s="1091">
        <f>'1114'!B128</f>
        <v>79592836</v>
      </c>
      <c r="C60" s="1091">
        <f>'1114'!M132</f>
        <v>79592836</v>
      </c>
      <c r="D60" s="1091">
        <f>'1114'!O132</f>
        <v>79592836</v>
      </c>
      <c r="E60" s="1091">
        <f>'1114'!AC132</f>
        <v>68764580</v>
      </c>
      <c r="F60" s="1112">
        <f>IFERROR(C60/B60,0)</f>
        <v>1</v>
      </c>
      <c r="G60" s="1093">
        <f t="shared" si="18"/>
        <v>1</v>
      </c>
      <c r="H60" s="1094">
        <f>IFERROR(C60/B60,0)</f>
        <v>1</v>
      </c>
      <c r="I60" s="1113">
        <f>IFERROR(D60/B60,0)</f>
        <v>1</v>
      </c>
      <c r="J60" s="1093">
        <f>IFERROR(D60/B60,0)</f>
        <v>1</v>
      </c>
      <c r="K60" s="1094">
        <f>IFERROR(D60/B60,0)</f>
        <v>1</v>
      </c>
      <c r="L60" s="1096">
        <f>IFERROR(E60/B60,0)</f>
        <v>0.86395438906084465</v>
      </c>
      <c r="M60" s="1093">
        <f>IFERROR(E60/B60,0)</f>
        <v>0.86395438906084465</v>
      </c>
      <c r="N60" s="1094">
        <f>IFERROR(E60/B60,0)</f>
        <v>0.86395438906084465</v>
      </c>
    </row>
    <row r="61" spans="1:14">
      <c r="A61" s="1090" t="s">
        <v>587</v>
      </c>
      <c r="B61" s="1091">
        <f>'1114'!B136+'1114'!B142</f>
        <v>3906873746</v>
      </c>
      <c r="C61" s="1091">
        <f>'1114'!M141+'1114'!M146</f>
        <v>3904428393</v>
      </c>
      <c r="D61" s="1091">
        <f>'1114'!O141+'1114'!O146</f>
        <v>3904428393</v>
      </c>
      <c r="E61" s="1091">
        <f>'1114'!AC141+'1114'!AC146</f>
        <v>3064159065</v>
      </c>
      <c r="F61" s="1112">
        <f t="shared" si="9"/>
        <v>0.99937408957673546</v>
      </c>
      <c r="G61" s="1093">
        <f t="shared" si="18"/>
        <v>0.99937408957673546</v>
      </c>
      <c r="H61" s="1094">
        <f t="shared" si="11"/>
        <v>0.99937408957673546</v>
      </c>
      <c r="I61" s="1113">
        <f t="shared" si="12"/>
        <v>0.99937408957673546</v>
      </c>
      <c r="J61" s="1093">
        <f t="shared" si="13"/>
        <v>0.99937408957673546</v>
      </c>
      <c r="K61" s="1094">
        <f t="shared" si="14"/>
        <v>0.99937408957673546</v>
      </c>
      <c r="L61" s="1096">
        <f t="shared" si="15"/>
        <v>0.78429948450143749</v>
      </c>
      <c r="M61" s="1093">
        <f t="shared" si="16"/>
        <v>0.78429948450143749</v>
      </c>
      <c r="N61" s="1094">
        <f t="shared" si="17"/>
        <v>0.78429948450143749</v>
      </c>
    </row>
    <row r="62" spans="1:14">
      <c r="A62" s="1148" t="s">
        <v>605</v>
      </c>
      <c r="B62" s="1091">
        <f>'1114'!B147</f>
        <v>189021929</v>
      </c>
      <c r="C62" s="1091">
        <f>'1114'!M153</f>
        <v>173145419</v>
      </c>
      <c r="D62" s="1091">
        <f>'1114'!O153</f>
        <v>173145419</v>
      </c>
      <c r="E62" s="1091">
        <f>'1114'!AC153</f>
        <v>129713679</v>
      </c>
      <c r="F62" s="1112">
        <f t="shared" si="9"/>
        <v>0.91600704699188629</v>
      </c>
      <c r="G62" s="1093">
        <f t="shared" si="18"/>
        <v>0.91600704699188629</v>
      </c>
      <c r="H62" s="1094">
        <f t="shared" si="11"/>
        <v>0.91600704699188629</v>
      </c>
      <c r="I62" s="1113">
        <f t="shared" si="12"/>
        <v>0.91600704699188629</v>
      </c>
      <c r="J62" s="1093">
        <f t="shared" si="13"/>
        <v>0.91600704699188629</v>
      </c>
      <c r="K62" s="1094">
        <f t="shared" si="14"/>
        <v>0.91600704699188629</v>
      </c>
      <c r="L62" s="1096">
        <f t="shared" si="15"/>
        <v>0.68623614035808511</v>
      </c>
      <c r="M62" s="1093">
        <f t="shared" si="16"/>
        <v>0.68623614035808511</v>
      </c>
      <c r="N62" s="1094">
        <f t="shared" si="17"/>
        <v>0.68623614035808511</v>
      </c>
    </row>
    <row r="63" spans="1:14">
      <c r="A63" s="1148" t="s">
        <v>750</v>
      </c>
      <c r="B63" s="1091">
        <f>'1114'!B133+'1114'!B154</f>
        <v>1462264435</v>
      </c>
      <c r="C63" s="1091">
        <f>'1114'!M135+'1114'!M212</f>
        <v>1462255535</v>
      </c>
      <c r="D63" s="1091">
        <f>'1114'!O135+'1114'!O212</f>
        <v>1462255535</v>
      </c>
      <c r="E63" s="1091">
        <f>'1114'!AC135+'1114'!AC212</f>
        <v>1389453424</v>
      </c>
      <c r="F63" s="1112">
        <f t="shared" si="9"/>
        <v>0.99999391354956946</v>
      </c>
      <c r="G63" s="1093">
        <f>IFERROR(C63/B63,0)</f>
        <v>0.99999391354956946</v>
      </c>
      <c r="H63" s="1094">
        <f t="shared" si="11"/>
        <v>0.99999391354956946</v>
      </c>
      <c r="I63" s="1113">
        <f t="shared" si="12"/>
        <v>0.99999391354956946</v>
      </c>
      <c r="J63" s="1093">
        <f t="shared" si="13"/>
        <v>0.99999391354956946</v>
      </c>
      <c r="K63" s="1094">
        <f t="shared" si="14"/>
        <v>0.99999391354956946</v>
      </c>
      <c r="L63" s="1096">
        <f t="shared" si="15"/>
        <v>0.95020667311791662</v>
      </c>
      <c r="M63" s="1093">
        <f t="shared" si="16"/>
        <v>0.95020667311791662</v>
      </c>
      <c r="N63" s="1094">
        <f t="shared" si="17"/>
        <v>0.95020667311791662</v>
      </c>
    </row>
    <row r="64" spans="1:14" ht="27.75" customHeight="1">
      <c r="A64" s="1150" t="str">
        <f>'[10]1114'!A144</f>
        <v>Monumentos en espacios públicos a intervenir</v>
      </c>
      <c r="B64" s="1149">
        <f>SUM(B65:B70)</f>
        <v>3815896931</v>
      </c>
      <c r="C64" s="1149">
        <f>SUM(C65:C70)</f>
        <v>3794019935</v>
      </c>
      <c r="D64" s="1149">
        <f>SUM(D65:D70)</f>
        <v>3794019935</v>
      </c>
      <c r="E64" s="1149">
        <f>SUM(E65:E70)</f>
        <v>1981297092</v>
      </c>
      <c r="F64" s="1116">
        <f>IFERROR(C64/B64,0)</f>
        <v>0.99426687974135952</v>
      </c>
      <c r="G64" s="1117">
        <f t="shared" ref="G64:G72" si="19">IFERROR(C64/B64,0)</f>
        <v>0.99426687974135952</v>
      </c>
      <c r="H64" s="1118">
        <f t="shared" si="11"/>
        <v>0.99426687974135952</v>
      </c>
      <c r="I64" s="1119">
        <f t="shared" si="12"/>
        <v>0.99426687974135952</v>
      </c>
      <c r="J64" s="1117">
        <f t="shared" si="13"/>
        <v>0.99426687974135952</v>
      </c>
      <c r="K64" s="1118">
        <f t="shared" si="14"/>
        <v>0.99426687974135952</v>
      </c>
      <c r="L64" s="1120">
        <f t="shared" si="15"/>
        <v>0.51922185735786586</v>
      </c>
      <c r="M64" s="1117">
        <f t="shared" si="16"/>
        <v>0.51922185735786586</v>
      </c>
      <c r="N64" s="1118">
        <f t="shared" si="17"/>
        <v>0.51922185735786586</v>
      </c>
    </row>
    <row r="65" spans="1:14" s="8" customFormat="1" ht="38.25">
      <c r="A65" s="1148" t="s">
        <v>607</v>
      </c>
      <c r="B65" s="1091">
        <f>'1114'!B281</f>
        <v>0</v>
      </c>
      <c r="C65" s="1091">
        <f>'1114'!M284</f>
        <v>0</v>
      </c>
      <c r="D65" s="1091">
        <f>'1114'!O284</f>
        <v>0</v>
      </c>
      <c r="E65" s="1091">
        <f>'1114'!AC284</f>
        <v>0</v>
      </c>
      <c r="F65" s="1112">
        <f t="shared" si="9"/>
        <v>0</v>
      </c>
      <c r="G65" s="1093">
        <f t="shared" si="19"/>
        <v>0</v>
      </c>
      <c r="H65" s="1094">
        <f t="shared" si="11"/>
        <v>0</v>
      </c>
      <c r="I65" s="1113">
        <f t="shared" si="12"/>
        <v>0</v>
      </c>
      <c r="J65" s="1093">
        <f t="shared" si="13"/>
        <v>0</v>
      </c>
      <c r="K65" s="1094">
        <f t="shared" si="14"/>
        <v>0</v>
      </c>
      <c r="L65" s="1096">
        <f t="shared" si="15"/>
        <v>0</v>
      </c>
      <c r="M65" s="1093">
        <f t="shared" si="16"/>
        <v>0</v>
      </c>
      <c r="N65" s="1094">
        <f t="shared" si="17"/>
        <v>0</v>
      </c>
    </row>
    <row r="66" spans="1:14" s="8" customFormat="1" ht="25.5">
      <c r="A66" s="1148" t="s">
        <v>611</v>
      </c>
      <c r="B66" s="1091">
        <f>'1114'!B285</f>
        <v>1058683925</v>
      </c>
      <c r="C66" s="1091">
        <f>'1114'!M333</f>
        <v>1036807409</v>
      </c>
      <c r="D66" s="1091">
        <f>'1114'!O333</f>
        <v>1036807409</v>
      </c>
      <c r="E66" s="1091">
        <f>'1114'!AC333</f>
        <v>836744170</v>
      </c>
      <c r="F66" s="1112">
        <f t="shared" si="9"/>
        <v>0.9793361214963191</v>
      </c>
      <c r="G66" s="1093">
        <f t="shared" si="19"/>
        <v>0.9793361214963191</v>
      </c>
      <c r="H66" s="1094">
        <f t="shared" si="11"/>
        <v>0.9793361214963191</v>
      </c>
      <c r="I66" s="1113">
        <f t="shared" si="12"/>
        <v>0.9793361214963191</v>
      </c>
      <c r="J66" s="1093">
        <f t="shared" si="13"/>
        <v>0.9793361214963191</v>
      </c>
      <c r="K66" s="1094">
        <f t="shared" si="14"/>
        <v>0.9793361214963191</v>
      </c>
      <c r="L66" s="1096">
        <f t="shared" si="15"/>
        <v>0.7903625909876737</v>
      </c>
      <c r="M66" s="1093">
        <f t="shared" si="16"/>
        <v>0.7903625909876737</v>
      </c>
      <c r="N66" s="1094">
        <f t="shared" si="17"/>
        <v>0.7903625909876737</v>
      </c>
    </row>
    <row r="67" spans="1:14" s="8" customFormat="1">
      <c r="A67" s="1148" t="s">
        <v>608</v>
      </c>
      <c r="B67" s="1091">
        <f>'1114'!B334</f>
        <v>138181524</v>
      </c>
      <c r="C67" s="1091">
        <f>'1114'!M339</f>
        <v>138181524</v>
      </c>
      <c r="D67" s="1091">
        <f>'1114'!O339</f>
        <v>138181524</v>
      </c>
      <c r="E67" s="1091">
        <f>'1114'!AC339</f>
        <v>138181524</v>
      </c>
      <c r="F67" s="1112">
        <f t="shared" si="9"/>
        <v>1</v>
      </c>
      <c r="G67" s="1093">
        <f t="shared" si="19"/>
        <v>1</v>
      </c>
      <c r="H67" s="1094">
        <f t="shared" si="11"/>
        <v>1</v>
      </c>
      <c r="I67" s="1113">
        <f t="shared" si="12"/>
        <v>1</v>
      </c>
      <c r="J67" s="1093">
        <f t="shared" si="13"/>
        <v>1</v>
      </c>
      <c r="K67" s="1094">
        <f t="shared" si="14"/>
        <v>1</v>
      </c>
      <c r="L67" s="1096">
        <f t="shared" si="15"/>
        <v>1</v>
      </c>
      <c r="M67" s="1093">
        <f t="shared" si="16"/>
        <v>1</v>
      </c>
      <c r="N67" s="1094">
        <f t="shared" si="17"/>
        <v>1</v>
      </c>
    </row>
    <row r="68" spans="1:14" s="8" customFormat="1">
      <c r="A68" s="1148" t="s">
        <v>609</v>
      </c>
      <c r="B68" s="1091">
        <f>'1114'!B340</f>
        <v>1919031482</v>
      </c>
      <c r="C68" s="1091">
        <f>'1114'!M348</f>
        <v>1919031002</v>
      </c>
      <c r="D68" s="1091">
        <f>'1114'!O348</f>
        <v>1919031002</v>
      </c>
      <c r="E68" s="1091">
        <f>'1114'!AC348</f>
        <v>1006371398</v>
      </c>
      <c r="F68" s="1112">
        <f t="shared" si="9"/>
        <v>0.99999974987382723</v>
      </c>
      <c r="G68" s="1093">
        <f t="shared" si="19"/>
        <v>0.99999974987382723</v>
      </c>
      <c r="H68" s="1094">
        <f t="shared" si="11"/>
        <v>0.99999974987382723</v>
      </c>
      <c r="I68" s="1113">
        <f t="shared" si="12"/>
        <v>0.99999974987382723</v>
      </c>
      <c r="J68" s="1093">
        <f t="shared" si="13"/>
        <v>0.99999974987382723</v>
      </c>
      <c r="K68" s="1094">
        <f t="shared" si="14"/>
        <v>0.99999974987382723</v>
      </c>
      <c r="L68" s="1096">
        <f t="shared" si="15"/>
        <v>0.52441630449499843</v>
      </c>
      <c r="M68" s="1093">
        <f t="shared" si="16"/>
        <v>0.52441630449499843</v>
      </c>
      <c r="N68" s="1094">
        <f t="shared" si="17"/>
        <v>0.52441630449499843</v>
      </c>
    </row>
    <row r="69" spans="1:14" ht="25.5">
      <c r="A69" s="1148" t="s">
        <v>610</v>
      </c>
      <c r="B69" s="1091">
        <f>'1114'!B349</f>
        <v>0</v>
      </c>
      <c r="C69" s="1091">
        <f>'1114'!M351</f>
        <v>0</v>
      </c>
      <c r="D69" s="1091">
        <f>'1114'!O351</f>
        <v>0</v>
      </c>
      <c r="E69" s="1091">
        <f>'1114'!AC351</f>
        <v>0</v>
      </c>
      <c r="F69" s="1112">
        <f t="shared" si="9"/>
        <v>0</v>
      </c>
      <c r="G69" s="1093">
        <f t="shared" si="19"/>
        <v>0</v>
      </c>
      <c r="H69" s="1094">
        <f t="shared" si="11"/>
        <v>0</v>
      </c>
      <c r="I69" s="1113">
        <f t="shared" si="12"/>
        <v>0</v>
      </c>
      <c r="J69" s="1093">
        <f t="shared" si="13"/>
        <v>0</v>
      </c>
      <c r="K69" s="1094">
        <f t="shared" si="14"/>
        <v>0</v>
      </c>
      <c r="L69" s="1096">
        <f t="shared" si="15"/>
        <v>0</v>
      </c>
      <c r="M69" s="1093">
        <f t="shared" si="16"/>
        <v>0</v>
      </c>
      <c r="N69" s="1094">
        <f t="shared" si="17"/>
        <v>0</v>
      </c>
    </row>
    <row r="70" spans="1:14">
      <c r="A70" s="1148" t="s">
        <v>1371</v>
      </c>
      <c r="B70" s="1091">
        <f>'1114'!B352</f>
        <v>700000000</v>
      </c>
      <c r="C70" s="1091">
        <f>'1114'!M355</f>
        <v>700000000</v>
      </c>
      <c r="D70" s="1091">
        <f>'1114'!O355</f>
        <v>700000000</v>
      </c>
      <c r="E70" s="1091">
        <f>'1114'!AC355</f>
        <v>0</v>
      </c>
      <c r="F70" s="1112">
        <f>IFERROR(C70/B70,0)</f>
        <v>1</v>
      </c>
      <c r="G70" s="1093">
        <f>IFERROR(C70/B70,0)</f>
        <v>1</v>
      </c>
      <c r="H70" s="1094">
        <f>IFERROR(C70/B70,0)</f>
        <v>1</v>
      </c>
      <c r="I70" s="1113">
        <f>IFERROR(D70/B70,0)</f>
        <v>1</v>
      </c>
      <c r="J70" s="1093">
        <f>IFERROR(D70/B70,0)</f>
        <v>1</v>
      </c>
      <c r="K70" s="1094">
        <f>IFERROR(D70/B70,0)</f>
        <v>1</v>
      </c>
      <c r="L70" s="1096">
        <f>IFERROR(E70/B70,0)</f>
        <v>0</v>
      </c>
      <c r="M70" s="1093">
        <f>IFERROR(E70/B70,0)</f>
        <v>0</v>
      </c>
      <c r="N70" s="1094">
        <f>IFERROR(E70/B70,0)</f>
        <v>0</v>
      </c>
    </row>
    <row r="71" spans="1:14">
      <c r="A71" s="1151" t="s">
        <v>84</v>
      </c>
      <c r="B71" s="1149">
        <f>SUM(B72:B73)</f>
        <v>1479213860</v>
      </c>
      <c r="C71" s="1149">
        <f>SUM(C72:C73)</f>
        <v>1472695789</v>
      </c>
      <c r="D71" s="1149">
        <f>SUM(D72:D73)</f>
        <v>1472695789</v>
      </c>
      <c r="E71" s="1149">
        <f>SUM(E72:E73)</f>
        <v>1144884923</v>
      </c>
      <c r="F71" s="1116">
        <f t="shared" si="9"/>
        <v>0.99559355737783584</v>
      </c>
      <c r="G71" s="1117">
        <f t="shared" si="19"/>
        <v>0.99559355737783584</v>
      </c>
      <c r="H71" s="1118">
        <f t="shared" si="11"/>
        <v>0.99559355737783584</v>
      </c>
      <c r="I71" s="1119">
        <f t="shared" si="12"/>
        <v>0.99559355737783584</v>
      </c>
      <c r="J71" s="1117">
        <f t="shared" si="13"/>
        <v>0.99559355737783584</v>
      </c>
      <c r="K71" s="1118">
        <f t="shared" si="14"/>
        <v>0.99559355737783584</v>
      </c>
      <c r="L71" s="1120">
        <f t="shared" si="15"/>
        <v>0.7739820143383459</v>
      </c>
      <c r="M71" s="1117">
        <f t="shared" si="16"/>
        <v>0.7739820143383459</v>
      </c>
      <c r="N71" s="1118">
        <f t="shared" si="17"/>
        <v>0.7739820143383459</v>
      </c>
    </row>
    <row r="72" spans="1:14">
      <c r="A72" s="1148" t="s">
        <v>84</v>
      </c>
      <c r="B72" s="1091">
        <f>'1114'!B214</f>
        <v>1211954414</v>
      </c>
      <c r="C72" s="1091">
        <f>'1114'!M270</f>
        <v>1209809487</v>
      </c>
      <c r="D72" s="1091">
        <f>'1114'!O270</f>
        <v>1209809487</v>
      </c>
      <c r="E72" s="1091">
        <f>'1114'!AC270</f>
        <v>1093633385</v>
      </c>
      <c r="F72" s="1112">
        <f t="shared" si="9"/>
        <v>0.99823019168442084</v>
      </c>
      <c r="G72" s="1093">
        <f t="shared" si="19"/>
        <v>0.99823019168442084</v>
      </c>
      <c r="H72" s="1094">
        <f t="shared" si="11"/>
        <v>0.99823019168442084</v>
      </c>
      <c r="I72" s="1113">
        <f t="shared" si="12"/>
        <v>0.99823019168442084</v>
      </c>
      <c r="J72" s="1093">
        <f t="shared" si="13"/>
        <v>0.99823019168442084</v>
      </c>
      <c r="K72" s="1094">
        <f t="shared" si="14"/>
        <v>0.99823019168442084</v>
      </c>
      <c r="L72" s="1096">
        <f t="shared" si="15"/>
        <v>0.90237171659824489</v>
      </c>
      <c r="M72" s="1093">
        <f t="shared" si="16"/>
        <v>0.90237171659824489</v>
      </c>
      <c r="N72" s="1094">
        <f t="shared" si="17"/>
        <v>0.90237171659824489</v>
      </c>
    </row>
    <row r="73" spans="1:14" ht="38.25">
      <c r="A73" s="1148" t="s">
        <v>613</v>
      </c>
      <c r="B73" s="1091">
        <f>'1114'!B271</f>
        <v>267259446</v>
      </c>
      <c r="C73" s="1091">
        <f>'1114'!M275</f>
        <v>262886302</v>
      </c>
      <c r="D73" s="1091">
        <f>'1114'!O275</f>
        <v>262886302</v>
      </c>
      <c r="E73" s="1091">
        <f>'1114'!AC275</f>
        <v>51251538</v>
      </c>
      <c r="F73" s="1112"/>
      <c r="G73" s="1093"/>
      <c r="H73" s="1094"/>
      <c r="I73" s="1113"/>
      <c r="J73" s="1093"/>
      <c r="K73" s="1094"/>
      <c r="L73" s="1096"/>
      <c r="M73" s="1093"/>
      <c r="N73" s="1094"/>
    </row>
    <row r="74" spans="1:14">
      <c r="A74" s="1269" t="s">
        <v>612</v>
      </c>
      <c r="B74" s="1270">
        <f>'1114'!B470</f>
        <v>38000000</v>
      </c>
      <c r="C74" s="1270">
        <f>'1114'!M472</f>
        <v>36827449</v>
      </c>
      <c r="D74" s="1270">
        <f>'1114'!O472</f>
        <v>36827449</v>
      </c>
      <c r="E74" s="1270">
        <f>'1114'!AC472</f>
        <v>36827449</v>
      </c>
      <c r="F74" s="1114">
        <f>IFERROR(C74/B74,0)</f>
        <v>0.96914339473684208</v>
      </c>
      <c r="G74" s="1102">
        <f>IFERROR(C74/B74,0)</f>
        <v>0.96914339473684208</v>
      </c>
      <c r="H74" s="1103">
        <f>IFERROR(C74/B74,0)</f>
        <v>0.96914339473684208</v>
      </c>
      <c r="I74" s="1115">
        <f>IFERROR(D74/B74,0)</f>
        <v>0.96914339473684208</v>
      </c>
      <c r="J74" s="1102">
        <f>IFERROR(D74/B74,0)</f>
        <v>0.96914339473684208</v>
      </c>
      <c r="K74" s="1103">
        <f>IFERROR(D74/B74,0)</f>
        <v>0.96914339473684208</v>
      </c>
      <c r="L74" s="1105">
        <f>IFERROR(E74/B74,0)</f>
        <v>0.96914339473684208</v>
      </c>
      <c r="M74" s="1102">
        <f>IFERROR(E74/B74,0)</f>
        <v>0.96914339473684208</v>
      </c>
      <c r="N74" s="1103">
        <f>IFERROR(E74/B74,0)</f>
        <v>0.96914339473684208</v>
      </c>
    </row>
    <row r="75" spans="1:14" ht="51">
      <c r="A75" s="2023" t="s">
        <v>606</v>
      </c>
      <c r="B75" s="2024">
        <f>'1114'!B360</f>
        <v>2557895735</v>
      </c>
      <c r="C75" s="2024">
        <f>'1114'!M461+'1114'!M469</f>
        <v>2541471431</v>
      </c>
      <c r="D75" s="2024">
        <f>'1114'!O461+'1114'!O469</f>
        <v>2541471431</v>
      </c>
      <c r="E75" s="2024">
        <f>'1114'!AC461+'1114'!AC469</f>
        <v>2407556030</v>
      </c>
      <c r="F75" s="2025">
        <f>IFERROR(C75/B75,0)</f>
        <v>0.99357897830812092</v>
      </c>
      <c r="G75" s="2026">
        <f>IFERROR(C75/B75,0)</f>
        <v>0.99357897830812092</v>
      </c>
      <c r="H75" s="2027">
        <f>IFERROR(C75/B75,0)</f>
        <v>0.99357897830812092</v>
      </c>
      <c r="I75" s="2028">
        <f>IFERROR(D75/B75,0)</f>
        <v>0.99357897830812092</v>
      </c>
      <c r="J75" s="2026">
        <f>IFERROR(D75/B75,0)</f>
        <v>0.99357897830812092</v>
      </c>
      <c r="K75" s="2027">
        <f>IFERROR(D75/B75,0)</f>
        <v>0.99357897830812092</v>
      </c>
      <c r="L75" s="2029">
        <f>IFERROR(E75/B75,0)</f>
        <v>0.94122524114533546</v>
      </c>
      <c r="M75" s="2026">
        <f>IFERROR(E75/B75,0)</f>
        <v>0.94122524114533546</v>
      </c>
      <c r="N75" s="2027">
        <f>IFERROR(E75/B75,0)</f>
        <v>0.94122524114533546</v>
      </c>
    </row>
    <row r="76" spans="1:14">
      <c r="A76" s="1098" t="s">
        <v>579</v>
      </c>
      <c r="B76" s="1099">
        <f>B50+B64+B71+B74+B75</f>
        <v>20397708184</v>
      </c>
      <c r="C76" s="1099">
        <f>C50+C64+C71+C74+C75</f>
        <v>15970001660</v>
      </c>
      <c r="D76" s="1099">
        <f>D50+D64+D71+D74+D75</f>
        <v>17590638720</v>
      </c>
      <c r="E76" s="1099">
        <f>E50+E64+E71+E74+E75</f>
        <v>11625459132</v>
      </c>
      <c r="F76" s="1123">
        <f>C76/B76</f>
        <v>0.78293117618610208</v>
      </c>
      <c r="G76" s="1102">
        <f>C76/B76</f>
        <v>0.78293117618610208</v>
      </c>
      <c r="H76" s="1103">
        <f>C76/B76</f>
        <v>0.78293117618610208</v>
      </c>
      <c r="I76" s="1115">
        <f>D76/B76</f>
        <v>0.8623830952635223</v>
      </c>
      <c r="J76" s="1102">
        <f>D76/B76</f>
        <v>0.8623830952635223</v>
      </c>
      <c r="K76" s="1103">
        <f>D76/B76</f>
        <v>0.8623830952635223</v>
      </c>
      <c r="L76" s="1105">
        <f>E76/B76</f>
        <v>0.56993947688294866</v>
      </c>
      <c r="M76" s="1102">
        <f>E76/B76</f>
        <v>0.56993947688294866</v>
      </c>
      <c r="N76" s="1103">
        <f>E76/B76</f>
        <v>0.56993947688294866</v>
      </c>
    </row>
    <row r="77" spans="1:14" ht="24">
      <c r="A77" s="1146" t="s">
        <v>580</v>
      </c>
      <c r="B77" s="1146" t="s">
        <v>572</v>
      </c>
      <c r="C77" s="1146" t="s">
        <v>124</v>
      </c>
      <c r="D77" s="1146" t="s">
        <v>125</v>
      </c>
      <c r="E77" s="1146" t="s">
        <v>573</v>
      </c>
      <c r="F77" s="1146" t="s">
        <v>574</v>
      </c>
      <c r="G77" s="2269" t="s">
        <v>124</v>
      </c>
      <c r="H77" s="2270"/>
      <c r="I77" s="1146" t="s">
        <v>575</v>
      </c>
      <c r="J77" s="2269" t="s">
        <v>125</v>
      </c>
      <c r="K77" s="2270"/>
      <c r="L77" s="1146" t="s">
        <v>576</v>
      </c>
      <c r="M77" s="2269" t="s">
        <v>573</v>
      </c>
      <c r="N77" s="2270"/>
    </row>
    <row r="78" spans="1:14" ht="51">
      <c r="A78" s="1121" t="str">
        <f>'[10]1114'!A263</f>
        <v>4. Obras de Intervención en Bienes muebles - inmuebles y sectores que conforman el patrimonio cultural del D.C.</v>
      </c>
      <c r="B78" s="1091">
        <f>'1114'!B479</f>
        <v>20779459021</v>
      </c>
      <c r="C78" s="1091">
        <f>'1114'!M474</f>
        <v>20487046049</v>
      </c>
      <c r="D78" s="1091">
        <f>'1114'!O474</f>
        <v>20487046049</v>
      </c>
      <c r="E78" s="1091">
        <f>'1114'!AC474</f>
        <v>11625459132</v>
      </c>
      <c r="F78" s="1112">
        <f>IFERROR(C78/B78,0)</f>
        <v>0.98592778706584794</v>
      </c>
      <c r="G78" s="1093">
        <f>IFERROR(C78/B78,0)</f>
        <v>0.98592778706584794</v>
      </c>
      <c r="H78" s="1094">
        <f>IFERROR(C78/B78,0)</f>
        <v>0.98592778706584794</v>
      </c>
      <c r="I78" s="1113">
        <f>IFERROR(D78/B78,0)</f>
        <v>0.98592778706584794</v>
      </c>
      <c r="J78" s="1093">
        <f>IFERROR(D78/B78,0)</f>
        <v>0.98592778706584794</v>
      </c>
      <c r="K78" s="1094">
        <f>IFERROR(D78/B78,0)</f>
        <v>0.98592778706584794</v>
      </c>
      <c r="L78" s="1096">
        <f>IFERROR(E78/B78,0)</f>
        <v>0.55946880620189177</v>
      </c>
      <c r="M78" s="1093">
        <f>IFERROR(E78/B78,0)</f>
        <v>0.55946880620189177</v>
      </c>
      <c r="N78" s="1094">
        <f>IFERROR(E78/B78,0)</f>
        <v>0.55946880620189177</v>
      </c>
    </row>
    <row r="79" spans="1:14">
      <c r="A79" s="129"/>
      <c r="B79" s="532"/>
      <c r="C79" s="129"/>
      <c r="D79" s="129"/>
      <c r="E79" s="129"/>
      <c r="F79" s="129"/>
      <c r="G79" s="129"/>
      <c r="H79" s="129"/>
      <c r="I79" s="129"/>
      <c r="J79" s="129"/>
      <c r="K79" s="129"/>
      <c r="L79" s="129"/>
      <c r="M79" s="129"/>
      <c r="N79" s="129"/>
    </row>
    <row r="80" spans="1:14">
      <c r="A80" s="129"/>
      <c r="B80" s="532">
        <f>B78-B76</f>
        <v>381750837</v>
      </c>
      <c r="C80" s="532"/>
      <c r="D80" s="129"/>
      <c r="E80" s="129"/>
      <c r="F80" s="129"/>
      <c r="G80" s="129"/>
      <c r="H80" s="129"/>
      <c r="I80" s="129"/>
      <c r="J80" s="129"/>
      <c r="K80" s="129"/>
      <c r="L80" s="129"/>
      <c r="M80" s="129"/>
      <c r="N80" s="129"/>
    </row>
    <row r="81" spans="1:14">
      <c r="A81" s="129"/>
      <c r="B81" s="129"/>
      <c r="C81" s="129"/>
      <c r="D81" s="532"/>
      <c r="E81" s="129"/>
      <c r="F81" s="129"/>
      <c r="G81" s="129"/>
      <c r="H81" s="129"/>
      <c r="I81" s="129"/>
      <c r="J81" s="129"/>
      <c r="K81" s="129"/>
      <c r="L81" s="129"/>
      <c r="M81" s="129"/>
      <c r="N81" s="129"/>
    </row>
    <row r="82" spans="1:14">
      <c r="A82" s="129"/>
      <c r="B82" s="129"/>
      <c r="C82" s="129"/>
      <c r="D82" s="129"/>
      <c r="E82" s="129"/>
      <c r="F82" s="129"/>
      <c r="G82" s="129"/>
      <c r="H82" s="129"/>
      <c r="I82" s="129"/>
      <c r="J82" s="129"/>
      <c r="K82" s="129"/>
      <c r="L82" s="129"/>
      <c r="M82" s="129"/>
      <c r="N82" s="129"/>
    </row>
    <row r="83" spans="1:14">
      <c r="A83" s="2256" t="s">
        <v>600</v>
      </c>
      <c r="B83" s="2257"/>
      <c r="C83" s="2257"/>
      <c r="D83" s="2257"/>
      <c r="E83" s="2257"/>
      <c r="F83" s="2257"/>
      <c r="G83" s="2257"/>
      <c r="H83" s="2257"/>
      <c r="I83" s="129"/>
      <c r="J83" s="129"/>
      <c r="K83" s="129"/>
      <c r="L83" s="129"/>
      <c r="M83" s="129"/>
      <c r="N83" s="129"/>
    </row>
    <row r="84" spans="1:14">
      <c r="A84" s="1124"/>
      <c r="B84" s="1124"/>
      <c r="C84" s="1124"/>
      <c r="D84" s="1124"/>
      <c r="E84" s="1124"/>
      <c r="F84" s="1124"/>
      <c r="G84" s="129"/>
      <c r="H84" s="129"/>
      <c r="I84" s="129"/>
      <c r="J84" s="129"/>
      <c r="K84" s="129"/>
      <c r="L84" s="129"/>
      <c r="M84" s="129"/>
      <c r="N84" s="129"/>
    </row>
    <row r="85" spans="1:14">
      <c r="A85" s="1125" t="s">
        <v>588</v>
      </c>
      <c r="B85" s="1125" t="s">
        <v>572</v>
      </c>
      <c r="C85" s="1125" t="s">
        <v>589</v>
      </c>
      <c r="D85" s="2258" t="s">
        <v>590</v>
      </c>
      <c r="E85" s="2258"/>
      <c r="F85" s="2258"/>
      <c r="G85" s="2265" t="s">
        <v>741</v>
      </c>
      <c r="H85" s="2266"/>
      <c r="I85" s="129"/>
      <c r="J85" s="129"/>
      <c r="K85" s="129"/>
      <c r="L85" s="129"/>
      <c r="M85" s="129"/>
      <c r="N85" s="129"/>
    </row>
    <row r="86" spans="1:14">
      <c r="A86" s="1126">
        <v>1024</v>
      </c>
      <c r="B86" s="1127">
        <f>'1024'!B50</f>
        <v>740000000</v>
      </c>
      <c r="C86" s="1127">
        <f>'1024'!O50</f>
        <v>739410865</v>
      </c>
      <c r="D86" s="2259">
        <f t="shared" ref="D86:D91" si="20">C86/B86</f>
        <v>0.99920387162162161</v>
      </c>
      <c r="E86" s="2260"/>
      <c r="F86" s="2261"/>
      <c r="G86" s="1371">
        <f>E9</f>
        <v>701344814</v>
      </c>
      <c r="H86" s="1357">
        <f t="shared" ref="H86:H91" si="21">G86/B86</f>
        <v>0.94776326216216211</v>
      </c>
      <c r="I86" s="129"/>
      <c r="J86" s="129"/>
      <c r="K86" s="129"/>
      <c r="L86" s="129"/>
      <c r="M86" s="129"/>
      <c r="N86" s="129"/>
    </row>
    <row r="87" spans="1:14">
      <c r="A87" s="1126">
        <v>1107</v>
      </c>
      <c r="B87" s="1128">
        <f>'1107'!B293</f>
        <v>6938000000</v>
      </c>
      <c r="C87" s="1127">
        <f>'1107'!O293</f>
        <v>6286680010</v>
      </c>
      <c r="D87" s="2263">
        <f t="shared" si="20"/>
        <v>0.9061228034015566</v>
      </c>
      <c r="E87" s="2263"/>
      <c r="F87" s="2263"/>
      <c r="G87" s="1371">
        <f>E19</f>
        <v>5137663477</v>
      </c>
      <c r="H87" s="1357">
        <f t="shared" si="21"/>
        <v>0.74051073464975492</v>
      </c>
      <c r="I87" s="129"/>
      <c r="J87" s="129"/>
      <c r="K87" s="1131"/>
      <c r="L87" s="129"/>
      <c r="M87" s="129"/>
      <c r="N87" s="129"/>
    </row>
    <row r="88" spans="1:14">
      <c r="A88" s="1126">
        <v>1110</v>
      </c>
      <c r="B88" s="1128">
        <f>'1110'!B241</f>
        <v>5578162000</v>
      </c>
      <c r="C88" s="1127">
        <f>'1110'!O241</f>
        <v>5573425534</v>
      </c>
      <c r="D88" s="2263">
        <f t="shared" si="20"/>
        <v>0.99915089127924217</v>
      </c>
      <c r="E88" s="2263"/>
      <c r="F88" s="2263"/>
      <c r="G88" s="1372">
        <f>E32</f>
        <v>5040027629</v>
      </c>
      <c r="H88" s="1357">
        <f t="shared" si="21"/>
        <v>0.90352837171096856</v>
      </c>
      <c r="I88" s="129"/>
      <c r="J88" s="129"/>
      <c r="K88" s="1131"/>
      <c r="L88" s="129"/>
      <c r="M88" s="129"/>
      <c r="N88" s="129"/>
    </row>
    <row r="89" spans="1:14">
      <c r="A89" s="1126">
        <v>1112</v>
      </c>
      <c r="B89" s="1128">
        <f>'1112'!B134</f>
        <v>2923660347</v>
      </c>
      <c r="C89" s="1127">
        <f>'1112'!O134</f>
        <v>2922011001</v>
      </c>
      <c r="D89" s="2263">
        <f t="shared" si="20"/>
        <v>0.99943586265015616</v>
      </c>
      <c r="E89" s="2263"/>
      <c r="F89" s="2263"/>
      <c r="G89" s="1372">
        <f>E43</f>
        <v>2578235565</v>
      </c>
      <c r="H89" s="1357">
        <f t="shared" si="21"/>
        <v>0.88185194550576163</v>
      </c>
      <c r="I89" s="129"/>
      <c r="J89" s="129"/>
      <c r="K89" s="129"/>
      <c r="L89" s="129"/>
      <c r="M89" s="129"/>
      <c r="N89" s="129"/>
    </row>
    <row r="90" spans="1:14">
      <c r="A90" s="1126">
        <v>1114</v>
      </c>
      <c r="B90" s="1127">
        <f>'1114'!B474</f>
        <v>20779459021</v>
      </c>
      <c r="C90" s="1127">
        <f>'1114'!O474</f>
        <v>20487046049</v>
      </c>
      <c r="D90" s="2263">
        <f t="shared" si="20"/>
        <v>0.98592778706584794</v>
      </c>
      <c r="E90" s="2263"/>
      <c r="F90" s="2263"/>
      <c r="G90" s="1372">
        <f>E76</f>
        <v>11625459132</v>
      </c>
      <c r="H90" s="1357">
        <f t="shared" si="21"/>
        <v>0.55946880620189177</v>
      </c>
      <c r="I90" s="129"/>
      <c r="J90" s="129"/>
      <c r="K90" s="532"/>
      <c r="L90" s="129"/>
      <c r="M90" s="129"/>
      <c r="N90" s="129"/>
    </row>
    <row r="91" spans="1:14">
      <c r="A91" s="1129" t="s">
        <v>591</v>
      </c>
      <c r="B91" s="1130">
        <f>SUM(B86:B90)</f>
        <v>36959281368</v>
      </c>
      <c r="C91" s="1130">
        <f>SUM(C86:C90)</f>
        <v>36008573459</v>
      </c>
      <c r="D91" s="2264">
        <f t="shared" si="20"/>
        <v>0.97427688326691497</v>
      </c>
      <c r="E91" s="2264"/>
      <c r="F91" s="2264"/>
      <c r="G91" s="1360">
        <f>SUM(G86:G90)</f>
        <v>25082730617</v>
      </c>
      <c r="H91" s="1358">
        <f t="shared" si="21"/>
        <v>0.67865850440255238</v>
      </c>
      <c r="I91" s="129"/>
      <c r="J91" s="129"/>
      <c r="K91" s="129"/>
      <c r="L91" s="129"/>
      <c r="M91" s="129"/>
      <c r="N91" s="129"/>
    </row>
    <row r="92" spans="1:14">
      <c r="A92" s="1124"/>
      <c r="B92" s="1124">
        <v>1153000000</v>
      </c>
      <c r="C92" s="1124"/>
      <c r="D92" s="1124"/>
      <c r="E92" s="1124"/>
      <c r="F92" s="1124"/>
      <c r="G92" s="129"/>
      <c r="H92" s="129"/>
      <c r="I92" s="129"/>
      <c r="J92" s="129"/>
      <c r="K92" s="129"/>
      <c r="L92" s="129"/>
      <c r="M92" s="129"/>
      <c r="N92" s="129"/>
    </row>
    <row r="93" spans="1:14">
      <c r="A93" s="129"/>
      <c r="B93" s="1131">
        <f>B91-B92</f>
        <v>35806281368</v>
      </c>
      <c r="C93" s="1131">
        <v>31451974868</v>
      </c>
      <c r="D93" s="2009">
        <f>C93/B93</f>
        <v>0.87839266369918445</v>
      </c>
      <c r="E93" s="129"/>
      <c r="F93" s="129"/>
      <c r="G93" s="1811"/>
      <c r="H93" s="129"/>
      <c r="I93" s="129"/>
      <c r="J93" s="129"/>
      <c r="K93" s="129"/>
      <c r="L93" s="129"/>
      <c r="M93" s="129"/>
      <c r="N93" s="129"/>
    </row>
    <row r="94" spans="1:14">
      <c r="A94" s="2267" t="s">
        <v>592</v>
      </c>
      <c r="B94" s="2268"/>
      <c r="C94" s="2268"/>
      <c r="D94" s="2268"/>
      <c r="E94" s="2268"/>
      <c r="F94" s="2268"/>
      <c r="G94" s="2268"/>
      <c r="H94" s="2268"/>
      <c r="I94" s="129"/>
      <c r="J94" s="129"/>
      <c r="K94" s="129"/>
      <c r="L94" s="129"/>
      <c r="M94" s="129"/>
      <c r="N94" s="129"/>
    </row>
    <row r="95" spans="1:14">
      <c r="A95" s="129"/>
      <c r="B95" s="129"/>
      <c r="C95" s="129"/>
      <c r="D95" s="129"/>
      <c r="E95" s="129"/>
      <c r="F95" s="129"/>
      <c r="G95" s="129"/>
      <c r="H95" s="129"/>
      <c r="I95" s="129"/>
      <c r="J95" s="129"/>
      <c r="K95" s="129"/>
      <c r="L95" s="129"/>
      <c r="M95" s="129"/>
      <c r="N95" s="129"/>
    </row>
    <row r="96" spans="1:14">
      <c r="A96" s="1125" t="s">
        <v>593</v>
      </c>
      <c r="B96" s="1125" t="s">
        <v>572</v>
      </c>
      <c r="C96" s="1125" t="s">
        <v>589</v>
      </c>
      <c r="D96" s="2258" t="s">
        <v>590</v>
      </c>
      <c r="E96" s="2258"/>
      <c r="F96" s="2258"/>
      <c r="G96" s="2265" t="s">
        <v>741</v>
      </c>
      <c r="H96" s="2266"/>
      <c r="I96" s="129"/>
      <c r="J96" s="129"/>
      <c r="K96" s="129"/>
      <c r="L96" s="129"/>
      <c r="M96" s="129"/>
      <c r="N96" s="129"/>
    </row>
    <row r="97" spans="1:14">
      <c r="A97" s="1132" t="s">
        <v>614</v>
      </c>
      <c r="B97" s="1127">
        <v>4477753000</v>
      </c>
      <c r="C97" s="1127">
        <v>4065009220</v>
      </c>
      <c r="D97" s="2259">
        <f>C97/B97</f>
        <v>0.9078234596682756</v>
      </c>
      <c r="E97" s="2260"/>
      <c r="F97" s="2261"/>
      <c r="G97" s="1127">
        <v>4065009220</v>
      </c>
      <c r="H97" s="1366">
        <f>G97/B97</f>
        <v>0.9078234596682756</v>
      </c>
      <c r="I97" s="129"/>
      <c r="J97" s="129"/>
      <c r="K97" s="129"/>
      <c r="L97" s="129"/>
      <c r="M97" s="129"/>
      <c r="N97" s="129"/>
    </row>
    <row r="98" spans="1:14">
      <c r="A98" s="1132" t="s">
        <v>615</v>
      </c>
      <c r="B98" s="1127">
        <v>1804247000</v>
      </c>
      <c r="C98" s="1127">
        <v>1764101013</v>
      </c>
      <c r="D98" s="2259">
        <f>C98/B98</f>
        <v>0.97774917347791068</v>
      </c>
      <c r="E98" s="2260"/>
      <c r="F98" s="2261"/>
      <c r="G98" s="1127">
        <v>1475361032</v>
      </c>
      <c r="H98" s="1366">
        <f>G98/B98</f>
        <v>0.81771566309934285</v>
      </c>
      <c r="I98" s="129"/>
      <c r="J98" s="129"/>
      <c r="K98" s="129"/>
      <c r="L98" s="129"/>
      <c r="M98" s="129"/>
      <c r="N98" s="129"/>
    </row>
    <row r="99" spans="1:14" ht="24.75" customHeight="1">
      <c r="A99" s="1137" t="s">
        <v>594</v>
      </c>
      <c r="B99" s="1133">
        <f>SUM(B97:B98)</f>
        <v>6282000000</v>
      </c>
      <c r="C99" s="1133">
        <f>SUM(C97:C98)</f>
        <v>5829110233</v>
      </c>
      <c r="D99" s="2262">
        <f>C99/B99</f>
        <v>0.92790675469595674</v>
      </c>
      <c r="E99" s="2262"/>
      <c r="F99" s="2262"/>
      <c r="G99" s="1133">
        <f>SUM(G97:G98)</f>
        <v>5540370252</v>
      </c>
      <c r="H99" s="1366">
        <f>G99/B99</f>
        <v>0.88194368863419292</v>
      </c>
      <c r="I99" s="129"/>
      <c r="J99" s="129"/>
      <c r="K99" s="129"/>
      <c r="L99" s="129"/>
      <c r="M99" s="129"/>
      <c r="N99" s="129"/>
    </row>
    <row r="100" spans="1:14">
      <c r="A100" s="1134"/>
      <c r="B100" s="1135"/>
      <c r="C100" s="1135"/>
      <c r="D100" s="1136"/>
      <c r="E100" s="1136"/>
      <c r="F100" s="1136"/>
      <c r="G100" s="129"/>
      <c r="H100" s="129"/>
      <c r="I100" s="129"/>
      <c r="J100" s="129"/>
      <c r="K100" s="129"/>
      <c r="L100" s="129"/>
      <c r="M100" s="129"/>
      <c r="N100" s="129"/>
    </row>
    <row r="101" spans="1:14">
      <c r="A101" s="688"/>
      <c r="B101" s="129"/>
      <c r="C101" s="129"/>
      <c r="D101" s="129"/>
      <c r="E101" s="129"/>
      <c r="F101" s="129"/>
      <c r="G101" s="129"/>
      <c r="H101" s="129"/>
      <c r="I101" s="129"/>
      <c r="J101" s="129"/>
      <c r="K101" s="129"/>
      <c r="L101" s="129"/>
      <c r="M101" s="129"/>
      <c r="N101" s="129"/>
    </row>
    <row r="102" spans="1:14" ht="24.75" customHeight="1">
      <c r="A102" s="1137" t="s">
        <v>616</v>
      </c>
      <c r="B102" s="1138">
        <f>B91+B99</f>
        <v>43241281368</v>
      </c>
      <c r="C102" s="1138">
        <f>C91+C99</f>
        <v>41837683692</v>
      </c>
      <c r="D102" s="2262">
        <f>C102/B102</f>
        <v>0.96754033110039361</v>
      </c>
      <c r="E102" s="2262"/>
      <c r="F102" s="2262"/>
      <c r="G102" s="1138">
        <f>G91+G99</f>
        <v>30623100869</v>
      </c>
      <c r="H102" s="1366">
        <f>G102/B102</f>
        <v>0.70819133707869542</v>
      </c>
      <c r="I102" s="129"/>
      <c r="J102" s="129"/>
      <c r="K102" s="129"/>
      <c r="L102" s="129"/>
      <c r="M102" s="129"/>
      <c r="N102" s="129"/>
    </row>
    <row r="103" spans="1:14">
      <c r="A103" s="129"/>
      <c r="B103" s="129"/>
      <c r="C103" s="129"/>
      <c r="D103" s="129"/>
      <c r="E103" s="129"/>
      <c r="F103" s="129"/>
      <c r="G103" s="129"/>
      <c r="H103" s="129"/>
      <c r="I103" s="129"/>
      <c r="J103" s="129"/>
      <c r="K103" s="129"/>
      <c r="L103" s="129"/>
      <c r="M103" s="129"/>
      <c r="N103" s="129"/>
    </row>
    <row r="104" spans="1:14">
      <c r="B104" s="1152" t="s">
        <v>572</v>
      </c>
      <c r="C104" s="1152" t="s">
        <v>740</v>
      </c>
      <c r="D104" s="2258" t="s">
        <v>590</v>
      </c>
      <c r="E104" s="2258"/>
      <c r="F104" s="2258"/>
    </row>
    <row r="105" spans="1:14">
      <c r="B105" s="1127">
        <f>B11+B21+B34+B45+B78</f>
        <v>36959281368</v>
      </c>
      <c r="C105" s="1157">
        <f>C11+C21+C34+C45+C78</f>
        <v>36008573459</v>
      </c>
      <c r="D105" s="2259">
        <f>C105/B105</f>
        <v>0.97427688326691497</v>
      </c>
      <c r="E105" s="2260"/>
      <c r="F105" s="2261"/>
    </row>
    <row r="107" spans="1:14">
      <c r="B107" s="1152" t="s">
        <v>572</v>
      </c>
      <c r="C107" s="1152" t="s">
        <v>741</v>
      </c>
      <c r="D107" s="2258" t="s">
        <v>590</v>
      </c>
      <c r="E107" s="2258"/>
      <c r="F107" s="2258"/>
    </row>
    <row r="108" spans="1:14">
      <c r="B108" s="1127">
        <f>B11+B21+B34+B45+B78</f>
        <v>36959281368</v>
      </c>
      <c r="C108" s="1157">
        <f>E11+E21+E34+E45+E78</f>
        <v>25082730617</v>
      </c>
      <c r="D108" s="2259">
        <f>C108/B108</f>
        <v>0.67865850440255238</v>
      </c>
      <c r="E108" s="2260"/>
      <c r="F108" s="2261"/>
    </row>
    <row r="111" spans="1:14">
      <c r="C111" s="114"/>
    </row>
    <row r="112" spans="1:14">
      <c r="B112" s="1308"/>
      <c r="C112" s="114"/>
    </row>
    <row r="113" spans="2:3">
      <c r="C113" s="114"/>
    </row>
    <row r="115" spans="2:3">
      <c r="B115" s="1308"/>
      <c r="C115" s="114"/>
    </row>
    <row r="116" spans="2:3">
      <c r="C116" s="114"/>
    </row>
    <row r="117" spans="2:3">
      <c r="C117" s="114"/>
    </row>
    <row r="118" spans="2:3">
      <c r="B118" s="1308"/>
      <c r="C118" s="114"/>
    </row>
    <row r="119" spans="2:3">
      <c r="C119" s="2010"/>
    </row>
  </sheetData>
  <mergeCells count="56">
    <mergeCell ref="G44:H44"/>
    <mergeCell ref="J44:K44"/>
    <mergeCell ref="M44:N44"/>
    <mergeCell ref="D89:F89"/>
    <mergeCell ref="A47:N47"/>
    <mergeCell ref="G49:H49"/>
    <mergeCell ref="J49:K49"/>
    <mergeCell ref="M49:N49"/>
    <mergeCell ref="G77:H77"/>
    <mergeCell ref="J77:K77"/>
    <mergeCell ref="M77:N77"/>
    <mergeCell ref="D85:F85"/>
    <mergeCell ref="D86:F86"/>
    <mergeCell ref="D87:F87"/>
    <mergeCell ref="D88:F88"/>
    <mergeCell ref="G85:H85"/>
    <mergeCell ref="J33:K33"/>
    <mergeCell ref="M33:N33"/>
    <mergeCell ref="A36:N36"/>
    <mergeCell ref="G38:H38"/>
    <mergeCell ref="J38:K38"/>
    <mergeCell ref="M38:N38"/>
    <mergeCell ref="A1:N1"/>
    <mergeCell ref="A3:N3"/>
    <mergeCell ref="G5:H5"/>
    <mergeCell ref="J5:K5"/>
    <mergeCell ref="M5:N5"/>
    <mergeCell ref="D108:F108"/>
    <mergeCell ref="G10:H10"/>
    <mergeCell ref="A13:N13"/>
    <mergeCell ref="G15:H15"/>
    <mergeCell ref="J15:K15"/>
    <mergeCell ref="M15:N15"/>
    <mergeCell ref="G20:H20"/>
    <mergeCell ref="J20:K20"/>
    <mergeCell ref="M20:N20"/>
    <mergeCell ref="A23:N23"/>
    <mergeCell ref="G25:H25"/>
    <mergeCell ref="J25:K25"/>
    <mergeCell ref="M25:N25"/>
    <mergeCell ref="J10:K10"/>
    <mergeCell ref="M10:N10"/>
    <mergeCell ref="G33:H33"/>
    <mergeCell ref="A83:H83"/>
    <mergeCell ref="D104:F104"/>
    <mergeCell ref="D105:F105"/>
    <mergeCell ref="D107:F107"/>
    <mergeCell ref="D97:F97"/>
    <mergeCell ref="D98:F98"/>
    <mergeCell ref="D99:F99"/>
    <mergeCell ref="D102:F102"/>
    <mergeCell ref="D90:F90"/>
    <mergeCell ref="D91:F91"/>
    <mergeCell ref="D96:F96"/>
    <mergeCell ref="G96:H96"/>
    <mergeCell ref="A94:H94"/>
  </mergeCells>
  <conditionalFormatting sqref="G6">
    <cfRule type="iconSet" priority="326">
      <iconSet iconSet="3TrafficLights2" showValue="0">
        <cfvo type="percent" val="0"/>
        <cfvo type="num" val="0.6"/>
        <cfvo type="num" val="0.8"/>
      </iconSet>
    </cfRule>
  </conditionalFormatting>
  <conditionalFormatting sqref="H6">
    <cfRule type="iconSet" priority="325">
      <iconSet iconSet="5Arrows" showValue="0">
        <cfvo type="percent" val="0"/>
        <cfvo type="num" val="0.6"/>
        <cfvo type="num" val="0.7"/>
        <cfvo type="num" val="0.8"/>
        <cfvo type="num" val="0.9"/>
      </iconSet>
    </cfRule>
  </conditionalFormatting>
  <conditionalFormatting sqref="F6 I57 L57 F57 I69 L69 F69 F75 L75 I75 F72:F73 L72:L73 I72:I73 F50:F55 L50:L55 I50:I55 F61:F63 L61:L63 I61:I63 F59 L59 I59">
    <cfRule type="dataBar" priority="324">
      <dataBar>
        <cfvo type="num" val="0"/>
        <cfvo type="num" val="1.1000000000000001"/>
        <color rgb="FF63C384"/>
      </dataBar>
      <extLst>
        <ext xmlns:x14="http://schemas.microsoft.com/office/spreadsheetml/2009/9/main" uri="{B025F937-C7B1-47D3-B67F-A62EFF666E3E}">
          <x14:id>{E2447B98-D96C-4E51-8249-6DAFFA072E95}</x14:id>
        </ext>
      </extLst>
    </cfRule>
  </conditionalFormatting>
  <conditionalFormatting sqref="J6">
    <cfRule type="iconSet" priority="323">
      <iconSet iconSet="3TrafficLights2" showValue="0">
        <cfvo type="percent" val="0"/>
        <cfvo type="num" val="0.6"/>
        <cfvo type="num" val="0.8"/>
      </iconSet>
    </cfRule>
  </conditionalFormatting>
  <conditionalFormatting sqref="K6">
    <cfRule type="iconSet" priority="322">
      <iconSet iconSet="5Arrows" showValue="0">
        <cfvo type="percent" val="0"/>
        <cfvo type="num" val="0.6"/>
        <cfvo type="num" val="0.7"/>
        <cfvo type="num" val="0.8"/>
        <cfvo type="num" val="0.9"/>
      </iconSet>
    </cfRule>
  </conditionalFormatting>
  <conditionalFormatting sqref="I6">
    <cfRule type="dataBar" priority="321">
      <dataBar>
        <cfvo type="num" val="0"/>
        <cfvo type="num" val="1.1000000000000001"/>
        <color rgb="FF63C384"/>
      </dataBar>
      <extLst>
        <ext xmlns:x14="http://schemas.microsoft.com/office/spreadsheetml/2009/9/main" uri="{B025F937-C7B1-47D3-B67F-A62EFF666E3E}">
          <x14:id>{C2D532E5-1B7C-480C-922C-653A82A2DDF0}</x14:id>
        </ext>
      </extLst>
    </cfRule>
  </conditionalFormatting>
  <conditionalFormatting sqref="M6">
    <cfRule type="iconSet" priority="320">
      <iconSet iconSet="3TrafficLights2" showValue="0">
        <cfvo type="percent" val="0"/>
        <cfvo type="num" val="0.6"/>
        <cfvo type="num" val="0.8"/>
      </iconSet>
    </cfRule>
  </conditionalFormatting>
  <conditionalFormatting sqref="N6">
    <cfRule type="iconSet" priority="319">
      <iconSet iconSet="5Arrows" showValue="0">
        <cfvo type="percent" val="0"/>
        <cfvo type="num" val="0.6"/>
        <cfvo type="num" val="0.7"/>
        <cfvo type="num" val="0.8"/>
        <cfvo type="num" val="0.9"/>
      </iconSet>
    </cfRule>
  </conditionalFormatting>
  <conditionalFormatting sqref="L6">
    <cfRule type="dataBar" priority="318">
      <dataBar>
        <cfvo type="num" val="0"/>
        <cfvo type="num" val="1.1000000000000001"/>
        <color rgb="FF63C384"/>
      </dataBar>
      <extLst>
        <ext xmlns:x14="http://schemas.microsoft.com/office/spreadsheetml/2009/9/main" uri="{B025F937-C7B1-47D3-B67F-A62EFF666E3E}">
          <x14:id>{9A5EDCC3-08C0-4FA7-B8DE-5928750D7291}</x14:id>
        </ext>
      </extLst>
    </cfRule>
  </conditionalFormatting>
  <conditionalFormatting sqref="G7">
    <cfRule type="iconSet" priority="317">
      <iconSet iconSet="3TrafficLights2" showValue="0">
        <cfvo type="percent" val="0"/>
        <cfvo type="num" val="0.6"/>
        <cfvo type="num" val="0.8"/>
      </iconSet>
    </cfRule>
  </conditionalFormatting>
  <conditionalFormatting sqref="H7">
    <cfRule type="iconSet" priority="316">
      <iconSet iconSet="5Arrows" showValue="0">
        <cfvo type="percent" val="0"/>
        <cfvo type="num" val="0.6"/>
        <cfvo type="num" val="0.7"/>
        <cfvo type="num" val="0.8"/>
        <cfvo type="num" val="0.9"/>
      </iconSet>
    </cfRule>
  </conditionalFormatting>
  <conditionalFormatting sqref="F7">
    <cfRule type="dataBar" priority="315">
      <dataBar>
        <cfvo type="num" val="0"/>
        <cfvo type="num" val="1.1000000000000001"/>
        <color rgb="FF63C384"/>
      </dataBar>
      <extLst>
        <ext xmlns:x14="http://schemas.microsoft.com/office/spreadsheetml/2009/9/main" uri="{B025F937-C7B1-47D3-B67F-A62EFF666E3E}">
          <x14:id>{A0239914-0CEE-4CCB-8399-5F6FE19EFCC0}</x14:id>
        </ext>
      </extLst>
    </cfRule>
  </conditionalFormatting>
  <conditionalFormatting sqref="J7">
    <cfRule type="iconSet" priority="314">
      <iconSet iconSet="3TrafficLights2" showValue="0">
        <cfvo type="percent" val="0"/>
        <cfvo type="num" val="0.6"/>
        <cfvo type="num" val="0.8"/>
      </iconSet>
    </cfRule>
  </conditionalFormatting>
  <conditionalFormatting sqref="K7">
    <cfRule type="iconSet" priority="313">
      <iconSet iconSet="5Arrows" showValue="0">
        <cfvo type="percent" val="0"/>
        <cfvo type="num" val="0.6"/>
        <cfvo type="num" val="0.7"/>
        <cfvo type="num" val="0.8"/>
        <cfvo type="num" val="0.9"/>
      </iconSet>
    </cfRule>
  </conditionalFormatting>
  <conditionalFormatting sqref="I7">
    <cfRule type="dataBar" priority="312">
      <dataBar>
        <cfvo type="num" val="0"/>
        <cfvo type="num" val="1.1000000000000001"/>
        <color rgb="FF63C384"/>
      </dataBar>
      <extLst>
        <ext xmlns:x14="http://schemas.microsoft.com/office/spreadsheetml/2009/9/main" uri="{B025F937-C7B1-47D3-B67F-A62EFF666E3E}">
          <x14:id>{0DFE4C40-C3FC-447C-86F9-479B60F27E9D}</x14:id>
        </ext>
      </extLst>
    </cfRule>
  </conditionalFormatting>
  <conditionalFormatting sqref="M7">
    <cfRule type="iconSet" priority="311">
      <iconSet iconSet="3TrafficLights2" showValue="0">
        <cfvo type="percent" val="0"/>
        <cfvo type="num" val="0.6"/>
        <cfvo type="num" val="0.8"/>
      </iconSet>
    </cfRule>
  </conditionalFormatting>
  <conditionalFormatting sqref="N7">
    <cfRule type="iconSet" priority="310">
      <iconSet iconSet="5Arrows" showValue="0">
        <cfvo type="percent" val="0"/>
        <cfvo type="num" val="0.6"/>
        <cfvo type="num" val="0.7"/>
        <cfvo type="num" val="0.8"/>
        <cfvo type="num" val="0.9"/>
      </iconSet>
    </cfRule>
  </conditionalFormatting>
  <conditionalFormatting sqref="L7">
    <cfRule type="dataBar" priority="309">
      <dataBar>
        <cfvo type="num" val="0"/>
        <cfvo type="num" val="1.1000000000000001"/>
        <color rgb="FF63C384"/>
      </dataBar>
      <extLst>
        <ext xmlns:x14="http://schemas.microsoft.com/office/spreadsheetml/2009/9/main" uri="{B025F937-C7B1-47D3-B67F-A62EFF666E3E}">
          <x14:id>{1F72F77C-72DD-4DC0-993A-4A62562778BC}</x14:id>
        </ext>
      </extLst>
    </cfRule>
  </conditionalFormatting>
  <conditionalFormatting sqref="G8">
    <cfRule type="iconSet" priority="308">
      <iconSet iconSet="3TrafficLights2" showValue="0">
        <cfvo type="percent" val="0"/>
        <cfvo type="num" val="0.6"/>
        <cfvo type="num" val="0.8"/>
      </iconSet>
    </cfRule>
  </conditionalFormatting>
  <conditionalFormatting sqref="H8">
    <cfRule type="iconSet" priority="307">
      <iconSet iconSet="5Arrows" showValue="0">
        <cfvo type="percent" val="0"/>
        <cfvo type="num" val="0.6"/>
        <cfvo type="num" val="0.7"/>
        <cfvo type="num" val="0.8"/>
        <cfvo type="num" val="0.9"/>
      </iconSet>
    </cfRule>
  </conditionalFormatting>
  <conditionalFormatting sqref="F8">
    <cfRule type="dataBar" priority="306">
      <dataBar>
        <cfvo type="num" val="0"/>
        <cfvo type="num" val="1.1000000000000001"/>
        <color rgb="FF63C384"/>
      </dataBar>
      <extLst>
        <ext xmlns:x14="http://schemas.microsoft.com/office/spreadsheetml/2009/9/main" uri="{B025F937-C7B1-47D3-B67F-A62EFF666E3E}">
          <x14:id>{13929A6E-DD03-4D35-A383-37858081BB35}</x14:id>
        </ext>
      </extLst>
    </cfRule>
  </conditionalFormatting>
  <conditionalFormatting sqref="J8">
    <cfRule type="iconSet" priority="305">
      <iconSet iconSet="3TrafficLights2" showValue="0">
        <cfvo type="percent" val="0"/>
        <cfvo type="num" val="0.6"/>
        <cfvo type="num" val="0.8"/>
      </iconSet>
    </cfRule>
  </conditionalFormatting>
  <conditionalFormatting sqref="K8">
    <cfRule type="iconSet" priority="304">
      <iconSet iconSet="5Arrows" showValue="0">
        <cfvo type="percent" val="0"/>
        <cfvo type="num" val="0.6"/>
        <cfvo type="num" val="0.7"/>
        <cfvo type="num" val="0.8"/>
        <cfvo type="num" val="0.9"/>
      </iconSet>
    </cfRule>
  </conditionalFormatting>
  <conditionalFormatting sqref="I8">
    <cfRule type="dataBar" priority="303">
      <dataBar>
        <cfvo type="num" val="0"/>
        <cfvo type="num" val="1.1000000000000001"/>
        <color rgb="FF63C384"/>
      </dataBar>
      <extLst>
        <ext xmlns:x14="http://schemas.microsoft.com/office/spreadsheetml/2009/9/main" uri="{B025F937-C7B1-47D3-B67F-A62EFF666E3E}">
          <x14:id>{ADCEFA98-11A3-4CF8-800F-04F593269AA7}</x14:id>
        </ext>
      </extLst>
    </cfRule>
  </conditionalFormatting>
  <conditionalFormatting sqref="M8">
    <cfRule type="iconSet" priority="302">
      <iconSet iconSet="3TrafficLights2" showValue="0">
        <cfvo type="percent" val="0"/>
        <cfvo type="num" val="0.6"/>
        <cfvo type="num" val="0.8"/>
      </iconSet>
    </cfRule>
  </conditionalFormatting>
  <conditionalFormatting sqref="N8">
    <cfRule type="iconSet" priority="301">
      <iconSet iconSet="5Arrows" showValue="0">
        <cfvo type="percent" val="0"/>
        <cfvo type="num" val="0.6"/>
        <cfvo type="num" val="0.7"/>
        <cfvo type="num" val="0.8"/>
        <cfvo type="num" val="0.9"/>
      </iconSet>
    </cfRule>
  </conditionalFormatting>
  <conditionalFormatting sqref="L8">
    <cfRule type="dataBar" priority="300">
      <dataBar>
        <cfvo type="num" val="0"/>
        <cfvo type="num" val="1.1000000000000001"/>
        <color rgb="FF63C384"/>
      </dataBar>
      <extLst>
        <ext xmlns:x14="http://schemas.microsoft.com/office/spreadsheetml/2009/9/main" uri="{B025F937-C7B1-47D3-B67F-A62EFF666E3E}">
          <x14:id>{29C8DEB2-2279-4B4B-8012-95D88698D968}</x14:id>
        </ext>
      </extLst>
    </cfRule>
  </conditionalFormatting>
  <conditionalFormatting sqref="G9">
    <cfRule type="iconSet" priority="299">
      <iconSet iconSet="3TrafficLights2" showValue="0">
        <cfvo type="percent" val="0"/>
        <cfvo type="num" val="0.6"/>
        <cfvo type="num" val="0.8"/>
      </iconSet>
    </cfRule>
  </conditionalFormatting>
  <conditionalFormatting sqref="H9">
    <cfRule type="iconSet" priority="298">
      <iconSet iconSet="5Arrows" showValue="0">
        <cfvo type="percent" val="0"/>
        <cfvo type="num" val="0.6"/>
        <cfvo type="num" val="0.7"/>
        <cfvo type="num" val="0.8"/>
        <cfvo type="num" val="0.9"/>
      </iconSet>
    </cfRule>
  </conditionalFormatting>
  <conditionalFormatting sqref="F9">
    <cfRule type="dataBar" priority="297">
      <dataBar>
        <cfvo type="num" val="0"/>
        <cfvo type="num" val="1.1000000000000001"/>
        <color rgb="FF63C384"/>
      </dataBar>
      <extLst>
        <ext xmlns:x14="http://schemas.microsoft.com/office/spreadsheetml/2009/9/main" uri="{B025F937-C7B1-47D3-B67F-A62EFF666E3E}">
          <x14:id>{7B2A6733-42DB-44AD-8430-521F8F345BAB}</x14:id>
        </ext>
      </extLst>
    </cfRule>
  </conditionalFormatting>
  <conditionalFormatting sqref="J9">
    <cfRule type="iconSet" priority="296">
      <iconSet iconSet="3TrafficLights2" showValue="0">
        <cfvo type="percent" val="0"/>
        <cfvo type="num" val="0.6"/>
        <cfvo type="num" val="0.8"/>
      </iconSet>
    </cfRule>
  </conditionalFormatting>
  <conditionalFormatting sqref="K9">
    <cfRule type="iconSet" priority="295">
      <iconSet iconSet="5Arrows" showValue="0">
        <cfvo type="percent" val="0"/>
        <cfvo type="num" val="0.6"/>
        <cfvo type="num" val="0.7"/>
        <cfvo type="num" val="0.8"/>
        <cfvo type="num" val="0.9"/>
      </iconSet>
    </cfRule>
  </conditionalFormatting>
  <conditionalFormatting sqref="I9">
    <cfRule type="dataBar" priority="294">
      <dataBar>
        <cfvo type="num" val="0"/>
        <cfvo type="num" val="1.1000000000000001"/>
        <color rgb="FF63C384"/>
      </dataBar>
      <extLst>
        <ext xmlns:x14="http://schemas.microsoft.com/office/spreadsheetml/2009/9/main" uri="{B025F937-C7B1-47D3-B67F-A62EFF666E3E}">
          <x14:id>{A3F17A18-4E05-438E-8EF4-50AAF9B580D4}</x14:id>
        </ext>
      </extLst>
    </cfRule>
  </conditionalFormatting>
  <conditionalFormatting sqref="M9">
    <cfRule type="iconSet" priority="293">
      <iconSet iconSet="3TrafficLights2" showValue="0">
        <cfvo type="percent" val="0"/>
        <cfvo type="num" val="0.6"/>
        <cfvo type="num" val="0.8"/>
      </iconSet>
    </cfRule>
  </conditionalFormatting>
  <conditionalFormatting sqref="N9">
    <cfRule type="iconSet" priority="292">
      <iconSet iconSet="5Arrows" showValue="0">
        <cfvo type="percent" val="0"/>
        <cfvo type="num" val="0.6"/>
        <cfvo type="num" val="0.7"/>
        <cfvo type="num" val="0.8"/>
        <cfvo type="num" val="0.9"/>
      </iconSet>
    </cfRule>
  </conditionalFormatting>
  <conditionalFormatting sqref="L9">
    <cfRule type="dataBar" priority="291">
      <dataBar>
        <cfvo type="num" val="0"/>
        <cfvo type="num" val="1.1000000000000001"/>
        <color rgb="FF63C384"/>
      </dataBar>
      <extLst>
        <ext xmlns:x14="http://schemas.microsoft.com/office/spreadsheetml/2009/9/main" uri="{B025F937-C7B1-47D3-B67F-A62EFF666E3E}">
          <x14:id>{557B1B9F-9C4D-4319-97DA-3DF66C373487}</x14:id>
        </ext>
      </extLst>
    </cfRule>
  </conditionalFormatting>
  <conditionalFormatting sqref="F11:F12">
    <cfRule type="dataBar" priority="290">
      <dataBar>
        <cfvo type="num" val="0"/>
        <cfvo type="num" val="1.1000000000000001"/>
        <color rgb="FF63C384"/>
      </dataBar>
      <extLst>
        <ext xmlns:x14="http://schemas.microsoft.com/office/spreadsheetml/2009/9/main" uri="{B025F937-C7B1-47D3-B67F-A62EFF666E3E}">
          <x14:id>{BB8F1DA8-7544-4342-8388-49BBDB34CFD8}</x14:id>
        </ext>
      </extLst>
    </cfRule>
  </conditionalFormatting>
  <conditionalFormatting sqref="G11:G12">
    <cfRule type="iconSet" priority="289">
      <iconSet iconSet="3TrafficLights2" showValue="0">
        <cfvo type="percent" val="0"/>
        <cfvo type="num" val="0.6"/>
        <cfvo type="num" val="0.8"/>
      </iconSet>
    </cfRule>
  </conditionalFormatting>
  <conditionalFormatting sqref="H11:H12">
    <cfRule type="iconSet" priority="288">
      <iconSet iconSet="5Arrows" showValue="0">
        <cfvo type="percent" val="0"/>
        <cfvo type="num" val="0.6"/>
        <cfvo type="num" val="0.7"/>
        <cfvo type="num" val="0.8"/>
        <cfvo type="num" val="0.9"/>
      </iconSet>
    </cfRule>
  </conditionalFormatting>
  <conditionalFormatting sqref="J11:J12">
    <cfRule type="iconSet" priority="287">
      <iconSet iconSet="3TrafficLights2" showValue="0">
        <cfvo type="percent" val="0"/>
        <cfvo type="num" val="0.6"/>
        <cfvo type="num" val="0.8"/>
      </iconSet>
    </cfRule>
  </conditionalFormatting>
  <conditionalFormatting sqref="K11:K12">
    <cfRule type="iconSet" priority="286">
      <iconSet iconSet="5Arrows" showValue="0">
        <cfvo type="percent" val="0"/>
        <cfvo type="num" val="0.6"/>
        <cfvo type="num" val="0.7"/>
        <cfvo type="num" val="0.8"/>
        <cfvo type="num" val="0.9"/>
      </iconSet>
    </cfRule>
  </conditionalFormatting>
  <conditionalFormatting sqref="I11:I12">
    <cfRule type="dataBar" priority="285">
      <dataBar>
        <cfvo type="num" val="0"/>
        <cfvo type="num" val="1.1000000000000001"/>
        <color rgb="FF63C384"/>
      </dataBar>
      <extLst>
        <ext xmlns:x14="http://schemas.microsoft.com/office/spreadsheetml/2009/9/main" uri="{B025F937-C7B1-47D3-B67F-A62EFF666E3E}">
          <x14:id>{A117401D-49CC-4479-8BA4-E600E570CC52}</x14:id>
        </ext>
      </extLst>
    </cfRule>
  </conditionalFormatting>
  <conditionalFormatting sqref="M11:M12">
    <cfRule type="iconSet" priority="284">
      <iconSet iconSet="3TrafficLights2" showValue="0">
        <cfvo type="percent" val="0"/>
        <cfvo type="num" val="0.6"/>
        <cfvo type="num" val="0.8"/>
      </iconSet>
    </cfRule>
  </conditionalFormatting>
  <conditionalFormatting sqref="N11:N12">
    <cfRule type="iconSet" priority="283">
      <iconSet iconSet="5Arrows" showValue="0">
        <cfvo type="percent" val="0"/>
        <cfvo type="num" val="0.6"/>
        <cfvo type="num" val="0.7"/>
        <cfvo type="num" val="0.8"/>
        <cfvo type="num" val="0.9"/>
      </iconSet>
    </cfRule>
  </conditionalFormatting>
  <conditionalFormatting sqref="L11:L12">
    <cfRule type="dataBar" priority="282">
      <dataBar>
        <cfvo type="num" val="0"/>
        <cfvo type="num" val="1.1000000000000001"/>
        <color rgb="FF63C384"/>
      </dataBar>
      <extLst>
        <ext xmlns:x14="http://schemas.microsoft.com/office/spreadsheetml/2009/9/main" uri="{B025F937-C7B1-47D3-B67F-A62EFF666E3E}">
          <x14:id>{49C7012A-B31E-4ADF-A374-6EB241CE7B36}</x14:id>
        </ext>
      </extLst>
    </cfRule>
  </conditionalFormatting>
  <conditionalFormatting sqref="G16">
    <cfRule type="iconSet" priority="281">
      <iconSet iconSet="3TrafficLights2" showValue="0">
        <cfvo type="percent" val="0"/>
        <cfvo type="num" val="0.6"/>
        <cfvo type="num" val="0.8"/>
      </iconSet>
    </cfRule>
  </conditionalFormatting>
  <conditionalFormatting sqref="H16">
    <cfRule type="iconSet" priority="280">
      <iconSet iconSet="5Arrows" showValue="0">
        <cfvo type="percent" val="0"/>
        <cfvo type="num" val="0.6"/>
        <cfvo type="num" val="0.7"/>
        <cfvo type="num" val="0.8"/>
        <cfvo type="num" val="0.9"/>
      </iconSet>
    </cfRule>
  </conditionalFormatting>
  <conditionalFormatting sqref="F16">
    <cfRule type="dataBar" priority="279">
      <dataBar>
        <cfvo type="num" val="0"/>
        <cfvo type="num" val="1.1000000000000001"/>
        <color rgb="FF63C384"/>
      </dataBar>
      <extLst>
        <ext xmlns:x14="http://schemas.microsoft.com/office/spreadsheetml/2009/9/main" uri="{B025F937-C7B1-47D3-B67F-A62EFF666E3E}">
          <x14:id>{5D445730-5BAE-4FF4-B27D-003A7E69232E}</x14:id>
        </ext>
      </extLst>
    </cfRule>
  </conditionalFormatting>
  <conditionalFormatting sqref="J16">
    <cfRule type="iconSet" priority="278">
      <iconSet iconSet="3TrafficLights2" showValue="0">
        <cfvo type="percent" val="0"/>
        <cfvo type="num" val="0.6"/>
        <cfvo type="num" val="0.8"/>
      </iconSet>
    </cfRule>
  </conditionalFormatting>
  <conditionalFormatting sqref="K16">
    <cfRule type="iconSet" priority="277">
      <iconSet iconSet="5Arrows" showValue="0">
        <cfvo type="percent" val="0"/>
        <cfvo type="num" val="0.6"/>
        <cfvo type="num" val="0.7"/>
        <cfvo type="num" val="0.8"/>
        <cfvo type="num" val="0.9"/>
      </iconSet>
    </cfRule>
  </conditionalFormatting>
  <conditionalFormatting sqref="I16">
    <cfRule type="dataBar" priority="276">
      <dataBar>
        <cfvo type="num" val="0"/>
        <cfvo type="num" val="1.1000000000000001"/>
        <color rgb="FF63C384"/>
      </dataBar>
      <extLst>
        <ext xmlns:x14="http://schemas.microsoft.com/office/spreadsheetml/2009/9/main" uri="{B025F937-C7B1-47D3-B67F-A62EFF666E3E}">
          <x14:id>{22BCA6FB-9E3D-4931-BF3B-E25CAA97205F}</x14:id>
        </ext>
      </extLst>
    </cfRule>
  </conditionalFormatting>
  <conditionalFormatting sqref="M16">
    <cfRule type="iconSet" priority="275">
      <iconSet iconSet="3TrafficLights2" showValue="0">
        <cfvo type="percent" val="0"/>
        <cfvo type="num" val="0.6"/>
        <cfvo type="num" val="0.8"/>
      </iconSet>
    </cfRule>
  </conditionalFormatting>
  <conditionalFormatting sqref="N16">
    <cfRule type="iconSet" priority="274">
      <iconSet iconSet="5Arrows" showValue="0">
        <cfvo type="percent" val="0"/>
        <cfvo type="num" val="0.6"/>
        <cfvo type="num" val="0.7"/>
        <cfvo type="num" val="0.8"/>
        <cfvo type="num" val="0.9"/>
      </iconSet>
    </cfRule>
  </conditionalFormatting>
  <conditionalFormatting sqref="L16">
    <cfRule type="dataBar" priority="273">
      <dataBar>
        <cfvo type="num" val="0"/>
        <cfvo type="num" val="1.1000000000000001"/>
        <color rgb="FF63C384"/>
      </dataBar>
      <extLst>
        <ext xmlns:x14="http://schemas.microsoft.com/office/spreadsheetml/2009/9/main" uri="{B025F937-C7B1-47D3-B67F-A62EFF666E3E}">
          <x14:id>{1F5A34CA-A96C-4E32-B605-0843192CB974}</x14:id>
        </ext>
      </extLst>
    </cfRule>
  </conditionalFormatting>
  <conditionalFormatting sqref="G17">
    <cfRule type="iconSet" priority="272">
      <iconSet iconSet="3TrafficLights2" showValue="0">
        <cfvo type="percent" val="0"/>
        <cfvo type="num" val="0.6"/>
        <cfvo type="num" val="0.8"/>
      </iconSet>
    </cfRule>
  </conditionalFormatting>
  <conditionalFormatting sqref="H17">
    <cfRule type="iconSet" priority="271">
      <iconSet iconSet="5Arrows" showValue="0">
        <cfvo type="percent" val="0"/>
        <cfvo type="num" val="0.6"/>
        <cfvo type="num" val="0.7"/>
        <cfvo type="num" val="0.8"/>
        <cfvo type="num" val="0.9"/>
      </iconSet>
    </cfRule>
  </conditionalFormatting>
  <conditionalFormatting sqref="F17">
    <cfRule type="dataBar" priority="270">
      <dataBar>
        <cfvo type="num" val="0"/>
        <cfvo type="num" val="1.1000000000000001"/>
        <color rgb="FF63C384"/>
      </dataBar>
      <extLst>
        <ext xmlns:x14="http://schemas.microsoft.com/office/spreadsheetml/2009/9/main" uri="{B025F937-C7B1-47D3-B67F-A62EFF666E3E}">
          <x14:id>{C015A28D-284E-406F-9744-D03494B26819}</x14:id>
        </ext>
      </extLst>
    </cfRule>
  </conditionalFormatting>
  <conditionalFormatting sqref="J17">
    <cfRule type="iconSet" priority="269">
      <iconSet iconSet="3TrafficLights2" showValue="0">
        <cfvo type="percent" val="0"/>
        <cfvo type="num" val="0.6"/>
        <cfvo type="num" val="0.8"/>
      </iconSet>
    </cfRule>
  </conditionalFormatting>
  <conditionalFormatting sqref="K17">
    <cfRule type="iconSet" priority="268">
      <iconSet iconSet="5Arrows" showValue="0">
        <cfvo type="percent" val="0"/>
        <cfvo type="num" val="0.6"/>
        <cfvo type="num" val="0.7"/>
        <cfvo type="num" val="0.8"/>
        <cfvo type="num" val="0.9"/>
      </iconSet>
    </cfRule>
  </conditionalFormatting>
  <conditionalFormatting sqref="I17">
    <cfRule type="dataBar" priority="267">
      <dataBar>
        <cfvo type="num" val="0"/>
        <cfvo type="num" val="1.1000000000000001"/>
        <color rgb="FF63C384"/>
      </dataBar>
      <extLst>
        <ext xmlns:x14="http://schemas.microsoft.com/office/spreadsheetml/2009/9/main" uri="{B025F937-C7B1-47D3-B67F-A62EFF666E3E}">
          <x14:id>{F9996B71-F08A-40BC-8D77-899BF90824E0}</x14:id>
        </ext>
      </extLst>
    </cfRule>
  </conditionalFormatting>
  <conditionalFormatting sqref="M17">
    <cfRule type="iconSet" priority="266">
      <iconSet iconSet="3TrafficLights2" showValue="0">
        <cfvo type="percent" val="0"/>
        <cfvo type="num" val="0.6"/>
        <cfvo type="num" val="0.8"/>
      </iconSet>
    </cfRule>
  </conditionalFormatting>
  <conditionalFormatting sqref="N17">
    <cfRule type="iconSet" priority="265">
      <iconSet iconSet="5Arrows" showValue="0">
        <cfvo type="percent" val="0"/>
        <cfvo type="num" val="0.6"/>
        <cfvo type="num" val="0.7"/>
        <cfvo type="num" val="0.8"/>
        <cfvo type="num" val="0.9"/>
      </iconSet>
    </cfRule>
  </conditionalFormatting>
  <conditionalFormatting sqref="L17">
    <cfRule type="dataBar" priority="264">
      <dataBar>
        <cfvo type="num" val="0"/>
        <cfvo type="num" val="1.1000000000000001"/>
        <color rgb="FF63C384"/>
      </dataBar>
      <extLst>
        <ext xmlns:x14="http://schemas.microsoft.com/office/spreadsheetml/2009/9/main" uri="{B025F937-C7B1-47D3-B67F-A62EFF666E3E}">
          <x14:id>{8C85687A-4D22-4099-8DB2-88652B14912C}</x14:id>
        </ext>
      </extLst>
    </cfRule>
  </conditionalFormatting>
  <conditionalFormatting sqref="G18">
    <cfRule type="iconSet" priority="263">
      <iconSet iconSet="3TrafficLights2" showValue="0">
        <cfvo type="percent" val="0"/>
        <cfvo type="num" val="0.6"/>
        <cfvo type="num" val="0.8"/>
      </iconSet>
    </cfRule>
  </conditionalFormatting>
  <conditionalFormatting sqref="H18">
    <cfRule type="iconSet" priority="262">
      <iconSet iconSet="5Arrows" showValue="0">
        <cfvo type="percent" val="0"/>
        <cfvo type="num" val="0.6"/>
        <cfvo type="num" val="0.7"/>
        <cfvo type="num" val="0.8"/>
        <cfvo type="num" val="0.9"/>
      </iconSet>
    </cfRule>
  </conditionalFormatting>
  <conditionalFormatting sqref="F18">
    <cfRule type="dataBar" priority="261">
      <dataBar>
        <cfvo type="num" val="0"/>
        <cfvo type="num" val="1.1000000000000001"/>
        <color rgb="FF63C384"/>
      </dataBar>
      <extLst>
        <ext xmlns:x14="http://schemas.microsoft.com/office/spreadsheetml/2009/9/main" uri="{B025F937-C7B1-47D3-B67F-A62EFF666E3E}">
          <x14:id>{C592FB22-FC49-4065-87E1-5E1C75E91DA3}</x14:id>
        </ext>
      </extLst>
    </cfRule>
  </conditionalFormatting>
  <conditionalFormatting sqref="J18">
    <cfRule type="iconSet" priority="260">
      <iconSet iconSet="3TrafficLights2" showValue="0">
        <cfvo type="percent" val="0"/>
        <cfvo type="num" val="0.6"/>
        <cfvo type="num" val="0.8"/>
      </iconSet>
    </cfRule>
  </conditionalFormatting>
  <conditionalFormatting sqref="K18">
    <cfRule type="iconSet" priority="259">
      <iconSet iconSet="5Arrows" showValue="0">
        <cfvo type="percent" val="0"/>
        <cfvo type="num" val="0.6"/>
        <cfvo type="num" val="0.7"/>
        <cfvo type="num" val="0.8"/>
        <cfvo type="num" val="0.9"/>
      </iconSet>
    </cfRule>
  </conditionalFormatting>
  <conditionalFormatting sqref="I18">
    <cfRule type="dataBar" priority="258">
      <dataBar>
        <cfvo type="num" val="0"/>
        <cfvo type="num" val="1.1000000000000001"/>
        <color rgb="FF63C384"/>
      </dataBar>
      <extLst>
        <ext xmlns:x14="http://schemas.microsoft.com/office/spreadsheetml/2009/9/main" uri="{B025F937-C7B1-47D3-B67F-A62EFF666E3E}">
          <x14:id>{2925FAC5-3E9D-4292-9232-77D98F087C26}</x14:id>
        </ext>
      </extLst>
    </cfRule>
  </conditionalFormatting>
  <conditionalFormatting sqref="M18">
    <cfRule type="iconSet" priority="257">
      <iconSet iconSet="3TrafficLights2" showValue="0">
        <cfvo type="percent" val="0"/>
        <cfvo type="num" val="0.6"/>
        <cfvo type="num" val="0.8"/>
      </iconSet>
    </cfRule>
  </conditionalFormatting>
  <conditionalFormatting sqref="N18">
    <cfRule type="iconSet" priority="256">
      <iconSet iconSet="5Arrows" showValue="0">
        <cfvo type="percent" val="0"/>
        <cfvo type="num" val="0.6"/>
        <cfvo type="num" val="0.7"/>
        <cfvo type="num" val="0.8"/>
        <cfvo type="num" val="0.9"/>
      </iconSet>
    </cfRule>
  </conditionalFormatting>
  <conditionalFormatting sqref="L18">
    <cfRule type="dataBar" priority="255">
      <dataBar>
        <cfvo type="num" val="0"/>
        <cfvo type="num" val="1.1000000000000001"/>
        <color rgb="FF63C384"/>
      </dataBar>
      <extLst>
        <ext xmlns:x14="http://schemas.microsoft.com/office/spreadsheetml/2009/9/main" uri="{B025F937-C7B1-47D3-B67F-A62EFF666E3E}">
          <x14:id>{9C64AF3F-84DB-4D7C-8F47-070144B41CA4}</x14:id>
        </ext>
      </extLst>
    </cfRule>
  </conditionalFormatting>
  <conditionalFormatting sqref="G19">
    <cfRule type="iconSet" priority="254">
      <iconSet iconSet="3TrafficLights2" showValue="0">
        <cfvo type="percent" val="0"/>
        <cfvo type="num" val="0.6"/>
        <cfvo type="num" val="0.8"/>
      </iconSet>
    </cfRule>
  </conditionalFormatting>
  <conditionalFormatting sqref="H19">
    <cfRule type="iconSet" priority="253">
      <iconSet iconSet="5Arrows" showValue="0">
        <cfvo type="percent" val="0"/>
        <cfvo type="num" val="0.6"/>
        <cfvo type="num" val="0.7"/>
        <cfvo type="num" val="0.8"/>
        <cfvo type="num" val="0.9"/>
      </iconSet>
    </cfRule>
  </conditionalFormatting>
  <conditionalFormatting sqref="F19">
    <cfRule type="dataBar" priority="252">
      <dataBar>
        <cfvo type="num" val="0"/>
        <cfvo type="num" val="1.1000000000000001"/>
        <color rgb="FF63C384"/>
      </dataBar>
      <extLst>
        <ext xmlns:x14="http://schemas.microsoft.com/office/spreadsheetml/2009/9/main" uri="{B025F937-C7B1-47D3-B67F-A62EFF666E3E}">
          <x14:id>{85B379C4-7010-4194-949E-8F54164F35ED}</x14:id>
        </ext>
      </extLst>
    </cfRule>
  </conditionalFormatting>
  <conditionalFormatting sqref="J19">
    <cfRule type="iconSet" priority="251">
      <iconSet iconSet="3TrafficLights2" showValue="0">
        <cfvo type="percent" val="0"/>
        <cfvo type="num" val="0.6"/>
        <cfvo type="num" val="0.8"/>
      </iconSet>
    </cfRule>
  </conditionalFormatting>
  <conditionalFormatting sqref="K19">
    <cfRule type="iconSet" priority="250">
      <iconSet iconSet="5Arrows" showValue="0">
        <cfvo type="percent" val="0"/>
        <cfvo type="num" val="0.6"/>
        <cfvo type="num" val="0.7"/>
        <cfvo type="num" val="0.8"/>
        <cfvo type="num" val="0.9"/>
      </iconSet>
    </cfRule>
  </conditionalFormatting>
  <conditionalFormatting sqref="I19">
    <cfRule type="dataBar" priority="249">
      <dataBar>
        <cfvo type="num" val="0"/>
        <cfvo type="num" val="1.1000000000000001"/>
        <color rgb="FF63C384"/>
      </dataBar>
      <extLst>
        <ext xmlns:x14="http://schemas.microsoft.com/office/spreadsheetml/2009/9/main" uri="{B025F937-C7B1-47D3-B67F-A62EFF666E3E}">
          <x14:id>{9375FE6C-4B11-42F8-8624-9924B1C9E460}</x14:id>
        </ext>
      </extLst>
    </cfRule>
  </conditionalFormatting>
  <conditionalFormatting sqref="M19">
    <cfRule type="iconSet" priority="248">
      <iconSet iconSet="3TrafficLights2" showValue="0">
        <cfvo type="percent" val="0"/>
        <cfvo type="num" val="0.6"/>
        <cfvo type="num" val="0.8"/>
      </iconSet>
    </cfRule>
  </conditionalFormatting>
  <conditionalFormatting sqref="N19">
    <cfRule type="iconSet" priority="247">
      <iconSet iconSet="5Arrows" showValue="0">
        <cfvo type="percent" val="0"/>
        <cfvo type="num" val="0.6"/>
        <cfvo type="num" val="0.7"/>
        <cfvo type="num" val="0.8"/>
        <cfvo type="num" val="0.9"/>
      </iconSet>
    </cfRule>
  </conditionalFormatting>
  <conditionalFormatting sqref="L19">
    <cfRule type="dataBar" priority="246">
      <dataBar>
        <cfvo type="num" val="0"/>
        <cfvo type="num" val="1.1000000000000001"/>
        <color rgb="FF63C384"/>
      </dataBar>
      <extLst>
        <ext xmlns:x14="http://schemas.microsoft.com/office/spreadsheetml/2009/9/main" uri="{B025F937-C7B1-47D3-B67F-A62EFF666E3E}">
          <x14:id>{6B043F20-4D07-412E-9DC1-66E7C1D144F8}</x14:id>
        </ext>
      </extLst>
    </cfRule>
  </conditionalFormatting>
  <conditionalFormatting sqref="F21">
    <cfRule type="dataBar" priority="245">
      <dataBar>
        <cfvo type="num" val="0"/>
        <cfvo type="num" val="1.1000000000000001"/>
        <color rgb="FF63C384"/>
      </dataBar>
      <extLst>
        <ext xmlns:x14="http://schemas.microsoft.com/office/spreadsheetml/2009/9/main" uri="{B025F937-C7B1-47D3-B67F-A62EFF666E3E}">
          <x14:id>{9F289604-01B5-469F-98F1-645A4C7AE84E}</x14:id>
        </ext>
      </extLst>
    </cfRule>
  </conditionalFormatting>
  <conditionalFormatting sqref="G21">
    <cfRule type="iconSet" priority="244">
      <iconSet iconSet="3TrafficLights2" showValue="0">
        <cfvo type="percent" val="0"/>
        <cfvo type="num" val="0.6"/>
        <cfvo type="num" val="0.8"/>
      </iconSet>
    </cfRule>
  </conditionalFormatting>
  <conditionalFormatting sqref="H21">
    <cfRule type="iconSet" priority="243">
      <iconSet iconSet="5Arrows" showValue="0">
        <cfvo type="percent" val="0"/>
        <cfvo type="num" val="0.6"/>
        <cfvo type="num" val="0.7"/>
        <cfvo type="num" val="0.8"/>
        <cfvo type="num" val="0.9"/>
      </iconSet>
    </cfRule>
  </conditionalFormatting>
  <conditionalFormatting sqref="J21">
    <cfRule type="iconSet" priority="242">
      <iconSet iconSet="3TrafficLights2" showValue="0">
        <cfvo type="percent" val="0"/>
        <cfvo type="num" val="0.6"/>
        <cfvo type="num" val="0.8"/>
      </iconSet>
    </cfRule>
  </conditionalFormatting>
  <conditionalFormatting sqref="K21">
    <cfRule type="iconSet" priority="241">
      <iconSet iconSet="5Arrows" showValue="0">
        <cfvo type="percent" val="0"/>
        <cfvo type="num" val="0.6"/>
        <cfvo type="num" val="0.7"/>
        <cfvo type="num" val="0.8"/>
        <cfvo type="num" val="0.9"/>
      </iconSet>
    </cfRule>
  </conditionalFormatting>
  <conditionalFormatting sqref="I21">
    <cfRule type="dataBar" priority="240">
      <dataBar>
        <cfvo type="num" val="0"/>
        <cfvo type="num" val="1.1000000000000001"/>
        <color rgb="FF63C384"/>
      </dataBar>
      <extLst>
        <ext xmlns:x14="http://schemas.microsoft.com/office/spreadsheetml/2009/9/main" uri="{B025F937-C7B1-47D3-B67F-A62EFF666E3E}">
          <x14:id>{177B80C6-6660-472F-9C61-C70C78F191FE}</x14:id>
        </ext>
      </extLst>
    </cfRule>
  </conditionalFormatting>
  <conditionalFormatting sqref="M21">
    <cfRule type="iconSet" priority="239">
      <iconSet iconSet="3TrafficLights2" showValue="0">
        <cfvo type="percent" val="0"/>
        <cfvo type="num" val="0.6"/>
        <cfvo type="num" val="0.8"/>
      </iconSet>
    </cfRule>
  </conditionalFormatting>
  <conditionalFormatting sqref="N21">
    <cfRule type="iconSet" priority="238">
      <iconSet iconSet="5Arrows" showValue="0">
        <cfvo type="percent" val="0"/>
        <cfvo type="num" val="0.6"/>
        <cfvo type="num" val="0.7"/>
        <cfvo type="num" val="0.8"/>
        <cfvo type="num" val="0.9"/>
      </iconSet>
    </cfRule>
  </conditionalFormatting>
  <conditionalFormatting sqref="L21">
    <cfRule type="dataBar" priority="237">
      <dataBar>
        <cfvo type="num" val="0"/>
        <cfvo type="num" val="1.1000000000000001"/>
        <color rgb="FF63C384"/>
      </dataBar>
      <extLst>
        <ext xmlns:x14="http://schemas.microsoft.com/office/spreadsheetml/2009/9/main" uri="{B025F937-C7B1-47D3-B67F-A62EFF666E3E}">
          <x14:id>{6787DA30-3535-4DD5-ADA7-6A3B6D4B32CE}</x14:id>
        </ext>
      </extLst>
    </cfRule>
  </conditionalFormatting>
  <conditionalFormatting sqref="F22">
    <cfRule type="dataBar" priority="236">
      <dataBar>
        <cfvo type="num" val="0"/>
        <cfvo type="num" val="1.1000000000000001"/>
        <color rgb="FF63C384"/>
      </dataBar>
      <extLst>
        <ext xmlns:x14="http://schemas.microsoft.com/office/spreadsheetml/2009/9/main" uri="{B025F937-C7B1-47D3-B67F-A62EFF666E3E}">
          <x14:id>{15A17EF1-9D61-4408-B875-C16D335DEC2D}</x14:id>
        </ext>
      </extLst>
    </cfRule>
  </conditionalFormatting>
  <conditionalFormatting sqref="G22">
    <cfRule type="iconSet" priority="235">
      <iconSet iconSet="3TrafficLights2" showValue="0">
        <cfvo type="percent" val="0"/>
        <cfvo type="num" val="0.6"/>
        <cfvo type="num" val="0.8"/>
      </iconSet>
    </cfRule>
  </conditionalFormatting>
  <conditionalFormatting sqref="H22">
    <cfRule type="iconSet" priority="234">
      <iconSet iconSet="5Arrows" showValue="0">
        <cfvo type="percent" val="0"/>
        <cfvo type="num" val="0.6"/>
        <cfvo type="num" val="0.7"/>
        <cfvo type="num" val="0.8"/>
        <cfvo type="num" val="0.9"/>
      </iconSet>
    </cfRule>
  </conditionalFormatting>
  <conditionalFormatting sqref="J22">
    <cfRule type="iconSet" priority="233">
      <iconSet iconSet="3TrafficLights2" showValue="0">
        <cfvo type="percent" val="0"/>
        <cfvo type="num" val="0.6"/>
        <cfvo type="num" val="0.8"/>
      </iconSet>
    </cfRule>
  </conditionalFormatting>
  <conditionalFormatting sqref="K22">
    <cfRule type="iconSet" priority="232">
      <iconSet iconSet="5Arrows" showValue="0">
        <cfvo type="percent" val="0"/>
        <cfvo type="num" val="0.6"/>
        <cfvo type="num" val="0.7"/>
        <cfvo type="num" val="0.8"/>
        <cfvo type="num" val="0.9"/>
      </iconSet>
    </cfRule>
  </conditionalFormatting>
  <conditionalFormatting sqref="I22">
    <cfRule type="dataBar" priority="231">
      <dataBar>
        <cfvo type="num" val="0"/>
        <cfvo type="num" val="1.1000000000000001"/>
        <color rgb="FF63C384"/>
      </dataBar>
      <extLst>
        <ext xmlns:x14="http://schemas.microsoft.com/office/spreadsheetml/2009/9/main" uri="{B025F937-C7B1-47D3-B67F-A62EFF666E3E}">
          <x14:id>{16DA3FAB-72AE-40FD-AFE6-BE781D1D3F3D}</x14:id>
        </ext>
      </extLst>
    </cfRule>
  </conditionalFormatting>
  <conditionalFormatting sqref="M22">
    <cfRule type="iconSet" priority="230">
      <iconSet iconSet="3TrafficLights2" showValue="0">
        <cfvo type="percent" val="0"/>
        <cfvo type="num" val="0.6"/>
        <cfvo type="num" val="0.8"/>
      </iconSet>
    </cfRule>
  </conditionalFormatting>
  <conditionalFormatting sqref="N22">
    <cfRule type="iconSet" priority="229">
      <iconSet iconSet="5Arrows" showValue="0">
        <cfvo type="percent" val="0"/>
        <cfvo type="num" val="0.6"/>
        <cfvo type="num" val="0.7"/>
        <cfvo type="num" val="0.8"/>
        <cfvo type="num" val="0.9"/>
      </iconSet>
    </cfRule>
  </conditionalFormatting>
  <conditionalFormatting sqref="L22">
    <cfRule type="dataBar" priority="228">
      <dataBar>
        <cfvo type="num" val="0"/>
        <cfvo type="num" val="1.1000000000000001"/>
        <color rgb="FF63C384"/>
      </dataBar>
      <extLst>
        <ext xmlns:x14="http://schemas.microsoft.com/office/spreadsheetml/2009/9/main" uri="{B025F937-C7B1-47D3-B67F-A62EFF666E3E}">
          <x14:id>{A85C0626-5644-4849-B1EA-0469B72E3D89}</x14:id>
        </ext>
      </extLst>
    </cfRule>
  </conditionalFormatting>
  <conditionalFormatting sqref="G26">
    <cfRule type="iconSet" priority="227">
      <iconSet iconSet="3TrafficLights2" showValue="0">
        <cfvo type="percent" val="0"/>
        <cfvo type="num" val="0.6"/>
        <cfvo type="num" val="0.8"/>
      </iconSet>
    </cfRule>
  </conditionalFormatting>
  <conditionalFormatting sqref="H26">
    <cfRule type="iconSet" priority="226">
      <iconSet iconSet="5Arrows" showValue="0">
        <cfvo type="percent" val="0"/>
        <cfvo type="num" val="0.6"/>
        <cfvo type="num" val="0.7"/>
        <cfvo type="num" val="0.8"/>
        <cfvo type="num" val="0.9"/>
      </iconSet>
    </cfRule>
  </conditionalFormatting>
  <conditionalFormatting sqref="F26">
    <cfRule type="dataBar" priority="225">
      <dataBar>
        <cfvo type="num" val="0"/>
        <cfvo type="num" val="1.1000000000000001"/>
        <color rgb="FF63C384"/>
      </dataBar>
      <extLst>
        <ext xmlns:x14="http://schemas.microsoft.com/office/spreadsheetml/2009/9/main" uri="{B025F937-C7B1-47D3-B67F-A62EFF666E3E}">
          <x14:id>{A8D53FD0-0688-4600-9B4F-B75735F44371}</x14:id>
        </ext>
      </extLst>
    </cfRule>
  </conditionalFormatting>
  <conditionalFormatting sqref="J26">
    <cfRule type="iconSet" priority="224">
      <iconSet iconSet="3TrafficLights2" showValue="0">
        <cfvo type="percent" val="0"/>
        <cfvo type="num" val="0.6"/>
        <cfvo type="num" val="0.8"/>
      </iconSet>
    </cfRule>
  </conditionalFormatting>
  <conditionalFormatting sqref="K26">
    <cfRule type="iconSet" priority="223">
      <iconSet iconSet="5Arrows" showValue="0">
        <cfvo type="percent" val="0"/>
        <cfvo type="num" val="0.6"/>
        <cfvo type="num" val="0.7"/>
        <cfvo type="num" val="0.8"/>
        <cfvo type="num" val="0.9"/>
      </iconSet>
    </cfRule>
  </conditionalFormatting>
  <conditionalFormatting sqref="I26">
    <cfRule type="dataBar" priority="222">
      <dataBar>
        <cfvo type="num" val="0"/>
        <cfvo type="num" val="1.1000000000000001"/>
        <color rgb="FF63C384"/>
      </dataBar>
      <extLst>
        <ext xmlns:x14="http://schemas.microsoft.com/office/spreadsheetml/2009/9/main" uri="{B025F937-C7B1-47D3-B67F-A62EFF666E3E}">
          <x14:id>{B08F70F5-3D09-4FBC-AEA8-A9B5DB9E8748}</x14:id>
        </ext>
      </extLst>
    </cfRule>
  </conditionalFormatting>
  <conditionalFormatting sqref="M26">
    <cfRule type="iconSet" priority="221">
      <iconSet iconSet="3TrafficLights2" showValue="0">
        <cfvo type="percent" val="0"/>
        <cfvo type="num" val="0.6"/>
        <cfvo type="num" val="0.8"/>
      </iconSet>
    </cfRule>
  </conditionalFormatting>
  <conditionalFormatting sqref="N26">
    <cfRule type="iconSet" priority="220">
      <iconSet iconSet="5Arrows" showValue="0">
        <cfvo type="percent" val="0"/>
        <cfvo type="num" val="0.6"/>
        <cfvo type="num" val="0.7"/>
        <cfvo type="num" val="0.8"/>
        <cfvo type="num" val="0.9"/>
      </iconSet>
    </cfRule>
  </conditionalFormatting>
  <conditionalFormatting sqref="L26">
    <cfRule type="dataBar" priority="219">
      <dataBar>
        <cfvo type="num" val="0"/>
        <cfvo type="num" val="1.1000000000000001"/>
        <color rgb="FF63C384"/>
      </dataBar>
      <extLst>
        <ext xmlns:x14="http://schemas.microsoft.com/office/spreadsheetml/2009/9/main" uri="{B025F937-C7B1-47D3-B67F-A62EFF666E3E}">
          <x14:id>{4E69ADCE-589B-4F23-B22C-55853965CC71}</x14:id>
        </ext>
      </extLst>
    </cfRule>
  </conditionalFormatting>
  <conditionalFormatting sqref="G27">
    <cfRule type="iconSet" priority="218">
      <iconSet iconSet="3TrafficLights2" showValue="0">
        <cfvo type="percent" val="0"/>
        <cfvo type="num" val="0.6"/>
        <cfvo type="num" val="0.8"/>
      </iconSet>
    </cfRule>
  </conditionalFormatting>
  <conditionalFormatting sqref="H27">
    <cfRule type="iconSet" priority="217">
      <iconSet iconSet="5Arrows" showValue="0">
        <cfvo type="percent" val="0"/>
        <cfvo type="num" val="0.6"/>
        <cfvo type="num" val="0.7"/>
        <cfvo type="num" val="0.8"/>
        <cfvo type="num" val="0.9"/>
      </iconSet>
    </cfRule>
  </conditionalFormatting>
  <conditionalFormatting sqref="F27">
    <cfRule type="dataBar" priority="216">
      <dataBar>
        <cfvo type="num" val="0"/>
        <cfvo type="num" val="1.1000000000000001"/>
        <color rgb="FF63C384"/>
      </dataBar>
      <extLst>
        <ext xmlns:x14="http://schemas.microsoft.com/office/spreadsheetml/2009/9/main" uri="{B025F937-C7B1-47D3-B67F-A62EFF666E3E}">
          <x14:id>{D890ACFE-49A1-4EB9-9A6E-7EABC9D13AE6}</x14:id>
        </ext>
      </extLst>
    </cfRule>
  </conditionalFormatting>
  <conditionalFormatting sqref="J27">
    <cfRule type="iconSet" priority="215">
      <iconSet iconSet="3TrafficLights2" showValue="0">
        <cfvo type="percent" val="0"/>
        <cfvo type="num" val="0.6"/>
        <cfvo type="num" val="0.8"/>
      </iconSet>
    </cfRule>
  </conditionalFormatting>
  <conditionalFormatting sqref="K27">
    <cfRule type="iconSet" priority="214">
      <iconSet iconSet="5Arrows" showValue="0">
        <cfvo type="percent" val="0"/>
        <cfvo type="num" val="0.6"/>
        <cfvo type="num" val="0.7"/>
        <cfvo type="num" val="0.8"/>
        <cfvo type="num" val="0.9"/>
      </iconSet>
    </cfRule>
  </conditionalFormatting>
  <conditionalFormatting sqref="I27">
    <cfRule type="dataBar" priority="213">
      <dataBar>
        <cfvo type="num" val="0"/>
        <cfvo type="num" val="1.1000000000000001"/>
        <color rgb="FF63C384"/>
      </dataBar>
      <extLst>
        <ext xmlns:x14="http://schemas.microsoft.com/office/spreadsheetml/2009/9/main" uri="{B025F937-C7B1-47D3-B67F-A62EFF666E3E}">
          <x14:id>{027B8A89-0319-4F3E-ADFB-154A3A37134A}</x14:id>
        </ext>
      </extLst>
    </cfRule>
  </conditionalFormatting>
  <conditionalFormatting sqref="M27">
    <cfRule type="iconSet" priority="212">
      <iconSet iconSet="3TrafficLights2" showValue="0">
        <cfvo type="percent" val="0"/>
        <cfvo type="num" val="0.6"/>
        <cfvo type="num" val="0.8"/>
      </iconSet>
    </cfRule>
  </conditionalFormatting>
  <conditionalFormatting sqref="N27">
    <cfRule type="iconSet" priority="211">
      <iconSet iconSet="5Arrows" showValue="0">
        <cfvo type="percent" val="0"/>
        <cfvo type="num" val="0.6"/>
        <cfvo type="num" val="0.7"/>
        <cfvo type="num" val="0.8"/>
        <cfvo type="num" val="0.9"/>
      </iconSet>
    </cfRule>
  </conditionalFormatting>
  <conditionalFormatting sqref="L27">
    <cfRule type="dataBar" priority="210">
      <dataBar>
        <cfvo type="num" val="0"/>
        <cfvo type="num" val="1.1000000000000001"/>
        <color rgb="FF63C384"/>
      </dataBar>
      <extLst>
        <ext xmlns:x14="http://schemas.microsoft.com/office/spreadsheetml/2009/9/main" uri="{B025F937-C7B1-47D3-B67F-A62EFF666E3E}">
          <x14:id>{5E2D8DC2-1D62-4A04-8688-050C3DF52C58}</x14:id>
        </ext>
      </extLst>
    </cfRule>
  </conditionalFormatting>
  <conditionalFormatting sqref="G28">
    <cfRule type="iconSet" priority="209">
      <iconSet iconSet="3TrafficLights2" showValue="0">
        <cfvo type="percent" val="0"/>
        <cfvo type="num" val="0.6"/>
        <cfvo type="num" val="0.8"/>
      </iconSet>
    </cfRule>
  </conditionalFormatting>
  <conditionalFormatting sqref="H28">
    <cfRule type="iconSet" priority="208">
      <iconSet iconSet="5Arrows" showValue="0">
        <cfvo type="percent" val="0"/>
        <cfvo type="num" val="0.6"/>
        <cfvo type="num" val="0.7"/>
        <cfvo type="num" val="0.8"/>
        <cfvo type="num" val="0.9"/>
      </iconSet>
    </cfRule>
  </conditionalFormatting>
  <conditionalFormatting sqref="F28">
    <cfRule type="dataBar" priority="207">
      <dataBar>
        <cfvo type="num" val="0"/>
        <cfvo type="num" val="1.1000000000000001"/>
        <color rgb="FF63C384"/>
      </dataBar>
      <extLst>
        <ext xmlns:x14="http://schemas.microsoft.com/office/spreadsheetml/2009/9/main" uri="{B025F937-C7B1-47D3-B67F-A62EFF666E3E}">
          <x14:id>{F572B8B4-555C-4EF0-B770-B8EA057592DA}</x14:id>
        </ext>
      </extLst>
    </cfRule>
  </conditionalFormatting>
  <conditionalFormatting sqref="J28">
    <cfRule type="iconSet" priority="206">
      <iconSet iconSet="3TrafficLights2" showValue="0">
        <cfvo type="percent" val="0"/>
        <cfvo type="num" val="0.6"/>
        <cfvo type="num" val="0.8"/>
      </iconSet>
    </cfRule>
  </conditionalFormatting>
  <conditionalFormatting sqref="K28">
    <cfRule type="iconSet" priority="205">
      <iconSet iconSet="5Arrows" showValue="0">
        <cfvo type="percent" val="0"/>
        <cfvo type="num" val="0.6"/>
        <cfvo type="num" val="0.7"/>
        <cfvo type="num" val="0.8"/>
        <cfvo type="num" val="0.9"/>
      </iconSet>
    </cfRule>
  </conditionalFormatting>
  <conditionalFormatting sqref="I28">
    <cfRule type="dataBar" priority="204">
      <dataBar>
        <cfvo type="num" val="0"/>
        <cfvo type="num" val="1.1000000000000001"/>
        <color rgb="FF63C384"/>
      </dataBar>
      <extLst>
        <ext xmlns:x14="http://schemas.microsoft.com/office/spreadsheetml/2009/9/main" uri="{B025F937-C7B1-47D3-B67F-A62EFF666E3E}">
          <x14:id>{2760E459-0F85-4ECB-90B9-B494B5DCAC18}</x14:id>
        </ext>
      </extLst>
    </cfRule>
  </conditionalFormatting>
  <conditionalFormatting sqref="M28">
    <cfRule type="iconSet" priority="203">
      <iconSet iconSet="3TrafficLights2" showValue="0">
        <cfvo type="percent" val="0"/>
        <cfvo type="num" val="0.6"/>
        <cfvo type="num" val="0.8"/>
      </iconSet>
    </cfRule>
  </conditionalFormatting>
  <conditionalFormatting sqref="N28">
    <cfRule type="iconSet" priority="202">
      <iconSet iconSet="5Arrows" showValue="0">
        <cfvo type="percent" val="0"/>
        <cfvo type="num" val="0.6"/>
        <cfvo type="num" val="0.7"/>
        <cfvo type="num" val="0.8"/>
        <cfvo type="num" val="0.9"/>
      </iconSet>
    </cfRule>
  </conditionalFormatting>
  <conditionalFormatting sqref="L28">
    <cfRule type="dataBar" priority="201">
      <dataBar>
        <cfvo type="num" val="0"/>
        <cfvo type="num" val="1.1000000000000001"/>
        <color rgb="FF63C384"/>
      </dataBar>
      <extLst>
        <ext xmlns:x14="http://schemas.microsoft.com/office/spreadsheetml/2009/9/main" uri="{B025F937-C7B1-47D3-B67F-A62EFF666E3E}">
          <x14:id>{0B6D7745-4EAF-4495-91B3-961758DF360D}</x14:id>
        </ext>
      </extLst>
    </cfRule>
  </conditionalFormatting>
  <conditionalFormatting sqref="G29:G31">
    <cfRule type="iconSet" priority="200">
      <iconSet iconSet="3TrafficLights2" showValue="0">
        <cfvo type="percent" val="0"/>
        <cfvo type="num" val="0.6"/>
        <cfvo type="num" val="0.8"/>
      </iconSet>
    </cfRule>
  </conditionalFormatting>
  <conditionalFormatting sqref="H29:H31">
    <cfRule type="iconSet" priority="199">
      <iconSet iconSet="5Arrows" showValue="0">
        <cfvo type="percent" val="0"/>
        <cfvo type="num" val="0.6"/>
        <cfvo type="num" val="0.7"/>
        <cfvo type="num" val="0.8"/>
        <cfvo type="num" val="0.9"/>
      </iconSet>
    </cfRule>
  </conditionalFormatting>
  <conditionalFormatting sqref="F29:F31">
    <cfRule type="dataBar" priority="198">
      <dataBar>
        <cfvo type="num" val="0"/>
        <cfvo type="num" val="1.1000000000000001"/>
        <color rgb="FF63C384"/>
      </dataBar>
      <extLst>
        <ext xmlns:x14="http://schemas.microsoft.com/office/spreadsheetml/2009/9/main" uri="{B025F937-C7B1-47D3-B67F-A62EFF666E3E}">
          <x14:id>{1430655F-C325-4DFB-8D0A-EAB138C219E7}</x14:id>
        </ext>
      </extLst>
    </cfRule>
  </conditionalFormatting>
  <conditionalFormatting sqref="J29:J30">
    <cfRule type="iconSet" priority="197">
      <iconSet iconSet="3TrafficLights2" showValue="0">
        <cfvo type="percent" val="0"/>
        <cfvo type="num" val="0.6"/>
        <cfvo type="num" val="0.8"/>
      </iconSet>
    </cfRule>
  </conditionalFormatting>
  <conditionalFormatting sqref="K29:K30">
    <cfRule type="iconSet" priority="196">
      <iconSet iconSet="5Arrows" showValue="0">
        <cfvo type="percent" val="0"/>
        <cfvo type="num" val="0.6"/>
        <cfvo type="num" val="0.7"/>
        <cfvo type="num" val="0.8"/>
        <cfvo type="num" val="0.9"/>
      </iconSet>
    </cfRule>
  </conditionalFormatting>
  <conditionalFormatting sqref="I29:I31">
    <cfRule type="dataBar" priority="195">
      <dataBar>
        <cfvo type="num" val="0"/>
        <cfvo type="num" val="1.1000000000000001"/>
        <color rgb="FF63C384"/>
      </dataBar>
      <extLst>
        <ext xmlns:x14="http://schemas.microsoft.com/office/spreadsheetml/2009/9/main" uri="{B025F937-C7B1-47D3-B67F-A62EFF666E3E}">
          <x14:id>{E77A3214-B4FD-494D-8E2B-2286BAC61F58}</x14:id>
        </ext>
      </extLst>
    </cfRule>
  </conditionalFormatting>
  <conditionalFormatting sqref="M29:M30">
    <cfRule type="iconSet" priority="194">
      <iconSet iconSet="3TrafficLights2" showValue="0">
        <cfvo type="percent" val="0"/>
        <cfvo type="num" val="0.6"/>
        <cfvo type="num" val="0.8"/>
      </iconSet>
    </cfRule>
  </conditionalFormatting>
  <conditionalFormatting sqref="N29:N30">
    <cfRule type="iconSet" priority="193">
      <iconSet iconSet="5Arrows" showValue="0">
        <cfvo type="percent" val="0"/>
        <cfvo type="num" val="0.6"/>
        <cfvo type="num" val="0.7"/>
        <cfvo type="num" val="0.8"/>
        <cfvo type="num" val="0.9"/>
      </iconSet>
    </cfRule>
  </conditionalFormatting>
  <conditionalFormatting sqref="L29:L30">
    <cfRule type="dataBar" priority="192">
      <dataBar>
        <cfvo type="num" val="0"/>
        <cfvo type="num" val="1.1000000000000001"/>
        <color rgb="FF63C384"/>
      </dataBar>
      <extLst>
        <ext xmlns:x14="http://schemas.microsoft.com/office/spreadsheetml/2009/9/main" uri="{B025F937-C7B1-47D3-B67F-A62EFF666E3E}">
          <x14:id>{6B92E8B8-823C-47D0-9ABB-833A982CA80A}</x14:id>
        </ext>
      </extLst>
    </cfRule>
  </conditionalFormatting>
  <conditionalFormatting sqref="G32">
    <cfRule type="iconSet" priority="191">
      <iconSet iconSet="3TrafficLights2" showValue="0">
        <cfvo type="percent" val="0"/>
        <cfvo type="num" val="0.6"/>
        <cfvo type="num" val="0.8"/>
      </iconSet>
    </cfRule>
  </conditionalFormatting>
  <conditionalFormatting sqref="H32">
    <cfRule type="iconSet" priority="190">
      <iconSet iconSet="5Arrows" showValue="0">
        <cfvo type="percent" val="0"/>
        <cfvo type="num" val="0.6"/>
        <cfvo type="num" val="0.7"/>
        <cfvo type="num" val="0.8"/>
        <cfvo type="num" val="0.9"/>
      </iconSet>
    </cfRule>
  </conditionalFormatting>
  <conditionalFormatting sqref="F32">
    <cfRule type="dataBar" priority="189">
      <dataBar>
        <cfvo type="num" val="0"/>
        <cfvo type="num" val="1.1000000000000001"/>
        <color rgb="FF63C384"/>
      </dataBar>
      <extLst>
        <ext xmlns:x14="http://schemas.microsoft.com/office/spreadsheetml/2009/9/main" uri="{B025F937-C7B1-47D3-B67F-A62EFF666E3E}">
          <x14:id>{E70AAA2E-8ED5-4028-8E2C-E553865E6C70}</x14:id>
        </ext>
      </extLst>
    </cfRule>
  </conditionalFormatting>
  <conditionalFormatting sqref="J32">
    <cfRule type="iconSet" priority="188">
      <iconSet iconSet="3TrafficLights2" showValue="0">
        <cfvo type="percent" val="0"/>
        <cfvo type="num" val="0.6"/>
        <cfvo type="num" val="0.8"/>
      </iconSet>
    </cfRule>
  </conditionalFormatting>
  <conditionalFormatting sqref="K32">
    <cfRule type="iconSet" priority="187">
      <iconSet iconSet="5Arrows" showValue="0">
        <cfvo type="percent" val="0"/>
        <cfvo type="num" val="0.6"/>
        <cfvo type="num" val="0.7"/>
        <cfvo type="num" val="0.8"/>
        <cfvo type="num" val="0.9"/>
      </iconSet>
    </cfRule>
  </conditionalFormatting>
  <conditionalFormatting sqref="I32">
    <cfRule type="dataBar" priority="186">
      <dataBar>
        <cfvo type="num" val="0"/>
        <cfvo type="num" val="1.1000000000000001"/>
        <color rgb="FF63C384"/>
      </dataBar>
      <extLst>
        <ext xmlns:x14="http://schemas.microsoft.com/office/spreadsheetml/2009/9/main" uri="{B025F937-C7B1-47D3-B67F-A62EFF666E3E}">
          <x14:id>{0F57053B-B5B2-4493-9833-92B8BA06DD07}</x14:id>
        </ext>
      </extLst>
    </cfRule>
  </conditionalFormatting>
  <conditionalFormatting sqref="M32">
    <cfRule type="iconSet" priority="185">
      <iconSet iconSet="3TrafficLights2" showValue="0">
        <cfvo type="percent" val="0"/>
        <cfvo type="num" val="0.6"/>
        <cfvo type="num" val="0.8"/>
      </iconSet>
    </cfRule>
  </conditionalFormatting>
  <conditionalFormatting sqref="N32">
    <cfRule type="iconSet" priority="184">
      <iconSet iconSet="5Arrows" showValue="0">
        <cfvo type="percent" val="0"/>
        <cfvo type="num" val="0.6"/>
        <cfvo type="num" val="0.7"/>
        <cfvo type="num" val="0.8"/>
        <cfvo type="num" val="0.9"/>
      </iconSet>
    </cfRule>
  </conditionalFormatting>
  <conditionalFormatting sqref="L32">
    <cfRule type="dataBar" priority="183">
      <dataBar>
        <cfvo type="num" val="0"/>
        <cfvo type="num" val="1.1000000000000001"/>
        <color rgb="FF63C384"/>
      </dataBar>
      <extLst>
        <ext xmlns:x14="http://schemas.microsoft.com/office/spreadsheetml/2009/9/main" uri="{B025F937-C7B1-47D3-B67F-A62EFF666E3E}">
          <x14:id>{E473708A-806F-4F59-AE75-DE500CDAAA2F}</x14:id>
        </ext>
      </extLst>
    </cfRule>
  </conditionalFormatting>
  <conditionalFormatting sqref="F34">
    <cfRule type="dataBar" priority="182">
      <dataBar>
        <cfvo type="num" val="0"/>
        <cfvo type="num" val="1.1000000000000001"/>
        <color rgb="FF63C384"/>
      </dataBar>
      <extLst>
        <ext xmlns:x14="http://schemas.microsoft.com/office/spreadsheetml/2009/9/main" uri="{B025F937-C7B1-47D3-B67F-A62EFF666E3E}">
          <x14:id>{B2CE2B16-62F5-41DD-8D18-6BF9874DC7E1}</x14:id>
        </ext>
      </extLst>
    </cfRule>
  </conditionalFormatting>
  <conditionalFormatting sqref="G34">
    <cfRule type="iconSet" priority="181">
      <iconSet iconSet="3TrafficLights2" showValue="0">
        <cfvo type="percent" val="0"/>
        <cfvo type="num" val="0.6"/>
        <cfvo type="num" val="0.8"/>
      </iconSet>
    </cfRule>
  </conditionalFormatting>
  <conditionalFormatting sqref="H34">
    <cfRule type="iconSet" priority="180">
      <iconSet iconSet="5Arrows" showValue="0">
        <cfvo type="percent" val="0"/>
        <cfvo type="num" val="0.6"/>
        <cfvo type="num" val="0.7"/>
        <cfvo type="num" val="0.8"/>
        <cfvo type="num" val="0.9"/>
      </iconSet>
    </cfRule>
  </conditionalFormatting>
  <conditionalFormatting sqref="J34">
    <cfRule type="iconSet" priority="179">
      <iconSet iconSet="3TrafficLights2" showValue="0">
        <cfvo type="percent" val="0"/>
        <cfvo type="num" val="0.6"/>
        <cfvo type="num" val="0.8"/>
      </iconSet>
    </cfRule>
  </conditionalFormatting>
  <conditionalFormatting sqref="K34">
    <cfRule type="iconSet" priority="178">
      <iconSet iconSet="5Arrows" showValue="0">
        <cfvo type="percent" val="0"/>
        <cfvo type="num" val="0.6"/>
        <cfvo type="num" val="0.7"/>
        <cfvo type="num" val="0.8"/>
        <cfvo type="num" val="0.9"/>
      </iconSet>
    </cfRule>
  </conditionalFormatting>
  <conditionalFormatting sqref="I34">
    <cfRule type="dataBar" priority="177">
      <dataBar>
        <cfvo type="num" val="0"/>
        <cfvo type="num" val="1.1000000000000001"/>
        <color rgb="FF63C384"/>
      </dataBar>
      <extLst>
        <ext xmlns:x14="http://schemas.microsoft.com/office/spreadsheetml/2009/9/main" uri="{B025F937-C7B1-47D3-B67F-A62EFF666E3E}">
          <x14:id>{409052F7-67B4-4BA4-9384-4E9501E78AC3}</x14:id>
        </ext>
      </extLst>
    </cfRule>
  </conditionalFormatting>
  <conditionalFormatting sqref="M34">
    <cfRule type="iconSet" priority="176">
      <iconSet iconSet="3TrafficLights2" showValue="0">
        <cfvo type="percent" val="0"/>
        <cfvo type="num" val="0.6"/>
        <cfvo type="num" val="0.8"/>
      </iconSet>
    </cfRule>
  </conditionalFormatting>
  <conditionalFormatting sqref="N34">
    <cfRule type="iconSet" priority="175">
      <iconSet iconSet="5Arrows" showValue="0">
        <cfvo type="percent" val="0"/>
        <cfvo type="num" val="0.6"/>
        <cfvo type="num" val="0.7"/>
        <cfvo type="num" val="0.8"/>
        <cfvo type="num" val="0.9"/>
      </iconSet>
    </cfRule>
  </conditionalFormatting>
  <conditionalFormatting sqref="L34">
    <cfRule type="dataBar" priority="174">
      <dataBar>
        <cfvo type="num" val="0"/>
        <cfvo type="num" val="1.1000000000000001"/>
        <color rgb="FF63C384"/>
      </dataBar>
      <extLst>
        <ext xmlns:x14="http://schemas.microsoft.com/office/spreadsheetml/2009/9/main" uri="{B025F937-C7B1-47D3-B67F-A62EFF666E3E}">
          <x14:id>{76C217DB-7BF5-4148-BE3A-CE58764B3945}</x14:id>
        </ext>
      </extLst>
    </cfRule>
  </conditionalFormatting>
  <conditionalFormatting sqref="F35">
    <cfRule type="dataBar" priority="173">
      <dataBar>
        <cfvo type="num" val="0"/>
        <cfvo type="num" val="1.1000000000000001"/>
        <color rgb="FF63C384"/>
      </dataBar>
      <extLst>
        <ext xmlns:x14="http://schemas.microsoft.com/office/spreadsheetml/2009/9/main" uri="{B025F937-C7B1-47D3-B67F-A62EFF666E3E}">
          <x14:id>{9F3E1FD9-8676-4A04-9509-02963451D131}</x14:id>
        </ext>
      </extLst>
    </cfRule>
  </conditionalFormatting>
  <conditionalFormatting sqref="G35">
    <cfRule type="iconSet" priority="172">
      <iconSet iconSet="3TrafficLights2" showValue="0">
        <cfvo type="percent" val="0"/>
        <cfvo type="num" val="0.6"/>
        <cfvo type="num" val="0.8"/>
      </iconSet>
    </cfRule>
  </conditionalFormatting>
  <conditionalFormatting sqref="H35">
    <cfRule type="iconSet" priority="171">
      <iconSet iconSet="5Arrows" showValue="0">
        <cfvo type="percent" val="0"/>
        <cfvo type="num" val="0.6"/>
        <cfvo type="num" val="0.7"/>
        <cfvo type="num" val="0.8"/>
        <cfvo type="num" val="0.9"/>
      </iconSet>
    </cfRule>
  </conditionalFormatting>
  <conditionalFormatting sqref="J35">
    <cfRule type="iconSet" priority="170">
      <iconSet iconSet="3TrafficLights2" showValue="0">
        <cfvo type="percent" val="0"/>
        <cfvo type="num" val="0.6"/>
        <cfvo type="num" val="0.8"/>
      </iconSet>
    </cfRule>
  </conditionalFormatting>
  <conditionalFormatting sqref="K35">
    <cfRule type="iconSet" priority="169">
      <iconSet iconSet="5Arrows" showValue="0">
        <cfvo type="percent" val="0"/>
        <cfvo type="num" val="0.6"/>
        <cfvo type="num" val="0.7"/>
        <cfvo type="num" val="0.8"/>
        <cfvo type="num" val="0.9"/>
      </iconSet>
    </cfRule>
  </conditionalFormatting>
  <conditionalFormatting sqref="I35">
    <cfRule type="dataBar" priority="168">
      <dataBar>
        <cfvo type="num" val="0"/>
        <cfvo type="num" val="1.1000000000000001"/>
        <color rgb="FF63C384"/>
      </dataBar>
      <extLst>
        <ext xmlns:x14="http://schemas.microsoft.com/office/spreadsheetml/2009/9/main" uri="{B025F937-C7B1-47D3-B67F-A62EFF666E3E}">
          <x14:id>{CF506E69-136B-45D8-8DE2-B01F70110566}</x14:id>
        </ext>
      </extLst>
    </cfRule>
  </conditionalFormatting>
  <conditionalFormatting sqref="M35">
    <cfRule type="iconSet" priority="167">
      <iconSet iconSet="3TrafficLights2" showValue="0">
        <cfvo type="percent" val="0"/>
        <cfvo type="num" val="0.6"/>
        <cfvo type="num" val="0.8"/>
      </iconSet>
    </cfRule>
  </conditionalFormatting>
  <conditionalFormatting sqref="N35">
    <cfRule type="iconSet" priority="166">
      <iconSet iconSet="5Arrows" showValue="0">
        <cfvo type="percent" val="0"/>
        <cfvo type="num" val="0.6"/>
        <cfvo type="num" val="0.7"/>
        <cfvo type="num" val="0.8"/>
        <cfvo type="num" val="0.9"/>
      </iconSet>
    </cfRule>
  </conditionalFormatting>
  <conditionalFormatting sqref="L35">
    <cfRule type="dataBar" priority="165">
      <dataBar>
        <cfvo type="num" val="0"/>
        <cfvo type="num" val="1.1000000000000001"/>
        <color rgb="FF63C384"/>
      </dataBar>
      <extLst>
        <ext xmlns:x14="http://schemas.microsoft.com/office/spreadsheetml/2009/9/main" uri="{B025F937-C7B1-47D3-B67F-A62EFF666E3E}">
          <x14:id>{01BBA2F7-21E5-406A-AC91-533B1D8B39FE}</x14:id>
        </ext>
      </extLst>
    </cfRule>
  </conditionalFormatting>
  <conditionalFormatting sqref="G39">
    <cfRule type="iconSet" priority="164">
      <iconSet iconSet="3TrafficLights2" showValue="0">
        <cfvo type="percent" val="0"/>
        <cfvo type="num" val="0.6"/>
        <cfvo type="num" val="0.8"/>
      </iconSet>
    </cfRule>
  </conditionalFormatting>
  <conditionalFormatting sqref="H39">
    <cfRule type="iconSet" priority="163">
      <iconSet iconSet="5Arrows" showValue="0">
        <cfvo type="percent" val="0"/>
        <cfvo type="num" val="0.6"/>
        <cfvo type="num" val="0.7"/>
        <cfvo type="num" val="0.8"/>
        <cfvo type="num" val="0.9"/>
      </iconSet>
    </cfRule>
  </conditionalFormatting>
  <conditionalFormatting sqref="F39">
    <cfRule type="dataBar" priority="162">
      <dataBar>
        <cfvo type="num" val="0"/>
        <cfvo type="num" val="1.1000000000000001"/>
        <color rgb="FF63C384"/>
      </dataBar>
      <extLst>
        <ext xmlns:x14="http://schemas.microsoft.com/office/spreadsheetml/2009/9/main" uri="{B025F937-C7B1-47D3-B67F-A62EFF666E3E}">
          <x14:id>{EE1B2F2B-E665-47AC-A4A2-CB5B56EDBD08}</x14:id>
        </ext>
      </extLst>
    </cfRule>
  </conditionalFormatting>
  <conditionalFormatting sqref="J39">
    <cfRule type="iconSet" priority="161">
      <iconSet iconSet="3TrafficLights2" showValue="0">
        <cfvo type="percent" val="0"/>
        <cfvo type="num" val="0.6"/>
        <cfvo type="num" val="0.8"/>
      </iconSet>
    </cfRule>
  </conditionalFormatting>
  <conditionalFormatting sqref="K39">
    <cfRule type="iconSet" priority="160">
      <iconSet iconSet="5Arrows" showValue="0">
        <cfvo type="percent" val="0"/>
        <cfvo type="num" val="0.6"/>
        <cfvo type="num" val="0.7"/>
        <cfvo type="num" val="0.8"/>
        <cfvo type="num" val="0.9"/>
      </iconSet>
    </cfRule>
  </conditionalFormatting>
  <conditionalFormatting sqref="I39">
    <cfRule type="dataBar" priority="159">
      <dataBar>
        <cfvo type="num" val="0"/>
        <cfvo type="num" val="1.1000000000000001"/>
        <color rgb="FF63C384"/>
      </dataBar>
      <extLst>
        <ext xmlns:x14="http://schemas.microsoft.com/office/spreadsheetml/2009/9/main" uri="{B025F937-C7B1-47D3-B67F-A62EFF666E3E}">
          <x14:id>{11A22472-45F6-452A-AF67-042C9E483842}</x14:id>
        </ext>
      </extLst>
    </cfRule>
  </conditionalFormatting>
  <conditionalFormatting sqref="M39">
    <cfRule type="iconSet" priority="158">
      <iconSet iconSet="3TrafficLights2" showValue="0">
        <cfvo type="percent" val="0"/>
        <cfvo type="num" val="0.6"/>
        <cfvo type="num" val="0.8"/>
      </iconSet>
    </cfRule>
  </conditionalFormatting>
  <conditionalFormatting sqref="N39">
    <cfRule type="iconSet" priority="157">
      <iconSet iconSet="5Arrows" showValue="0">
        <cfvo type="percent" val="0"/>
        <cfvo type="num" val="0.6"/>
        <cfvo type="num" val="0.7"/>
        <cfvo type="num" val="0.8"/>
        <cfvo type="num" val="0.9"/>
      </iconSet>
    </cfRule>
  </conditionalFormatting>
  <conditionalFormatting sqref="L39">
    <cfRule type="dataBar" priority="156">
      <dataBar>
        <cfvo type="num" val="0"/>
        <cfvo type="num" val="1.1000000000000001"/>
        <color rgb="FF63C384"/>
      </dataBar>
      <extLst>
        <ext xmlns:x14="http://schemas.microsoft.com/office/spreadsheetml/2009/9/main" uri="{B025F937-C7B1-47D3-B67F-A62EFF666E3E}">
          <x14:id>{AD5E5BFA-7145-4A88-A4D1-C6C600714199}</x14:id>
        </ext>
      </extLst>
    </cfRule>
  </conditionalFormatting>
  <conditionalFormatting sqref="G40">
    <cfRule type="iconSet" priority="155">
      <iconSet iconSet="3TrafficLights2" showValue="0">
        <cfvo type="percent" val="0"/>
        <cfvo type="num" val="0.6"/>
        <cfvo type="num" val="0.8"/>
      </iconSet>
    </cfRule>
  </conditionalFormatting>
  <conditionalFormatting sqref="H40">
    <cfRule type="iconSet" priority="154">
      <iconSet iconSet="5Arrows" showValue="0">
        <cfvo type="percent" val="0"/>
        <cfvo type="num" val="0.6"/>
        <cfvo type="num" val="0.7"/>
        <cfvo type="num" val="0.8"/>
        <cfvo type="num" val="0.9"/>
      </iconSet>
    </cfRule>
  </conditionalFormatting>
  <conditionalFormatting sqref="F40">
    <cfRule type="dataBar" priority="153">
      <dataBar>
        <cfvo type="num" val="0"/>
        <cfvo type="num" val="1.1000000000000001"/>
        <color rgb="FF63C384"/>
      </dataBar>
      <extLst>
        <ext xmlns:x14="http://schemas.microsoft.com/office/spreadsheetml/2009/9/main" uri="{B025F937-C7B1-47D3-B67F-A62EFF666E3E}">
          <x14:id>{E1020B43-B6B9-4B9C-8117-EAD14A2779C0}</x14:id>
        </ext>
      </extLst>
    </cfRule>
  </conditionalFormatting>
  <conditionalFormatting sqref="J40">
    <cfRule type="iconSet" priority="152">
      <iconSet iconSet="3TrafficLights2" showValue="0">
        <cfvo type="percent" val="0"/>
        <cfvo type="num" val="0.6"/>
        <cfvo type="num" val="0.8"/>
      </iconSet>
    </cfRule>
  </conditionalFormatting>
  <conditionalFormatting sqref="K40">
    <cfRule type="iconSet" priority="151">
      <iconSet iconSet="5Arrows" showValue="0">
        <cfvo type="percent" val="0"/>
        <cfvo type="num" val="0.6"/>
        <cfvo type="num" val="0.7"/>
        <cfvo type="num" val="0.8"/>
        <cfvo type="num" val="0.9"/>
      </iconSet>
    </cfRule>
  </conditionalFormatting>
  <conditionalFormatting sqref="I40">
    <cfRule type="dataBar" priority="150">
      <dataBar>
        <cfvo type="num" val="0"/>
        <cfvo type="num" val="1.1000000000000001"/>
        <color rgb="FF63C384"/>
      </dataBar>
      <extLst>
        <ext xmlns:x14="http://schemas.microsoft.com/office/spreadsheetml/2009/9/main" uri="{B025F937-C7B1-47D3-B67F-A62EFF666E3E}">
          <x14:id>{3512BFC9-6E72-4986-8799-0F894128E0C9}</x14:id>
        </ext>
      </extLst>
    </cfRule>
  </conditionalFormatting>
  <conditionalFormatting sqref="M40">
    <cfRule type="iconSet" priority="149">
      <iconSet iconSet="3TrafficLights2" showValue="0">
        <cfvo type="percent" val="0"/>
        <cfvo type="num" val="0.6"/>
        <cfvo type="num" val="0.8"/>
      </iconSet>
    </cfRule>
  </conditionalFormatting>
  <conditionalFormatting sqref="N40">
    <cfRule type="iconSet" priority="148">
      <iconSet iconSet="5Arrows" showValue="0">
        <cfvo type="percent" val="0"/>
        <cfvo type="num" val="0.6"/>
        <cfvo type="num" val="0.7"/>
        <cfvo type="num" val="0.8"/>
        <cfvo type="num" val="0.9"/>
      </iconSet>
    </cfRule>
  </conditionalFormatting>
  <conditionalFormatting sqref="L40">
    <cfRule type="dataBar" priority="147">
      <dataBar>
        <cfvo type="num" val="0"/>
        <cfvo type="num" val="1.1000000000000001"/>
        <color rgb="FF63C384"/>
      </dataBar>
      <extLst>
        <ext xmlns:x14="http://schemas.microsoft.com/office/spreadsheetml/2009/9/main" uri="{B025F937-C7B1-47D3-B67F-A62EFF666E3E}">
          <x14:id>{607965FC-A2C7-4811-9052-33605D931926}</x14:id>
        </ext>
      </extLst>
    </cfRule>
  </conditionalFormatting>
  <conditionalFormatting sqref="G41">
    <cfRule type="iconSet" priority="146">
      <iconSet iconSet="3TrafficLights2" showValue="0">
        <cfvo type="percent" val="0"/>
        <cfvo type="num" val="0.6"/>
        <cfvo type="num" val="0.8"/>
      </iconSet>
    </cfRule>
  </conditionalFormatting>
  <conditionalFormatting sqref="H41">
    <cfRule type="iconSet" priority="145">
      <iconSet iconSet="5Arrows" showValue="0">
        <cfvo type="percent" val="0"/>
        <cfvo type="num" val="0.6"/>
        <cfvo type="num" val="0.7"/>
        <cfvo type="num" val="0.8"/>
        <cfvo type="num" val="0.9"/>
      </iconSet>
    </cfRule>
  </conditionalFormatting>
  <conditionalFormatting sqref="F41">
    <cfRule type="dataBar" priority="144">
      <dataBar>
        <cfvo type="num" val="0"/>
        <cfvo type="num" val="1.1000000000000001"/>
        <color rgb="FF63C384"/>
      </dataBar>
      <extLst>
        <ext xmlns:x14="http://schemas.microsoft.com/office/spreadsheetml/2009/9/main" uri="{B025F937-C7B1-47D3-B67F-A62EFF666E3E}">
          <x14:id>{8D0CDCC8-6813-4E71-9B17-02940D9F17D7}</x14:id>
        </ext>
      </extLst>
    </cfRule>
  </conditionalFormatting>
  <conditionalFormatting sqref="J41">
    <cfRule type="iconSet" priority="143">
      <iconSet iconSet="3TrafficLights2" showValue="0">
        <cfvo type="percent" val="0"/>
        <cfvo type="num" val="0.6"/>
        <cfvo type="num" val="0.8"/>
      </iconSet>
    </cfRule>
  </conditionalFormatting>
  <conditionalFormatting sqref="K41">
    <cfRule type="iconSet" priority="142">
      <iconSet iconSet="5Arrows" showValue="0">
        <cfvo type="percent" val="0"/>
        <cfvo type="num" val="0.6"/>
        <cfvo type="num" val="0.7"/>
        <cfvo type="num" val="0.8"/>
        <cfvo type="num" val="0.9"/>
      </iconSet>
    </cfRule>
  </conditionalFormatting>
  <conditionalFormatting sqref="I41">
    <cfRule type="dataBar" priority="141">
      <dataBar>
        <cfvo type="num" val="0"/>
        <cfvo type="num" val="1.1000000000000001"/>
        <color rgb="FF63C384"/>
      </dataBar>
      <extLst>
        <ext xmlns:x14="http://schemas.microsoft.com/office/spreadsheetml/2009/9/main" uri="{B025F937-C7B1-47D3-B67F-A62EFF666E3E}">
          <x14:id>{A6C3883A-9C71-44F2-B6E2-BB7066CF0FDB}</x14:id>
        </ext>
      </extLst>
    </cfRule>
  </conditionalFormatting>
  <conditionalFormatting sqref="M41">
    <cfRule type="iconSet" priority="140">
      <iconSet iconSet="3TrafficLights2" showValue="0">
        <cfvo type="percent" val="0"/>
        <cfvo type="num" val="0.6"/>
        <cfvo type="num" val="0.8"/>
      </iconSet>
    </cfRule>
  </conditionalFormatting>
  <conditionalFormatting sqref="N41">
    <cfRule type="iconSet" priority="139">
      <iconSet iconSet="5Arrows" showValue="0">
        <cfvo type="percent" val="0"/>
        <cfvo type="num" val="0.6"/>
        <cfvo type="num" val="0.7"/>
        <cfvo type="num" val="0.8"/>
        <cfvo type="num" val="0.9"/>
      </iconSet>
    </cfRule>
  </conditionalFormatting>
  <conditionalFormatting sqref="L41">
    <cfRule type="dataBar" priority="138">
      <dataBar>
        <cfvo type="num" val="0"/>
        <cfvo type="num" val="1.1000000000000001"/>
        <color rgb="FF63C384"/>
      </dataBar>
      <extLst>
        <ext xmlns:x14="http://schemas.microsoft.com/office/spreadsheetml/2009/9/main" uri="{B025F937-C7B1-47D3-B67F-A62EFF666E3E}">
          <x14:id>{0AD62E18-2E77-4A77-8750-3729B832037E}</x14:id>
        </ext>
      </extLst>
    </cfRule>
  </conditionalFormatting>
  <conditionalFormatting sqref="G43">
    <cfRule type="iconSet" priority="137">
      <iconSet iconSet="3TrafficLights2" showValue="0">
        <cfvo type="percent" val="0"/>
        <cfvo type="num" val="0.6"/>
        <cfvo type="num" val="0.8"/>
      </iconSet>
    </cfRule>
  </conditionalFormatting>
  <conditionalFormatting sqref="H43">
    <cfRule type="iconSet" priority="136">
      <iconSet iconSet="5Arrows" showValue="0">
        <cfvo type="percent" val="0"/>
        <cfvo type="num" val="0.6"/>
        <cfvo type="num" val="0.7"/>
        <cfvo type="num" val="0.8"/>
        <cfvo type="num" val="0.9"/>
      </iconSet>
    </cfRule>
  </conditionalFormatting>
  <conditionalFormatting sqref="F43">
    <cfRule type="dataBar" priority="135">
      <dataBar>
        <cfvo type="num" val="0"/>
        <cfvo type="num" val="1.1000000000000001"/>
        <color rgb="FF63C384"/>
      </dataBar>
      <extLst>
        <ext xmlns:x14="http://schemas.microsoft.com/office/spreadsheetml/2009/9/main" uri="{B025F937-C7B1-47D3-B67F-A62EFF666E3E}">
          <x14:id>{F25011AB-9F5B-4F7E-BC17-4F8D9D8BFDDD}</x14:id>
        </ext>
      </extLst>
    </cfRule>
  </conditionalFormatting>
  <conditionalFormatting sqref="J43">
    <cfRule type="iconSet" priority="134">
      <iconSet iconSet="3TrafficLights2" showValue="0">
        <cfvo type="percent" val="0"/>
        <cfvo type="num" val="0.6"/>
        <cfvo type="num" val="0.8"/>
      </iconSet>
    </cfRule>
  </conditionalFormatting>
  <conditionalFormatting sqref="K43">
    <cfRule type="iconSet" priority="133">
      <iconSet iconSet="5Arrows" showValue="0">
        <cfvo type="percent" val="0"/>
        <cfvo type="num" val="0.6"/>
        <cfvo type="num" val="0.7"/>
        <cfvo type="num" val="0.8"/>
        <cfvo type="num" val="0.9"/>
      </iconSet>
    </cfRule>
  </conditionalFormatting>
  <conditionalFormatting sqref="I43">
    <cfRule type="dataBar" priority="132">
      <dataBar>
        <cfvo type="num" val="0"/>
        <cfvo type="num" val="1.1000000000000001"/>
        <color rgb="FF63C384"/>
      </dataBar>
      <extLst>
        <ext xmlns:x14="http://schemas.microsoft.com/office/spreadsheetml/2009/9/main" uri="{B025F937-C7B1-47D3-B67F-A62EFF666E3E}">
          <x14:id>{53BED112-C5F2-4C84-BDEC-197DBB812EA5}</x14:id>
        </ext>
      </extLst>
    </cfRule>
  </conditionalFormatting>
  <conditionalFormatting sqref="M43">
    <cfRule type="iconSet" priority="131">
      <iconSet iconSet="3TrafficLights2" showValue="0">
        <cfvo type="percent" val="0"/>
        <cfvo type="num" val="0.6"/>
        <cfvo type="num" val="0.8"/>
      </iconSet>
    </cfRule>
  </conditionalFormatting>
  <conditionalFormatting sqref="N43">
    <cfRule type="iconSet" priority="130">
      <iconSet iconSet="5Arrows" showValue="0">
        <cfvo type="percent" val="0"/>
        <cfvo type="num" val="0.6"/>
        <cfvo type="num" val="0.7"/>
        <cfvo type="num" val="0.8"/>
        <cfvo type="num" val="0.9"/>
      </iconSet>
    </cfRule>
  </conditionalFormatting>
  <conditionalFormatting sqref="L43">
    <cfRule type="dataBar" priority="129">
      <dataBar>
        <cfvo type="num" val="0"/>
        <cfvo type="num" val="1.1000000000000001"/>
        <color rgb="FF63C384"/>
      </dataBar>
      <extLst>
        <ext xmlns:x14="http://schemas.microsoft.com/office/spreadsheetml/2009/9/main" uri="{B025F937-C7B1-47D3-B67F-A62EFF666E3E}">
          <x14:id>{FD9E8FEA-D09A-4462-8A83-1C4125AFDEA8}</x14:id>
        </ext>
      </extLst>
    </cfRule>
  </conditionalFormatting>
  <conditionalFormatting sqref="F45">
    <cfRule type="dataBar" priority="128">
      <dataBar>
        <cfvo type="num" val="0"/>
        <cfvo type="num" val="1.1000000000000001"/>
        <color rgb="FF63C384"/>
      </dataBar>
      <extLst>
        <ext xmlns:x14="http://schemas.microsoft.com/office/spreadsheetml/2009/9/main" uri="{B025F937-C7B1-47D3-B67F-A62EFF666E3E}">
          <x14:id>{21B515C2-3FD7-4862-97DE-9B7B2B0F9675}</x14:id>
        </ext>
      </extLst>
    </cfRule>
  </conditionalFormatting>
  <conditionalFormatting sqref="G45">
    <cfRule type="iconSet" priority="127">
      <iconSet iconSet="3TrafficLights2" showValue="0">
        <cfvo type="percent" val="0"/>
        <cfvo type="num" val="0.6"/>
        <cfvo type="num" val="0.8"/>
      </iconSet>
    </cfRule>
  </conditionalFormatting>
  <conditionalFormatting sqref="H45">
    <cfRule type="iconSet" priority="126">
      <iconSet iconSet="5Arrows" showValue="0">
        <cfvo type="percent" val="0"/>
        <cfvo type="num" val="0.6"/>
        <cfvo type="num" val="0.7"/>
        <cfvo type="num" val="0.8"/>
        <cfvo type="num" val="0.9"/>
      </iconSet>
    </cfRule>
  </conditionalFormatting>
  <conditionalFormatting sqref="J45">
    <cfRule type="iconSet" priority="125">
      <iconSet iconSet="3TrafficLights2" showValue="0">
        <cfvo type="percent" val="0"/>
        <cfvo type="num" val="0.6"/>
        <cfvo type="num" val="0.8"/>
      </iconSet>
    </cfRule>
  </conditionalFormatting>
  <conditionalFormatting sqref="K45">
    <cfRule type="iconSet" priority="124">
      <iconSet iconSet="5Arrows" showValue="0">
        <cfvo type="percent" val="0"/>
        <cfvo type="num" val="0.6"/>
        <cfvo type="num" val="0.7"/>
        <cfvo type="num" val="0.8"/>
        <cfvo type="num" val="0.9"/>
      </iconSet>
    </cfRule>
  </conditionalFormatting>
  <conditionalFormatting sqref="I45">
    <cfRule type="dataBar" priority="123">
      <dataBar>
        <cfvo type="num" val="0"/>
        <cfvo type="num" val="1.1000000000000001"/>
        <color rgb="FF63C384"/>
      </dataBar>
      <extLst>
        <ext xmlns:x14="http://schemas.microsoft.com/office/spreadsheetml/2009/9/main" uri="{B025F937-C7B1-47D3-B67F-A62EFF666E3E}">
          <x14:id>{2859D417-D158-4D75-B4D7-A73E34B49DD8}</x14:id>
        </ext>
      </extLst>
    </cfRule>
  </conditionalFormatting>
  <conditionalFormatting sqref="M45">
    <cfRule type="iconSet" priority="122">
      <iconSet iconSet="3TrafficLights2" showValue="0">
        <cfvo type="percent" val="0"/>
        <cfvo type="num" val="0.6"/>
        <cfvo type="num" val="0.8"/>
      </iconSet>
    </cfRule>
  </conditionalFormatting>
  <conditionalFormatting sqref="N45">
    <cfRule type="iconSet" priority="121">
      <iconSet iconSet="5Arrows" showValue="0">
        <cfvo type="percent" val="0"/>
        <cfvo type="num" val="0.6"/>
        <cfvo type="num" val="0.7"/>
        <cfvo type="num" val="0.8"/>
        <cfvo type="num" val="0.9"/>
      </iconSet>
    </cfRule>
  </conditionalFormatting>
  <conditionalFormatting sqref="L45">
    <cfRule type="dataBar" priority="120">
      <dataBar>
        <cfvo type="num" val="0"/>
        <cfvo type="num" val="1.1000000000000001"/>
        <color rgb="FF63C384"/>
      </dataBar>
      <extLst>
        <ext xmlns:x14="http://schemas.microsoft.com/office/spreadsheetml/2009/9/main" uri="{B025F937-C7B1-47D3-B67F-A62EFF666E3E}">
          <x14:id>{8495654D-507E-42D7-BC7B-79F2F50C0C86}</x14:id>
        </ext>
      </extLst>
    </cfRule>
  </conditionalFormatting>
  <conditionalFormatting sqref="F46">
    <cfRule type="dataBar" priority="119">
      <dataBar>
        <cfvo type="num" val="0"/>
        <cfvo type="num" val="1.1000000000000001"/>
        <color rgb="FF63C384"/>
      </dataBar>
      <extLst>
        <ext xmlns:x14="http://schemas.microsoft.com/office/spreadsheetml/2009/9/main" uri="{B025F937-C7B1-47D3-B67F-A62EFF666E3E}">
          <x14:id>{4DFCE72C-9B7C-4482-8AE4-DF2F30F4C225}</x14:id>
        </ext>
      </extLst>
    </cfRule>
  </conditionalFormatting>
  <conditionalFormatting sqref="G46">
    <cfRule type="iconSet" priority="118">
      <iconSet iconSet="3TrafficLights2" showValue="0">
        <cfvo type="percent" val="0"/>
        <cfvo type="num" val="0.6"/>
        <cfvo type="num" val="0.8"/>
      </iconSet>
    </cfRule>
  </conditionalFormatting>
  <conditionalFormatting sqref="H46">
    <cfRule type="iconSet" priority="117">
      <iconSet iconSet="5Arrows" showValue="0">
        <cfvo type="percent" val="0"/>
        <cfvo type="num" val="0.6"/>
        <cfvo type="num" val="0.7"/>
        <cfvo type="num" val="0.8"/>
        <cfvo type="num" val="0.9"/>
      </iconSet>
    </cfRule>
  </conditionalFormatting>
  <conditionalFormatting sqref="J46">
    <cfRule type="iconSet" priority="116">
      <iconSet iconSet="3TrafficLights2" showValue="0">
        <cfvo type="percent" val="0"/>
        <cfvo type="num" val="0.6"/>
        <cfvo type="num" val="0.8"/>
      </iconSet>
    </cfRule>
  </conditionalFormatting>
  <conditionalFormatting sqref="K46">
    <cfRule type="iconSet" priority="115">
      <iconSet iconSet="5Arrows" showValue="0">
        <cfvo type="percent" val="0"/>
        <cfvo type="num" val="0.6"/>
        <cfvo type="num" val="0.7"/>
        <cfvo type="num" val="0.8"/>
        <cfvo type="num" val="0.9"/>
      </iconSet>
    </cfRule>
  </conditionalFormatting>
  <conditionalFormatting sqref="I46">
    <cfRule type="dataBar" priority="114">
      <dataBar>
        <cfvo type="num" val="0"/>
        <cfvo type="num" val="1.1000000000000001"/>
        <color rgb="FF63C384"/>
      </dataBar>
      <extLst>
        <ext xmlns:x14="http://schemas.microsoft.com/office/spreadsheetml/2009/9/main" uri="{B025F937-C7B1-47D3-B67F-A62EFF666E3E}">
          <x14:id>{BB6A3CB4-A28B-4326-9296-F6DDD1E9176A}</x14:id>
        </ext>
      </extLst>
    </cfRule>
  </conditionalFormatting>
  <conditionalFormatting sqref="M46">
    <cfRule type="iconSet" priority="113">
      <iconSet iconSet="3TrafficLights2" showValue="0">
        <cfvo type="percent" val="0"/>
        <cfvo type="num" val="0.6"/>
        <cfvo type="num" val="0.8"/>
      </iconSet>
    </cfRule>
  </conditionalFormatting>
  <conditionalFormatting sqref="N46">
    <cfRule type="iconSet" priority="112">
      <iconSet iconSet="5Arrows" showValue="0">
        <cfvo type="percent" val="0"/>
        <cfvo type="num" val="0.6"/>
        <cfvo type="num" val="0.7"/>
        <cfvo type="num" val="0.8"/>
        <cfvo type="num" val="0.9"/>
      </iconSet>
    </cfRule>
  </conditionalFormatting>
  <conditionalFormatting sqref="L46">
    <cfRule type="dataBar" priority="111">
      <dataBar>
        <cfvo type="num" val="0"/>
        <cfvo type="num" val="1.1000000000000001"/>
        <color rgb="FF63C384"/>
      </dataBar>
      <extLst>
        <ext xmlns:x14="http://schemas.microsoft.com/office/spreadsheetml/2009/9/main" uri="{B025F937-C7B1-47D3-B67F-A62EFF666E3E}">
          <x14:id>{6D897AAF-E258-45E5-9AFA-AD04AC88B52E}</x14:id>
        </ext>
      </extLst>
    </cfRule>
  </conditionalFormatting>
  <conditionalFormatting sqref="G76">
    <cfRule type="iconSet" priority="110">
      <iconSet iconSet="3TrafficLights2" showValue="0">
        <cfvo type="percent" val="0"/>
        <cfvo type="num" val="0.6"/>
        <cfvo type="num" val="0.8"/>
      </iconSet>
    </cfRule>
  </conditionalFormatting>
  <conditionalFormatting sqref="H76">
    <cfRule type="iconSet" priority="109">
      <iconSet iconSet="5Arrows" showValue="0">
        <cfvo type="percent" val="0"/>
        <cfvo type="num" val="0.6"/>
        <cfvo type="num" val="0.7"/>
        <cfvo type="num" val="0.8"/>
        <cfvo type="num" val="0.9"/>
      </iconSet>
    </cfRule>
  </conditionalFormatting>
  <conditionalFormatting sqref="F76">
    <cfRule type="dataBar" priority="108">
      <dataBar>
        <cfvo type="num" val="0"/>
        <cfvo type="num" val="1.1000000000000001"/>
        <color rgb="FF63C384"/>
      </dataBar>
      <extLst>
        <ext xmlns:x14="http://schemas.microsoft.com/office/spreadsheetml/2009/9/main" uri="{B025F937-C7B1-47D3-B67F-A62EFF666E3E}">
          <x14:id>{A1CCBB53-2813-44E9-B257-FA82F5F06B0A}</x14:id>
        </ext>
      </extLst>
    </cfRule>
  </conditionalFormatting>
  <conditionalFormatting sqref="J76">
    <cfRule type="iconSet" priority="107">
      <iconSet iconSet="3TrafficLights2" showValue="0">
        <cfvo type="percent" val="0"/>
        <cfvo type="num" val="0.6"/>
        <cfvo type="num" val="0.8"/>
      </iconSet>
    </cfRule>
  </conditionalFormatting>
  <conditionalFormatting sqref="K76">
    <cfRule type="iconSet" priority="106">
      <iconSet iconSet="5Arrows" showValue="0">
        <cfvo type="percent" val="0"/>
        <cfvo type="num" val="0.6"/>
        <cfvo type="num" val="0.7"/>
        <cfvo type="num" val="0.8"/>
        <cfvo type="num" val="0.9"/>
      </iconSet>
    </cfRule>
  </conditionalFormatting>
  <conditionalFormatting sqref="I76">
    <cfRule type="dataBar" priority="105">
      <dataBar>
        <cfvo type="num" val="0"/>
        <cfvo type="num" val="1.1000000000000001"/>
        <color rgb="FF63C384"/>
      </dataBar>
      <extLst>
        <ext xmlns:x14="http://schemas.microsoft.com/office/spreadsheetml/2009/9/main" uri="{B025F937-C7B1-47D3-B67F-A62EFF666E3E}">
          <x14:id>{5F7A5088-7DDE-4FCD-A03D-09336B780866}</x14:id>
        </ext>
      </extLst>
    </cfRule>
  </conditionalFormatting>
  <conditionalFormatting sqref="M76">
    <cfRule type="iconSet" priority="104">
      <iconSet iconSet="3TrafficLights2" showValue="0">
        <cfvo type="percent" val="0"/>
        <cfvo type="num" val="0.6"/>
        <cfvo type="num" val="0.8"/>
      </iconSet>
    </cfRule>
  </conditionalFormatting>
  <conditionalFormatting sqref="N76">
    <cfRule type="iconSet" priority="103">
      <iconSet iconSet="5Arrows" showValue="0">
        <cfvo type="percent" val="0"/>
        <cfvo type="num" val="0.6"/>
        <cfvo type="num" val="0.7"/>
        <cfvo type="num" val="0.8"/>
        <cfvo type="num" val="0.9"/>
      </iconSet>
    </cfRule>
  </conditionalFormatting>
  <conditionalFormatting sqref="L76">
    <cfRule type="dataBar" priority="102">
      <dataBar>
        <cfvo type="num" val="0"/>
        <cfvo type="num" val="1.1000000000000001"/>
        <color rgb="FF63C384"/>
      </dataBar>
      <extLst>
        <ext xmlns:x14="http://schemas.microsoft.com/office/spreadsheetml/2009/9/main" uri="{B025F937-C7B1-47D3-B67F-A62EFF666E3E}">
          <x14:id>{A634A167-6FA3-4E71-A364-378582B67152}</x14:id>
        </ext>
      </extLst>
    </cfRule>
  </conditionalFormatting>
  <conditionalFormatting sqref="G78">
    <cfRule type="iconSet" priority="101">
      <iconSet iconSet="3TrafficLights2" showValue="0">
        <cfvo type="percent" val="0"/>
        <cfvo type="num" val="0.6"/>
        <cfvo type="num" val="0.8"/>
      </iconSet>
    </cfRule>
  </conditionalFormatting>
  <conditionalFormatting sqref="H78">
    <cfRule type="iconSet" priority="100">
      <iconSet iconSet="5Arrows" showValue="0">
        <cfvo type="percent" val="0"/>
        <cfvo type="num" val="0.6"/>
        <cfvo type="num" val="0.7"/>
        <cfvo type="num" val="0.8"/>
        <cfvo type="num" val="0.9"/>
      </iconSet>
    </cfRule>
  </conditionalFormatting>
  <conditionalFormatting sqref="F78">
    <cfRule type="dataBar" priority="99">
      <dataBar>
        <cfvo type="num" val="0"/>
        <cfvo type="num" val="1.1000000000000001"/>
        <color rgb="FF63C384"/>
      </dataBar>
      <extLst>
        <ext xmlns:x14="http://schemas.microsoft.com/office/spreadsheetml/2009/9/main" uri="{B025F937-C7B1-47D3-B67F-A62EFF666E3E}">
          <x14:id>{C6876FEA-CACC-477D-B00B-F07990C2AAAE}</x14:id>
        </ext>
      </extLst>
    </cfRule>
  </conditionalFormatting>
  <conditionalFormatting sqref="J78">
    <cfRule type="iconSet" priority="98">
      <iconSet iconSet="3TrafficLights2" showValue="0">
        <cfvo type="percent" val="0"/>
        <cfvo type="num" val="0.6"/>
        <cfvo type="num" val="0.8"/>
      </iconSet>
    </cfRule>
  </conditionalFormatting>
  <conditionalFormatting sqref="K78">
    <cfRule type="iconSet" priority="97">
      <iconSet iconSet="5Arrows" showValue="0">
        <cfvo type="percent" val="0"/>
        <cfvo type="num" val="0.6"/>
        <cfvo type="num" val="0.7"/>
        <cfvo type="num" val="0.8"/>
        <cfvo type="num" val="0.9"/>
      </iconSet>
    </cfRule>
  </conditionalFormatting>
  <conditionalFormatting sqref="I78">
    <cfRule type="dataBar" priority="96">
      <dataBar>
        <cfvo type="num" val="0"/>
        <cfvo type="num" val="1.1000000000000001"/>
        <color rgb="FF63C384"/>
      </dataBar>
      <extLst>
        <ext xmlns:x14="http://schemas.microsoft.com/office/spreadsheetml/2009/9/main" uri="{B025F937-C7B1-47D3-B67F-A62EFF666E3E}">
          <x14:id>{FA30016C-1AF0-44F7-AA47-110DDBA6738C}</x14:id>
        </ext>
      </extLst>
    </cfRule>
  </conditionalFormatting>
  <conditionalFormatting sqref="M78">
    <cfRule type="iconSet" priority="95">
      <iconSet iconSet="3TrafficLights2" showValue="0">
        <cfvo type="percent" val="0"/>
        <cfvo type="num" val="0.6"/>
        <cfvo type="num" val="0.8"/>
      </iconSet>
    </cfRule>
  </conditionalFormatting>
  <conditionalFormatting sqref="N78">
    <cfRule type="iconSet" priority="94">
      <iconSet iconSet="5Arrows" showValue="0">
        <cfvo type="percent" val="0"/>
        <cfvo type="num" val="0.6"/>
        <cfvo type="num" val="0.7"/>
        <cfvo type="num" val="0.8"/>
        <cfvo type="num" val="0.9"/>
      </iconSet>
    </cfRule>
  </conditionalFormatting>
  <conditionalFormatting sqref="L78">
    <cfRule type="dataBar" priority="93">
      <dataBar>
        <cfvo type="num" val="0"/>
        <cfvo type="num" val="1.1000000000000001"/>
        <color rgb="FF63C384"/>
      </dataBar>
      <extLst>
        <ext xmlns:x14="http://schemas.microsoft.com/office/spreadsheetml/2009/9/main" uri="{B025F937-C7B1-47D3-B67F-A62EFF666E3E}">
          <x14:id>{08FFCBDB-FF12-4DAD-86E0-1D83DD28240B}</x14:id>
        </ext>
      </extLst>
    </cfRule>
  </conditionalFormatting>
  <conditionalFormatting sqref="D86:F91">
    <cfRule type="dataBar" priority="92">
      <dataBar>
        <cfvo type="num" val="0"/>
        <cfvo type="num" val="1.5"/>
        <color rgb="FF008AEF"/>
      </dataBar>
      <extLst>
        <ext xmlns:x14="http://schemas.microsoft.com/office/spreadsheetml/2009/9/main" uri="{B025F937-C7B1-47D3-B67F-A62EFF666E3E}">
          <x14:id>{31242221-ED71-4678-92EB-74AFCF2135F7}</x14:id>
        </ext>
      </extLst>
    </cfRule>
  </conditionalFormatting>
  <conditionalFormatting sqref="D97:F97">
    <cfRule type="dataBar" priority="89">
      <dataBar>
        <cfvo type="num" val="0"/>
        <cfvo type="num" val="1.5"/>
        <color rgb="FF008AEF"/>
      </dataBar>
      <extLst>
        <ext xmlns:x14="http://schemas.microsoft.com/office/spreadsheetml/2009/9/main" uri="{B025F937-C7B1-47D3-B67F-A62EFF666E3E}">
          <x14:id>{78C49190-8DE7-418F-B0DA-449E8CF8E82B}</x14:id>
        </ext>
      </extLst>
    </cfRule>
  </conditionalFormatting>
  <conditionalFormatting sqref="D98:F98">
    <cfRule type="dataBar" priority="88">
      <dataBar>
        <cfvo type="num" val="0"/>
        <cfvo type="num" val="1.5"/>
        <color rgb="FF008AEF"/>
      </dataBar>
      <extLst>
        <ext xmlns:x14="http://schemas.microsoft.com/office/spreadsheetml/2009/9/main" uri="{B025F937-C7B1-47D3-B67F-A62EFF666E3E}">
          <x14:id>{6118FB3D-EB57-4B7E-978A-57B099DF6ADF}</x14:id>
        </ext>
      </extLst>
    </cfRule>
  </conditionalFormatting>
  <conditionalFormatting sqref="D99:F100">
    <cfRule type="dataBar" priority="86">
      <dataBar>
        <cfvo type="num" val="0"/>
        <cfvo type="num" val="1.5"/>
        <color rgb="FF008AEF"/>
      </dataBar>
      <extLst>
        <ext xmlns:x14="http://schemas.microsoft.com/office/spreadsheetml/2009/9/main" uri="{B025F937-C7B1-47D3-B67F-A62EFF666E3E}">
          <x14:id>{A1974F2A-8DD0-4F85-B255-5C7992B9B262}</x14:id>
        </ext>
      </extLst>
    </cfRule>
  </conditionalFormatting>
  <conditionalFormatting sqref="D102:F102">
    <cfRule type="dataBar" priority="84">
      <dataBar>
        <cfvo type="num" val="0"/>
        <cfvo type="num" val="1.5"/>
        <color rgb="FF008AEF"/>
      </dataBar>
      <extLst>
        <ext xmlns:x14="http://schemas.microsoft.com/office/spreadsheetml/2009/9/main" uri="{B025F937-C7B1-47D3-B67F-A62EFF666E3E}">
          <x14:id>{E9F11B65-CE8C-41F1-9C4B-A2943F097ED4}</x14:id>
        </ext>
      </extLst>
    </cfRule>
  </conditionalFormatting>
  <conditionalFormatting sqref="J31">
    <cfRule type="iconSet" priority="82">
      <iconSet iconSet="3TrafficLights2" showValue="0">
        <cfvo type="percent" val="0"/>
        <cfvo type="num" val="0.6"/>
        <cfvo type="num" val="0.8"/>
      </iconSet>
    </cfRule>
  </conditionalFormatting>
  <conditionalFormatting sqref="K31">
    <cfRule type="iconSet" priority="81">
      <iconSet iconSet="5Arrows" showValue="0">
        <cfvo type="percent" val="0"/>
        <cfvo type="num" val="0.6"/>
        <cfvo type="num" val="0.7"/>
        <cfvo type="num" val="0.8"/>
        <cfvo type="num" val="0.9"/>
      </iconSet>
    </cfRule>
  </conditionalFormatting>
  <conditionalFormatting sqref="M31">
    <cfRule type="iconSet" priority="80">
      <iconSet iconSet="3TrafficLights2" showValue="0">
        <cfvo type="percent" val="0"/>
        <cfvo type="num" val="0.6"/>
        <cfvo type="num" val="0.8"/>
      </iconSet>
    </cfRule>
  </conditionalFormatting>
  <conditionalFormatting sqref="N31">
    <cfRule type="iconSet" priority="79">
      <iconSet iconSet="5Arrows" showValue="0">
        <cfvo type="percent" val="0"/>
        <cfvo type="num" val="0.6"/>
        <cfvo type="num" val="0.7"/>
        <cfvo type="num" val="0.8"/>
        <cfvo type="num" val="0.9"/>
      </iconSet>
    </cfRule>
  </conditionalFormatting>
  <conditionalFormatting sqref="L31">
    <cfRule type="dataBar" priority="78">
      <dataBar>
        <cfvo type="num" val="0"/>
        <cfvo type="num" val="1.1000000000000001"/>
        <color rgb="FF63C384"/>
      </dataBar>
      <extLst>
        <ext xmlns:x14="http://schemas.microsoft.com/office/spreadsheetml/2009/9/main" uri="{B025F937-C7B1-47D3-B67F-A62EFF666E3E}">
          <x14:id>{0F7EB60B-1695-4856-BE39-119CECAC744B}</x14:id>
        </ext>
      </extLst>
    </cfRule>
  </conditionalFormatting>
  <conditionalFormatting sqref="F56 L56 I56">
    <cfRule type="dataBar" priority="71">
      <dataBar>
        <cfvo type="num" val="0"/>
        <cfvo type="num" val="1.1000000000000001"/>
        <color rgb="FF63C384"/>
      </dataBar>
      <extLst>
        <ext xmlns:x14="http://schemas.microsoft.com/office/spreadsheetml/2009/9/main" uri="{B025F937-C7B1-47D3-B67F-A62EFF666E3E}">
          <x14:id>{64065697-1172-4537-9857-109A320711C3}</x14:id>
        </ext>
      </extLst>
    </cfRule>
  </conditionalFormatting>
  <conditionalFormatting sqref="G56">
    <cfRule type="iconSet" priority="72">
      <iconSet iconSet="3TrafficLights2" showValue="0">
        <cfvo type="percent" val="0"/>
        <cfvo type="num" val="0.6"/>
        <cfvo type="num" val="0.8"/>
      </iconSet>
    </cfRule>
  </conditionalFormatting>
  <conditionalFormatting sqref="H56">
    <cfRule type="iconSet" priority="73">
      <iconSet iconSet="5Arrows" showValue="0">
        <cfvo type="percent" val="0"/>
        <cfvo type="num" val="0.6"/>
        <cfvo type="num" val="0.7"/>
        <cfvo type="num" val="0.8"/>
        <cfvo type="num" val="0.9"/>
      </iconSet>
    </cfRule>
  </conditionalFormatting>
  <conditionalFormatting sqref="J56">
    <cfRule type="iconSet" priority="74">
      <iconSet iconSet="3TrafficLights2" showValue="0">
        <cfvo type="percent" val="0"/>
        <cfvo type="num" val="0.6"/>
        <cfvo type="num" val="0.8"/>
      </iconSet>
    </cfRule>
  </conditionalFormatting>
  <conditionalFormatting sqref="K56">
    <cfRule type="iconSet" priority="75">
      <iconSet iconSet="5Arrows" showValue="0">
        <cfvo type="percent" val="0"/>
        <cfvo type="num" val="0.6"/>
        <cfvo type="num" val="0.7"/>
        <cfvo type="num" val="0.8"/>
        <cfvo type="num" val="0.9"/>
      </iconSet>
    </cfRule>
  </conditionalFormatting>
  <conditionalFormatting sqref="M56">
    <cfRule type="iconSet" priority="76">
      <iconSet iconSet="3TrafficLights2" showValue="0">
        <cfvo type="percent" val="0"/>
        <cfvo type="num" val="0.6"/>
        <cfvo type="num" val="0.8"/>
      </iconSet>
    </cfRule>
  </conditionalFormatting>
  <conditionalFormatting sqref="N56">
    <cfRule type="iconSet" priority="77">
      <iconSet iconSet="5Arrows" showValue="0">
        <cfvo type="percent" val="0"/>
        <cfvo type="num" val="0.6"/>
        <cfvo type="num" val="0.7"/>
        <cfvo type="num" val="0.8"/>
        <cfvo type="num" val="0.9"/>
      </iconSet>
    </cfRule>
  </conditionalFormatting>
  <conditionalFormatting sqref="F64 L64 I64">
    <cfRule type="dataBar" priority="64">
      <dataBar>
        <cfvo type="num" val="0"/>
        <cfvo type="num" val="1.1000000000000001"/>
        <color rgb="FF63C384"/>
      </dataBar>
      <extLst>
        <ext xmlns:x14="http://schemas.microsoft.com/office/spreadsheetml/2009/9/main" uri="{B025F937-C7B1-47D3-B67F-A62EFF666E3E}">
          <x14:id>{093D3069-8A47-496F-8607-3E7A54833592}</x14:id>
        </ext>
      </extLst>
    </cfRule>
  </conditionalFormatting>
  <conditionalFormatting sqref="G64">
    <cfRule type="iconSet" priority="65">
      <iconSet iconSet="3TrafficLights2" showValue="0">
        <cfvo type="percent" val="0"/>
        <cfvo type="num" val="0.6"/>
        <cfvo type="num" val="0.8"/>
      </iconSet>
    </cfRule>
  </conditionalFormatting>
  <conditionalFormatting sqref="H64">
    <cfRule type="iconSet" priority="66">
      <iconSet iconSet="5Arrows" showValue="0">
        <cfvo type="percent" val="0"/>
        <cfvo type="num" val="0.6"/>
        <cfvo type="num" val="0.7"/>
        <cfvo type="num" val="0.8"/>
        <cfvo type="num" val="0.9"/>
      </iconSet>
    </cfRule>
  </conditionalFormatting>
  <conditionalFormatting sqref="J64">
    <cfRule type="iconSet" priority="67">
      <iconSet iconSet="3TrafficLights2" showValue="0">
        <cfvo type="percent" val="0"/>
        <cfvo type="num" val="0.6"/>
        <cfvo type="num" val="0.8"/>
      </iconSet>
    </cfRule>
  </conditionalFormatting>
  <conditionalFormatting sqref="K64">
    <cfRule type="iconSet" priority="68">
      <iconSet iconSet="5Arrows" showValue="0">
        <cfvo type="percent" val="0"/>
        <cfvo type="num" val="0.6"/>
        <cfvo type="num" val="0.7"/>
        <cfvo type="num" val="0.8"/>
        <cfvo type="num" val="0.9"/>
      </iconSet>
    </cfRule>
  </conditionalFormatting>
  <conditionalFormatting sqref="M64">
    <cfRule type="iconSet" priority="69">
      <iconSet iconSet="3TrafficLights2" showValue="0">
        <cfvo type="percent" val="0"/>
        <cfvo type="num" val="0.6"/>
        <cfvo type="num" val="0.8"/>
      </iconSet>
    </cfRule>
  </conditionalFormatting>
  <conditionalFormatting sqref="N64">
    <cfRule type="iconSet" priority="70">
      <iconSet iconSet="5Arrows" showValue="0">
        <cfvo type="percent" val="0"/>
        <cfvo type="num" val="0.6"/>
        <cfvo type="num" val="0.7"/>
        <cfvo type="num" val="0.8"/>
        <cfvo type="num" val="0.9"/>
      </iconSet>
    </cfRule>
  </conditionalFormatting>
  <conditionalFormatting sqref="I65:I68 L65:L68 F65:F68">
    <cfRule type="dataBar" priority="57">
      <dataBar>
        <cfvo type="num" val="0"/>
        <cfvo type="num" val="1.1000000000000001"/>
        <color rgb="FF63C384"/>
      </dataBar>
      <extLst>
        <ext xmlns:x14="http://schemas.microsoft.com/office/spreadsheetml/2009/9/main" uri="{B025F937-C7B1-47D3-B67F-A62EFF666E3E}">
          <x14:id>{CB792554-4B68-4EA7-A4AE-5EFCBBE288B0}</x14:id>
        </ext>
      </extLst>
    </cfRule>
  </conditionalFormatting>
  <conditionalFormatting sqref="G65:G68">
    <cfRule type="iconSet" priority="58">
      <iconSet iconSet="3TrafficLights2" showValue="0">
        <cfvo type="percent" val="0"/>
        <cfvo type="num" val="0.6"/>
        <cfvo type="num" val="0.8"/>
      </iconSet>
    </cfRule>
  </conditionalFormatting>
  <conditionalFormatting sqref="H65:H68">
    <cfRule type="iconSet" priority="59">
      <iconSet iconSet="5Arrows" showValue="0">
        <cfvo type="percent" val="0"/>
        <cfvo type="num" val="0.6"/>
        <cfvo type="num" val="0.7"/>
        <cfvo type="num" val="0.8"/>
        <cfvo type="num" val="0.9"/>
      </iconSet>
    </cfRule>
  </conditionalFormatting>
  <conditionalFormatting sqref="J65:J68">
    <cfRule type="iconSet" priority="60">
      <iconSet iconSet="3TrafficLights2" showValue="0">
        <cfvo type="percent" val="0"/>
        <cfvo type="num" val="0.6"/>
        <cfvo type="num" val="0.8"/>
      </iconSet>
    </cfRule>
  </conditionalFormatting>
  <conditionalFormatting sqref="K65:K68">
    <cfRule type="iconSet" priority="61">
      <iconSet iconSet="5Arrows" showValue="0">
        <cfvo type="percent" val="0"/>
        <cfvo type="num" val="0.6"/>
        <cfvo type="num" val="0.7"/>
        <cfvo type="num" val="0.8"/>
        <cfvo type="num" val="0.9"/>
      </iconSet>
    </cfRule>
  </conditionalFormatting>
  <conditionalFormatting sqref="M65:M68">
    <cfRule type="iconSet" priority="62">
      <iconSet iconSet="3TrafficLights2" showValue="0">
        <cfvo type="percent" val="0"/>
        <cfvo type="num" val="0.6"/>
        <cfvo type="num" val="0.8"/>
      </iconSet>
    </cfRule>
  </conditionalFormatting>
  <conditionalFormatting sqref="N65:N68">
    <cfRule type="iconSet" priority="63">
      <iconSet iconSet="5Arrows" showValue="0">
        <cfvo type="percent" val="0"/>
        <cfvo type="num" val="0.6"/>
        <cfvo type="num" val="0.7"/>
        <cfvo type="num" val="0.8"/>
        <cfvo type="num" val="0.9"/>
      </iconSet>
    </cfRule>
  </conditionalFormatting>
  <conditionalFormatting sqref="G69 G57 G75 G72:G73 G50:G55 G61:G63 G59">
    <cfRule type="iconSet" priority="333">
      <iconSet iconSet="3TrafficLights2" showValue="0">
        <cfvo type="percent" val="0"/>
        <cfvo type="num" val="0.6"/>
        <cfvo type="num" val="0.8"/>
      </iconSet>
    </cfRule>
  </conditionalFormatting>
  <conditionalFormatting sqref="H69 H57 H75 H72:H73 H50:H55 H61:H63 H59">
    <cfRule type="iconSet" priority="336">
      <iconSet iconSet="5Arrows" showValue="0">
        <cfvo type="percent" val="0"/>
        <cfvo type="num" val="0.6"/>
        <cfvo type="num" val="0.7"/>
        <cfvo type="num" val="0.8"/>
        <cfvo type="num" val="0.9"/>
      </iconSet>
    </cfRule>
  </conditionalFormatting>
  <conditionalFormatting sqref="J69 J57 J75 J72:J73 J50:J55 J61:J63 J59">
    <cfRule type="iconSet" priority="339">
      <iconSet iconSet="3TrafficLights2" showValue="0">
        <cfvo type="percent" val="0"/>
        <cfvo type="num" val="0.6"/>
        <cfvo type="num" val="0.8"/>
      </iconSet>
    </cfRule>
  </conditionalFormatting>
  <conditionalFormatting sqref="K69 K57 K75 K72:K73 K50:K55 K61:K63 K59">
    <cfRule type="iconSet" priority="342">
      <iconSet iconSet="5Arrows" showValue="0">
        <cfvo type="percent" val="0"/>
        <cfvo type="num" val="0.6"/>
        <cfvo type="num" val="0.7"/>
        <cfvo type="num" val="0.8"/>
        <cfvo type="num" val="0.9"/>
      </iconSet>
    </cfRule>
  </conditionalFormatting>
  <conditionalFormatting sqref="M69 M57 M75 M72:M73 M50:M55 M61:M63 M59">
    <cfRule type="iconSet" priority="345">
      <iconSet iconSet="3TrafficLights2" showValue="0">
        <cfvo type="percent" val="0"/>
        <cfvo type="num" val="0.6"/>
        <cfvo type="num" val="0.8"/>
      </iconSet>
    </cfRule>
  </conditionalFormatting>
  <conditionalFormatting sqref="N69 N57 N75 N72:N73 N50:N55 N61:N63 N59">
    <cfRule type="iconSet" priority="348">
      <iconSet iconSet="5Arrows" showValue="0">
        <cfvo type="percent" val="0"/>
        <cfvo type="num" val="0.6"/>
        <cfvo type="num" val="0.7"/>
        <cfvo type="num" val="0.8"/>
        <cfvo type="num" val="0.9"/>
      </iconSet>
    </cfRule>
  </conditionalFormatting>
  <conditionalFormatting sqref="I74 L74 F74">
    <cfRule type="dataBar" priority="50">
      <dataBar>
        <cfvo type="num" val="0"/>
        <cfvo type="num" val="1.1000000000000001"/>
        <color rgb="FF63C384"/>
      </dataBar>
      <extLst>
        <ext xmlns:x14="http://schemas.microsoft.com/office/spreadsheetml/2009/9/main" uri="{B025F937-C7B1-47D3-B67F-A62EFF666E3E}">
          <x14:id>{CE860472-634E-4FA5-9B05-35CC8D58F3CB}</x14:id>
        </ext>
      </extLst>
    </cfRule>
  </conditionalFormatting>
  <conditionalFormatting sqref="G74">
    <cfRule type="iconSet" priority="51">
      <iconSet iconSet="3TrafficLights2" showValue="0">
        <cfvo type="percent" val="0"/>
        <cfvo type="num" val="0.6"/>
        <cfvo type="num" val="0.8"/>
      </iconSet>
    </cfRule>
  </conditionalFormatting>
  <conditionalFormatting sqref="H74">
    <cfRule type="iconSet" priority="52">
      <iconSet iconSet="5Arrows" showValue="0">
        <cfvo type="percent" val="0"/>
        <cfvo type="num" val="0.6"/>
        <cfvo type="num" val="0.7"/>
        <cfvo type="num" val="0.8"/>
        <cfvo type="num" val="0.9"/>
      </iconSet>
    </cfRule>
  </conditionalFormatting>
  <conditionalFormatting sqref="J74">
    <cfRule type="iconSet" priority="53">
      <iconSet iconSet="3TrafficLights2" showValue="0">
        <cfvo type="percent" val="0"/>
        <cfvo type="num" val="0.6"/>
        <cfvo type="num" val="0.8"/>
      </iconSet>
    </cfRule>
  </conditionalFormatting>
  <conditionalFormatting sqref="K74">
    <cfRule type="iconSet" priority="54">
      <iconSet iconSet="5Arrows" showValue="0">
        <cfvo type="percent" val="0"/>
        <cfvo type="num" val="0.6"/>
        <cfvo type="num" val="0.7"/>
        <cfvo type="num" val="0.8"/>
        <cfvo type="num" val="0.9"/>
      </iconSet>
    </cfRule>
  </conditionalFormatting>
  <conditionalFormatting sqref="M74">
    <cfRule type="iconSet" priority="55">
      <iconSet iconSet="3TrafficLights2" showValue="0">
        <cfvo type="percent" val="0"/>
        <cfvo type="num" val="0.6"/>
        <cfvo type="num" val="0.8"/>
      </iconSet>
    </cfRule>
  </conditionalFormatting>
  <conditionalFormatting sqref="N74">
    <cfRule type="iconSet" priority="56">
      <iconSet iconSet="5Arrows" showValue="0">
        <cfvo type="percent" val="0"/>
        <cfvo type="num" val="0.6"/>
        <cfvo type="num" val="0.7"/>
        <cfvo type="num" val="0.8"/>
        <cfvo type="num" val="0.9"/>
      </iconSet>
    </cfRule>
  </conditionalFormatting>
  <conditionalFormatting sqref="F71 L71 I71">
    <cfRule type="dataBar" priority="36">
      <dataBar>
        <cfvo type="num" val="0"/>
        <cfvo type="num" val="1.1000000000000001"/>
        <color rgb="FF63C384"/>
      </dataBar>
      <extLst>
        <ext xmlns:x14="http://schemas.microsoft.com/office/spreadsheetml/2009/9/main" uri="{B025F937-C7B1-47D3-B67F-A62EFF666E3E}">
          <x14:id>{DC6F8BBF-60C1-48C9-8357-3867CF6404E2}</x14:id>
        </ext>
      </extLst>
    </cfRule>
  </conditionalFormatting>
  <conditionalFormatting sqref="G71">
    <cfRule type="iconSet" priority="37">
      <iconSet iconSet="3TrafficLights2" showValue="0">
        <cfvo type="percent" val="0"/>
        <cfvo type="num" val="0.6"/>
        <cfvo type="num" val="0.8"/>
      </iconSet>
    </cfRule>
  </conditionalFormatting>
  <conditionalFormatting sqref="H71">
    <cfRule type="iconSet" priority="38">
      <iconSet iconSet="5Arrows" showValue="0">
        <cfvo type="percent" val="0"/>
        <cfvo type="num" val="0.6"/>
        <cfvo type="num" val="0.7"/>
        <cfvo type="num" val="0.8"/>
        <cfvo type="num" val="0.9"/>
      </iconSet>
    </cfRule>
  </conditionalFormatting>
  <conditionalFormatting sqref="J71">
    <cfRule type="iconSet" priority="39">
      <iconSet iconSet="3TrafficLights2" showValue="0">
        <cfvo type="percent" val="0"/>
        <cfvo type="num" val="0.6"/>
        <cfvo type="num" val="0.8"/>
      </iconSet>
    </cfRule>
  </conditionalFormatting>
  <conditionalFormatting sqref="K71">
    <cfRule type="iconSet" priority="40">
      <iconSet iconSet="5Arrows" showValue="0">
        <cfvo type="percent" val="0"/>
        <cfvo type="num" val="0.6"/>
        <cfvo type="num" val="0.7"/>
        <cfvo type="num" val="0.8"/>
        <cfvo type="num" val="0.9"/>
      </iconSet>
    </cfRule>
  </conditionalFormatting>
  <conditionalFormatting sqref="M71">
    <cfRule type="iconSet" priority="41">
      <iconSet iconSet="3TrafficLights2" showValue="0">
        <cfvo type="percent" val="0"/>
        <cfvo type="num" val="0.6"/>
        <cfvo type="num" val="0.8"/>
      </iconSet>
    </cfRule>
  </conditionalFormatting>
  <conditionalFormatting sqref="N71">
    <cfRule type="iconSet" priority="42">
      <iconSet iconSet="5Arrows" showValue="0">
        <cfvo type="percent" val="0"/>
        <cfvo type="num" val="0.6"/>
        <cfvo type="num" val="0.7"/>
        <cfvo type="num" val="0.8"/>
        <cfvo type="num" val="0.9"/>
      </iconSet>
    </cfRule>
  </conditionalFormatting>
  <conditionalFormatting sqref="D105:F105">
    <cfRule type="dataBar" priority="35">
      <dataBar>
        <cfvo type="num" val="0"/>
        <cfvo type="num" val="1.5"/>
        <color rgb="FF008AEF"/>
      </dataBar>
      <extLst>
        <ext xmlns:x14="http://schemas.microsoft.com/office/spreadsheetml/2009/9/main" uri="{B025F937-C7B1-47D3-B67F-A62EFF666E3E}">
          <x14:id>{C4BDB4EF-07D8-4452-871E-6B0F429F22C0}</x14:id>
        </ext>
      </extLst>
    </cfRule>
  </conditionalFormatting>
  <conditionalFormatting sqref="D108:F108">
    <cfRule type="dataBar" priority="34">
      <dataBar>
        <cfvo type="num" val="0"/>
        <cfvo type="num" val="1.5"/>
        <color rgb="FF008AEF"/>
      </dataBar>
      <extLst>
        <ext xmlns:x14="http://schemas.microsoft.com/office/spreadsheetml/2009/9/main" uri="{B025F937-C7B1-47D3-B67F-A62EFF666E3E}">
          <x14:id>{D56E25AA-51BB-4DF0-A948-05A40BB8B030}</x14:id>
        </ext>
      </extLst>
    </cfRule>
  </conditionalFormatting>
  <conditionalFormatting sqref="H86:H91">
    <cfRule type="dataBar" priority="33">
      <dataBar>
        <cfvo type="num" val="0"/>
        <cfvo type="num" val="1.5"/>
        <color rgb="FF008AEF"/>
      </dataBar>
      <extLst>
        <ext xmlns:x14="http://schemas.microsoft.com/office/spreadsheetml/2009/9/main" uri="{B025F937-C7B1-47D3-B67F-A62EFF666E3E}">
          <x14:id>{43C4C551-C6DE-4CE6-8FD2-94050AEE34CB}</x14:id>
        </ext>
      </extLst>
    </cfRule>
  </conditionalFormatting>
  <conditionalFormatting sqref="H97:H99">
    <cfRule type="dataBar" priority="32">
      <dataBar>
        <cfvo type="num" val="0"/>
        <cfvo type="num" val="1.5"/>
        <color rgb="FF008AEF"/>
      </dataBar>
      <extLst>
        <ext xmlns:x14="http://schemas.microsoft.com/office/spreadsheetml/2009/9/main" uri="{B025F937-C7B1-47D3-B67F-A62EFF666E3E}">
          <x14:id>{0A100300-0A5B-4DE0-A41C-18FC6792FB2A}</x14:id>
        </ext>
      </extLst>
    </cfRule>
  </conditionalFormatting>
  <conditionalFormatting sqref="H102">
    <cfRule type="dataBar" priority="31">
      <dataBar>
        <cfvo type="num" val="0"/>
        <cfvo type="num" val="1.5"/>
        <color rgb="FF008AEF"/>
      </dataBar>
      <extLst>
        <ext xmlns:x14="http://schemas.microsoft.com/office/spreadsheetml/2009/9/main" uri="{B025F937-C7B1-47D3-B67F-A62EFF666E3E}">
          <x14:id>{CBE6728A-F9E5-46B3-BEB1-D47FE1140BB6}</x14:id>
        </ext>
      </extLst>
    </cfRule>
  </conditionalFormatting>
  <conditionalFormatting sqref="I60 L60 F60">
    <cfRule type="dataBar" priority="24">
      <dataBar>
        <cfvo type="num" val="0"/>
        <cfvo type="num" val="1.1000000000000001"/>
        <color rgb="FF63C384"/>
      </dataBar>
      <extLst>
        <ext xmlns:x14="http://schemas.microsoft.com/office/spreadsheetml/2009/9/main" uri="{B025F937-C7B1-47D3-B67F-A62EFF666E3E}">
          <x14:id>{B59473DF-8FDA-4B67-8AA7-704706A31EEB}</x14:id>
        </ext>
      </extLst>
    </cfRule>
  </conditionalFormatting>
  <conditionalFormatting sqref="G60">
    <cfRule type="iconSet" priority="25">
      <iconSet iconSet="3TrafficLights2" showValue="0">
        <cfvo type="percent" val="0"/>
        <cfvo type="num" val="0.6"/>
        <cfvo type="num" val="0.8"/>
      </iconSet>
    </cfRule>
  </conditionalFormatting>
  <conditionalFormatting sqref="H60">
    <cfRule type="iconSet" priority="26">
      <iconSet iconSet="5Arrows" showValue="0">
        <cfvo type="percent" val="0"/>
        <cfvo type="num" val="0.6"/>
        <cfvo type="num" val="0.7"/>
        <cfvo type="num" val="0.8"/>
        <cfvo type="num" val="0.9"/>
      </iconSet>
    </cfRule>
  </conditionalFormatting>
  <conditionalFormatting sqref="J60">
    <cfRule type="iconSet" priority="27">
      <iconSet iconSet="3TrafficLights2" showValue="0">
        <cfvo type="percent" val="0"/>
        <cfvo type="num" val="0.6"/>
        <cfvo type="num" val="0.8"/>
      </iconSet>
    </cfRule>
  </conditionalFormatting>
  <conditionalFormatting sqref="K60">
    <cfRule type="iconSet" priority="28">
      <iconSet iconSet="5Arrows" showValue="0">
        <cfvo type="percent" val="0"/>
        <cfvo type="num" val="0.6"/>
        <cfvo type="num" val="0.7"/>
        <cfvo type="num" val="0.8"/>
        <cfvo type="num" val="0.9"/>
      </iconSet>
    </cfRule>
  </conditionalFormatting>
  <conditionalFormatting sqref="M60">
    <cfRule type="iconSet" priority="29">
      <iconSet iconSet="3TrafficLights2" showValue="0">
        <cfvo type="percent" val="0"/>
        <cfvo type="num" val="0.6"/>
        <cfvo type="num" val="0.8"/>
      </iconSet>
    </cfRule>
  </conditionalFormatting>
  <conditionalFormatting sqref="N60">
    <cfRule type="iconSet" priority="30">
      <iconSet iconSet="5Arrows" showValue="0">
        <cfvo type="percent" val="0"/>
        <cfvo type="num" val="0.6"/>
        <cfvo type="num" val="0.7"/>
        <cfvo type="num" val="0.8"/>
        <cfvo type="num" val="0.9"/>
      </iconSet>
    </cfRule>
  </conditionalFormatting>
  <conditionalFormatting sqref="G42">
    <cfRule type="iconSet" priority="23">
      <iconSet iconSet="3TrafficLights2" showValue="0">
        <cfvo type="percent" val="0"/>
        <cfvo type="num" val="0.6"/>
        <cfvo type="num" val="0.8"/>
      </iconSet>
    </cfRule>
  </conditionalFormatting>
  <conditionalFormatting sqref="H42">
    <cfRule type="iconSet" priority="22">
      <iconSet iconSet="5Arrows" showValue="0">
        <cfvo type="percent" val="0"/>
        <cfvo type="num" val="0.6"/>
        <cfvo type="num" val="0.7"/>
        <cfvo type="num" val="0.8"/>
        <cfvo type="num" val="0.9"/>
      </iconSet>
    </cfRule>
  </conditionalFormatting>
  <conditionalFormatting sqref="F42">
    <cfRule type="dataBar" priority="21">
      <dataBar>
        <cfvo type="num" val="0"/>
        <cfvo type="num" val="1.1000000000000001"/>
        <color rgb="FF63C384"/>
      </dataBar>
      <extLst>
        <ext xmlns:x14="http://schemas.microsoft.com/office/spreadsheetml/2009/9/main" uri="{B025F937-C7B1-47D3-B67F-A62EFF666E3E}">
          <x14:id>{B896D857-962E-46FD-94C5-7365DFA0AB51}</x14:id>
        </ext>
      </extLst>
    </cfRule>
  </conditionalFormatting>
  <conditionalFormatting sqref="J42">
    <cfRule type="iconSet" priority="20">
      <iconSet iconSet="3TrafficLights2" showValue="0">
        <cfvo type="percent" val="0"/>
        <cfvo type="num" val="0.6"/>
        <cfvo type="num" val="0.8"/>
      </iconSet>
    </cfRule>
  </conditionalFormatting>
  <conditionalFormatting sqref="K42">
    <cfRule type="iconSet" priority="19">
      <iconSet iconSet="5Arrows" showValue="0">
        <cfvo type="percent" val="0"/>
        <cfvo type="num" val="0.6"/>
        <cfvo type="num" val="0.7"/>
        <cfvo type="num" val="0.8"/>
        <cfvo type="num" val="0.9"/>
      </iconSet>
    </cfRule>
  </conditionalFormatting>
  <conditionalFormatting sqref="I42">
    <cfRule type="dataBar" priority="18">
      <dataBar>
        <cfvo type="num" val="0"/>
        <cfvo type="num" val="1.1000000000000001"/>
        <color rgb="FF63C384"/>
      </dataBar>
      <extLst>
        <ext xmlns:x14="http://schemas.microsoft.com/office/spreadsheetml/2009/9/main" uri="{B025F937-C7B1-47D3-B67F-A62EFF666E3E}">
          <x14:id>{AE6B9706-542C-46E8-9393-1843D038274D}</x14:id>
        </ext>
      </extLst>
    </cfRule>
  </conditionalFormatting>
  <conditionalFormatting sqref="M42">
    <cfRule type="iconSet" priority="17">
      <iconSet iconSet="3TrafficLights2" showValue="0">
        <cfvo type="percent" val="0"/>
        <cfvo type="num" val="0.6"/>
        <cfvo type="num" val="0.8"/>
      </iconSet>
    </cfRule>
  </conditionalFormatting>
  <conditionalFormatting sqref="N42">
    <cfRule type="iconSet" priority="16">
      <iconSet iconSet="5Arrows" showValue="0">
        <cfvo type="percent" val="0"/>
        <cfvo type="num" val="0.6"/>
        <cfvo type="num" val="0.7"/>
        <cfvo type="num" val="0.8"/>
        <cfvo type="num" val="0.9"/>
      </iconSet>
    </cfRule>
  </conditionalFormatting>
  <conditionalFormatting sqref="L42">
    <cfRule type="dataBar" priority="15">
      <dataBar>
        <cfvo type="num" val="0"/>
        <cfvo type="num" val="1.1000000000000001"/>
        <color rgb="FF63C384"/>
      </dataBar>
      <extLst>
        <ext xmlns:x14="http://schemas.microsoft.com/office/spreadsheetml/2009/9/main" uri="{B025F937-C7B1-47D3-B67F-A62EFF666E3E}">
          <x14:id>{4501828D-0AE2-4DA3-AB43-B53A8C2D1DBC}</x14:id>
        </ext>
      </extLst>
    </cfRule>
  </conditionalFormatting>
  <conditionalFormatting sqref="I58 L58 F58">
    <cfRule type="dataBar" priority="8">
      <dataBar>
        <cfvo type="num" val="0"/>
        <cfvo type="num" val="1.1000000000000001"/>
        <color rgb="FF63C384"/>
      </dataBar>
      <extLst>
        <ext xmlns:x14="http://schemas.microsoft.com/office/spreadsheetml/2009/9/main" uri="{B025F937-C7B1-47D3-B67F-A62EFF666E3E}">
          <x14:id>{20CE2AF2-B5E4-4FB0-A51B-11E4FB00526D}</x14:id>
        </ext>
      </extLst>
    </cfRule>
  </conditionalFormatting>
  <conditionalFormatting sqref="G58">
    <cfRule type="iconSet" priority="9">
      <iconSet iconSet="3TrafficLights2" showValue="0">
        <cfvo type="percent" val="0"/>
        <cfvo type="num" val="0.6"/>
        <cfvo type="num" val="0.8"/>
      </iconSet>
    </cfRule>
  </conditionalFormatting>
  <conditionalFormatting sqref="H58">
    <cfRule type="iconSet" priority="10">
      <iconSet iconSet="5Arrows" showValue="0">
        <cfvo type="percent" val="0"/>
        <cfvo type="num" val="0.6"/>
        <cfvo type="num" val="0.7"/>
        <cfvo type="num" val="0.8"/>
        <cfvo type="num" val="0.9"/>
      </iconSet>
    </cfRule>
  </conditionalFormatting>
  <conditionalFormatting sqref="J58">
    <cfRule type="iconSet" priority="11">
      <iconSet iconSet="3TrafficLights2" showValue="0">
        <cfvo type="percent" val="0"/>
        <cfvo type="num" val="0.6"/>
        <cfvo type="num" val="0.8"/>
      </iconSet>
    </cfRule>
  </conditionalFormatting>
  <conditionalFormatting sqref="K58">
    <cfRule type="iconSet" priority="12">
      <iconSet iconSet="5Arrows" showValue="0">
        <cfvo type="percent" val="0"/>
        <cfvo type="num" val="0.6"/>
        <cfvo type="num" val="0.7"/>
        <cfvo type="num" val="0.8"/>
        <cfvo type="num" val="0.9"/>
      </iconSet>
    </cfRule>
  </conditionalFormatting>
  <conditionalFormatting sqref="M58">
    <cfRule type="iconSet" priority="13">
      <iconSet iconSet="3TrafficLights2" showValue="0">
        <cfvo type="percent" val="0"/>
        <cfvo type="num" val="0.6"/>
        <cfvo type="num" val="0.8"/>
      </iconSet>
    </cfRule>
  </conditionalFormatting>
  <conditionalFormatting sqref="N58">
    <cfRule type="iconSet" priority="14">
      <iconSet iconSet="5Arrows" showValue="0">
        <cfvo type="percent" val="0"/>
        <cfvo type="num" val="0.6"/>
        <cfvo type="num" val="0.7"/>
        <cfvo type="num" val="0.8"/>
        <cfvo type="num" val="0.9"/>
      </iconSet>
    </cfRule>
  </conditionalFormatting>
  <conditionalFormatting sqref="I70 L70 F70">
    <cfRule type="dataBar" priority="1">
      <dataBar>
        <cfvo type="num" val="0"/>
        <cfvo type="num" val="1.1000000000000001"/>
        <color rgb="FF63C384"/>
      </dataBar>
      <extLst>
        <ext xmlns:x14="http://schemas.microsoft.com/office/spreadsheetml/2009/9/main" uri="{B025F937-C7B1-47D3-B67F-A62EFF666E3E}">
          <x14:id>{CCF61EAC-9321-44E7-AE36-2FB62FBF1ABA}</x14:id>
        </ext>
      </extLst>
    </cfRule>
  </conditionalFormatting>
  <conditionalFormatting sqref="G70">
    <cfRule type="iconSet" priority="2">
      <iconSet iconSet="3TrafficLights2" showValue="0">
        <cfvo type="percent" val="0"/>
        <cfvo type="num" val="0.6"/>
        <cfvo type="num" val="0.8"/>
      </iconSet>
    </cfRule>
  </conditionalFormatting>
  <conditionalFormatting sqref="H70">
    <cfRule type="iconSet" priority="3">
      <iconSet iconSet="5Arrows" showValue="0">
        <cfvo type="percent" val="0"/>
        <cfvo type="num" val="0.6"/>
        <cfvo type="num" val="0.7"/>
        <cfvo type="num" val="0.8"/>
        <cfvo type="num" val="0.9"/>
      </iconSet>
    </cfRule>
  </conditionalFormatting>
  <conditionalFormatting sqref="J70">
    <cfRule type="iconSet" priority="4">
      <iconSet iconSet="3TrafficLights2" showValue="0">
        <cfvo type="percent" val="0"/>
        <cfvo type="num" val="0.6"/>
        <cfvo type="num" val="0.8"/>
      </iconSet>
    </cfRule>
  </conditionalFormatting>
  <conditionalFormatting sqref="K70">
    <cfRule type="iconSet" priority="5">
      <iconSet iconSet="5Arrows" showValue="0">
        <cfvo type="percent" val="0"/>
        <cfvo type="num" val="0.6"/>
        <cfvo type="num" val="0.7"/>
        <cfvo type="num" val="0.8"/>
        <cfvo type="num" val="0.9"/>
      </iconSet>
    </cfRule>
  </conditionalFormatting>
  <conditionalFormatting sqref="M70">
    <cfRule type="iconSet" priority="6">
      <iconSet iconSet="3TrafficLights2" showValue="0">
        <cfvo type="percent" val="0"/>
        <cfvo type="num" val="0.6"/>
        <cfvo type="num" val="0.8"/>
      </iconSet>
    </cfRule>
  </conditionalFormatting>
  <conditionalFormatting sqref="N70">
    <cfRule type="iconSet" priority="7">
      <iconSet iconSet="5Arrows" showValue="0">
        <cfvo type="percent" val="0"/>
        <cfvo type="num" val="0.6"/>
        <cfvo type="num" val="0.7"/>
        <cfvo type="num" val="0.8"/>
        <cfvo type="num" val="0.9"/>
      </iconSe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E2447B98-D96C-4E51-8249-6DAFFA072E9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F6 I57 L57 F57 I69 L69 F69 F75 L75 I75 F72:F73 L72:L73 I72:I73 F50:F55 L50:L55 I50:I55 F61:F63 L61:L63 I61:I63 F59 L59 I59</xm:sqref>
        </x14:conditionalFormatting>
        <x14:conditionalFormatting xmlns:xm="http://schemas.microsoft.com/office/excel/2006/main">
          <x14:cfRule type="dataBar" id="{C2D532E5-1B7C-480C-922C-653A82A2DDF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I6</xm:sqref>
        </x14:conditionalFormatting>
        <x14:conditionalFormatting xmlns:xm="http://schemas.microsoft.com/office/excel/2006/main">
          <x14:cfRule type="dataBar" id="{9A5EDCC3-08C0-4FA7-B8DE-5928750D729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L6</xm:sqref>
        </x14:conditionalFormatting>
        <x14:conditionalFormatting xmlns:xm="http://schemas.microsoft.com/office/excel/2006/main">
          <x14:cfRule type="dataBar" id="{A0239914-0CEE-4CCB-8399-5F6FE19EFCC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xm:sqref>
        </x14:conditionalFormatting>
        <x14:conditionalFormatting xmlns:xm="http://schemas.microsoft.com/office/excel/2006/main">
          <x14:cfRule type="dataBar" id="{0DFE4C40-C3FC-447C-86F9-479B60F27E9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xm:sqref>
        </x14:conditionalFormatting>
        <x14:conditionalFormatting xmlns:xm="http://schemas.microsoft.com/office/excel/2006/main">
          <x14:cfRule type="dataBar" id="{1F72F77C-72DD-4DC0-993A-4A62562778B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L7</xm:sqref>
        </x14:conditionalFormatting>
        <x14:conditionalFormatting xmlns:xm="http://schemas.microsoft.com/office/excel/2006/main">
          <x14:cfRule type="dataBar" id="{13929A6E-DD03-4D35-A383-37858081BB3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F8</xm:sqref>
        </x14:conditionalFormatting>
        <x14:conditionalFormatting xmlns:xm="http://schemas.microsoft.com/office/excel/2006/main">
          <x14:cfRule type="dataBar" id="{ADCEFA98-11A3-4CF8-800F-04F593269AA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I8</xm:sqref>
        </x14:conditionalFormatting>
        <x14:conditionalFormatting xmlns:xm="http://schemas.microsoft.com/office/excel/2006/main">
          <x14:cfRule type="dataBar" id="{29C8DEB2-2279-4B4B-8012-95D88698D96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L8</xm:sqref>
        </x14:conditionalFormatting>
        <x14:conditionalFormatting xmlns:xm="http://schemas.microsoft.com/office/excel/2006/main">
          <x14:cfRule type="dataBar" id="{7B2A6733-42DB-44AD-8430-521F8F345BA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F9</xm:sqref>
        </x14:conditionalFormatting>
        <x14:conditionalFormatting xmlns:xm="http://schemas.microsoft.com/office/excel/2006/main">
          <x14:cfRule type="dataBar" id="{A3F17A18-4E05-438E-8EF4-50AAF9B580D4}">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I9</xm:sqref>
        </x14:conditionalFormatting>
        <x14:conditionalFormatting xmlns:xm="http://schemas.microsoft.com/office/excel/2006/main">
          <x14:cfRule type="dataBar" id="{557B1B9F-9C4D-4319-97DA-3DF66C37348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L9</xm:sqref>
        </x14:conditionalFormatting>
        <x14:conditionalFormatting xmlns:xm="http://schemas.microsoft.com/office/excel/2006/main">
          <x14:cfRule type="dataBar" id="{BB8F1DA8-7544-4342-8388-49BBDB34CFD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F11:F12</xm:sqref>
        </x14:conditionalFormatting>
        <x14:conditionalFormatting xmlns:xm="http://schemas.microsoft.com/office/excel/2006/main">
          <x14:cfRule type="dataBar" id="{A117401D-49CC-4479-8BA4-E600E570CC5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I11:I12</xm:sqref>
        </x14:conditionalFormatting>
        <x14:conditionalFormatting xmlns:xm="http://schemas.microsoft.com/office/excel/2006/main">
          <x14:cfRule type="dataBar" id="{49C7012A-B31E-4ADF-A374-6EB241CE7B3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L11:L12</xm:sqref>
        </x14:conditionalFormatting>
        <x14:conditionalFormatting xmlns:xm="http://schemas.microsoft.com/office/excel/2006/main">
          <x14:cfRule type="dataBar" id="{5D445730-5BAE-4FF4-B27D-003A7E69232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F16</xm:sqref>
        </x14:conditionalFormatting>
        <x14:conditionalFormatting xmlns:xm="http://schemas.microsoft.com/office/excel/2006/main">
          <x14:cfRule type="dataBar" id="{22BCA6FB-9E3D-4931-BF3B-E25CAA97205F}">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I16</xm:sqref>
        </x14:conditionalFormatting>
        <x14:conditionalFormatting xmlns:xm="http://schemas.microsoft.com/office/excel/2006/main">
          <x14:cfRule type="dataBar" id="{1F5A34CA-A96C-4E32-B605-0843192CB974}">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L16</xm:sqref>
        </x14:conditionalFormatting>
        <x14:conditionalFormatting xmlns:xm="http://schemas.microsoft.com/office/excel/2006/main">
          <x14:cfRule type="dataBar" id="{C015A28D-284E-406F-9744-D03494B2681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F17</xm:sqref>
        </x14:conditionalFormatting>
        <x14:conditionalFormatting xmlns:xm="http://schemas.microsoft.com/office/excel/2006/main">
          <x14:cfRule type="dataBar" id="{F9996B71-F08A-40BC-8D77-899BF90824E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I17</xm:sqref>
        </x14:conditionalFormatting>
        <x14:conditionalFormatting xmlns:xm="http://schemas.microsoft.com/office/excel/2006/main">
          <x14:cfRule type="dataBar" id="{8C85687A-4D22-4099-8DB2-88652B14912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L17</xm:sqref>
        </x14:conditionalFormatting>
        <x14:conditionalFormatting xmlns:xm="http://schemas.microsoft.com/office/excel/2006/main">
          <x14:cfRule type="dataBar" id="{C592FB22-FC49-4065-87E1-5E1C75E91DA3}">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F18</xm:sqref>
        </x14:conditionalFormatting>
        <x14:conditionalFormatting xmlns:xm="http://schemas.microsoft.com/office/excel/2006/main">
          <x14:cfRule type="dataBar" id="{2925FAC5-3E9D-4292-9232-77D98F087C2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I18</xm:sqref>
        </x14:conditionalFormatting>
        <x14:conditionalFormatting xmlns:xm="http://schemas.microsoft.com/office/excel/2006/main">
          <x14:cfRule type="dataBar" id="{9C64AF3F-84DB-4D7C-8F47-070144B41CA4}">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L18</xm:sqref>
        </x14:conditionalFormatting>
        <x14:conditionalFormatting xmlns:xm="http://schemas.microsoft.com/office/excel/2006/main">
          <x14:cfRule type="dataBar" id="{85B379C4-7010-4194-949E-8F54164F35E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F19</xm:sqref>
        </x14:conditionalFormatting>
        <x14:conditionalFormatting xmlns:xm="http://schemas.microsoft.com/office/excel/2006/main">
          <x14:cfRule type="dataBar" id="{9375FE6C-4B11-42F8-8624-9924B1C9E46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I19</xm:sqref>
        </x14:conditionalFormatting>
        <x14:conditionalFormatting xmlns:xm="http://schemas.microsoft.com/office/excel/2006/main">
          <x14:cfRule type="dataBar" id="{6B043F20-4D07-412E-9DC1-66E7C1D144F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L19</xm:sqref>
        </x14:conditionalFormatting>
        <x14:conditionalFormatting xmlns:xm="http://schemas.microsoft.com/office/excel/2006/main">
          <x14:cfRule type="dataBar" id="{9F289604-01B5-469F-98F1-645A4C7AE84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F21</xm:sqref>
        </x14:conditionalFormatting>
        <x14:conditionalFormatting xmlns:xm="http://schemas.microsoft.com/office/excel/2006/main">
          <x14:cfRule type="dataBar" id="{177B80C6-6660-472F-9C61-C70C78F191F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I21</xm:sqref>
        </x14:conditionalFormatting>
        <x14:conditionalFormatting xmlns:xm="http://schemas.microsoft.com/office/excel/2006/main">
          <x14:cfRule type="dataBar" id="{6787DA30-3535-4DD5-ADA7-6A3B6D4B32C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L21</xm:sqref>
        </x14:conditionalFormatting>
        <x14:conditionalFormatting xmlns:xm="http://schemas.microsoft.com/office/excel/2006/main">
          <x14:cfRule type="dataBar" id="{15A17EF1-9D61-4408-B875-C16D335DEC2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F22</xm:sqref>
        </x14:conditionalFormatting>
        <x14:conditionalFormatting xmlns:xm="http://schemas.microsoft.com/office/excel/2006/main">
          <x14:cfRule type="dataBar" id="{16DA3FAB-72AE-40FD-AFE6-BE781D1D3F3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I22</xm:sqref>
        </x14:conditionalFormatting>
        <x14:conditionalFormatting xmlns:xm="http://schemas.microsoft.com/office/excel/2006/main">
          <x14:cfRule type="dataBar" id="{A85C0626-5644-4849-B1EA-0469B72E3D8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L22</xm:sqref>
        </x14:conditionalFormatting>
        <x14:conditionalFormatting xmlns:xm="http://schemas.microsoft.com/office/excel/2006/main">
          <x14:cfRule type="dataBar" id="{A8D53FD0-0688-4600-9B4F-B75735F4437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F26</xm:sqref>
        </x14:conditionalFormatting>
        <x14:conditionalFormatting xmlns:xm="http://schemas.microsoft.com/office/excel/2006/main">
          <x14:cfRule type="dataBar" id="{B08F70F5-3D09-4FBC-AEA8-A9B5DB9E874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I26</xm:sqref>
        </x14:conditionalFormatting>
        <x14:conditionalFormatting xmlns:xm="http://schemas.microsoft.com/office/excel/2006/main">
          <x14:cfRule type="dataBar" id="{4E69ADCE-589B-4F23-B22C-55853965CC7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L26</xm:sqref>
        </x14:conditionalFormatting>
        <x14:conditionalFormatting xmlns:xm="http://schemas.microsoft.com/office/excel/2006/main">
          <x14:cfRule type="dataBar" id="{D890ACFE-49A1-4EB9-9A6E-7EABC9D13AE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F27</xm:sqref>
        </x14:conditionalFormatting>
        <x14:conditionalFormatting xmlns:xm="http://schemas.microsoft.com/office/excel/2006/main">
          <x14:cfRule type="dataBar" id="{027B8A89-0319-4F3E-ADFB-154A3A37134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I27</xm:sqref>
        </x14:conditionalFormatting>
        <x14:conditionalFormatting xmlns:xm="http://schemas.microsoft.com/office/excel/2006/main">
          <x14:cfRule type="dataBar" id="{5E2D8DC2-1D62-4A04-8688-050C3DF52C5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L27</xm:sqref>
        </x14:conditionalFormatting>
        <x14:conditionalFormatting xmlns:xm="http://schemas.microsoft.com/office/excel/2006/main">
          <x14:cfRule type="dataBar" id="{F572B8B4-555C-4EF0-B770-B8EA057592D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F28</xm:sqref>
        </x14:conditionalFormatting>
        <x14:conditionalFormatting xmlns:xm="http://schemas.microsoft.com/office/excel/2006/main">
          <x14:cfRule type="dataBar" id="{2760E459-0F85-4ECB-90B9-B494B5DCAC1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I28</xm:sqref>
        </x14:conditionalFormatting>
        <x14:conditionalFormatting xmlns:xm="http://schemas.microsoft.com/office/excel/2006/main">
          <x14:cfRule type="dataBar" id="{0B6D7745-4EAF-4495-91B3-961758DF360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L28</xm:sqref>
        </x14:conditionalFormatting>
        <x14:conditionalFormatting xmlns:xm="http://schemas.microsoft.com/office/excel/2006/main">
          <x14:cfRule type="dataBar" id="{1430655F-C325-4DFB-8D0A-EAB138C219E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F29:F31</xm:sqref>
        </x14:conditionalFormatting>
        <x14:conditionalFormatting xmlns:xm="http://schemas.microsoft.com/office/excel/2006/main">
          <x14:cfRule type="dataBar" id="{E77A3214-B4FD-494D-8E2B-2286BAC61F5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I29:I31</xm:sqref>
        </x14:conditionalFormatting>
        <x14:conditionalFormatting xmlns:xm="http://schemas.microsoft.com/office/excel/2006/main">
          <x14:cfRule type="dataBar" id="{6B92E8B8-823C-47D0-9ABB-833A982CA80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L29:L30</xm:sqref>
        </x14:conditionalFormatting>
        <x14:conditionalFormatting xmlns:xm="http://schemas.microsoft.com/office/excel/2006/main">
          <x14:cfRule type="dataBar" id="{E70AAA2E-8ED5-4028-8E2C-E553865E6C7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F32</xm:sqref>
        </x14:conditionalFormatting>
        <x14:conditionalFormatting xmlns:xm="http://schemas.microsoft.com/office/excel/2006/main">
          <x14:cfRule type="dataBar" id="{0F57053B-B5B2-4493-9833-92B8BA06DD0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I32</xm:sqref>
        </x14:conditionalFormatting>
        <x14:conditionalFormatting xmlns:xm="http://schemas.microsoft.com/office/excel/2006/main">
          <x14:cfRule type="dataBar" id="{E473708A-806F-4F59-AE75-DE500CDAAA2F}">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L32</xm:sqref>
        </x14:conditionalFormatting>
        <x14:conditionalFormatting xmlns:xm="http://schemas.microsoft.com/office/excel/2006/main">
          <x14:cfRule type="dataBar" id="{B2CE2B16-62F5-41DD-8D18-6BF9874DC7E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F34</xm:sqref>
        </x14:conditionalFormatting>
        <x14:conditionalFormatting xmlns:xm="http://schemas.microsoft.com/office/excel/2006/main">
          <x14:cfRule type="dataBar" id="{409052F7-67B4-4BA4-9384-4E9501E78AC3}">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I34</xm:sqref>
        </x14:conditionalFormatting>
        <x14:conditionalFormatting xmlns:xm="http://schemas.microsoft.com/office/excel/2006/main">
          <x14:cfRule type="dataBar" id="{76C217DB-7BF5-4148-BE3A-CE58764B394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L34</xm:sqref>
        </x14:conditionalFormatting>
        <x14:conditionalFormatting xmlns:xm="http://schemas.microsoft.com/office/excel/2006/main">
          <x14:cfRule type="dataBar" id="{9F3E1FD9-8676-4A04-9509-02963451D13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F35</xm:sqref>
        </x14:conditionalFormatting>
        <x14:conditionalFormatting xmlns:xm="http://schemas.microsoft.com/office/excel/2006/main">
          <x14:cfRule type="dataBar" id="{CF506E69-136B-45D8-8DE2-B01F7011056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I35</xm:sqref>
        </x14:conditionalFormatting>
        <x14:conditionalFormatting xmlns:xm="http://schemas.microsoft.com/office/excel/2006/main">
          <x14:cfRule type="dataBar" id="{01BBA2F7-21E5-406A-AC91-533B1D8B39F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L35</xm:sqref>
        </x14:conditionalFormatting>
        <x14:conditionalFormatting xmlns:xm="http://schemas.microsoft.com/office/excel/2006/main">
          <x14:cfRule type="dataBar" id="{EE1B2F2B-E665-47AC-A4A2-CB5B56EDBD0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F39</xm:sqref>
        </x14:conditionalFormatting>
        <x14:conditionalFormatting xmlns:xm="http://schemas.microsoft.com/office/excel/2006/main">
          <x14:cfRule type="dataBar" id="{11A22472-45F6-452A-AF67-042C9E48384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I39</xm:sqref>
        </x14:conditionalFormatting>
        <x14:conditionalFormatting xmlns:xm="http://schemas.microsoft.com/office/excel/2006/main">
          <x14:cfRule type="dataBar" id="{AD5E5BFA-7145-4A88-A4D1-C6C60071419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L39</xm:sqref>
        </x14:conditionalFormatting>
        <x14:conditionalFormatting xmlns:xm="http://schemas.microsoft.com/office/excel/2006/main">
          <x14:cfRule type="dataBar" id="{E1020B43-B6B9-4B9C-8117-EAD14A2779C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F40</xm:sqref>
        </x14:conditionalFormatting>
        <x14:conditionalFormatting xmlns:xm="http://schemas.microsoft.com/office/excel/2006/main">
          <x14:cfRule type="dataBar" id="{3512BFC9-6E72-4986-8799-0F894128E0C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I40</xm:sqref>
        </x14:conditionalFormatting>
        <x14:conditionalFormatting xmlns:xm="http://schemas.microsoft.com/office/excel/2006/main">
          <x14:cfRule type="dataBar" id="{607965FC-A2C7-4811-9052-33605D93192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L40</xm:sqref>
        </x14:conditionalFormatting>
        <x14:conditionalFormatting xmlns:xm="http://schemas.microsoft.com/office/excel/2006/main">
          <x14:cfRule type="dataBar" id="{8D0CDCC8-6813-4E71-9B17-02940D9F17D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F41</xm:sqref>
        </x14:conditionalFormatting>
        <x14:conditionalFormatting xmlns:xm="http://schemas.microsoft.com/office/excel/2006/main">
          <x14:cfRule type="dataBar" id="{A6C3883A-9C71-44F2-B6E2-BB7066CF0FD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I41</xm:sqref>
        </x14:conditionalFormatting>
        <x14:conditionalFormatting xmlns:xm="http://schemas.microsoft.com/office/excel/2006/main">
          <x14:cfRule type="dataBar" id="{0AD62E18-2E77-4A77-8750-3729B832037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L41</xm:sqref>
        </x14:conditionalFormatting>
        <x14:conditionalFormatting xmlns:xm="http://schemas.microsoft.com/office/excel/2006/main">
          <x14:cfRule type="dataBar" id="{F25011AB-9F5B-4F7E-BC17-4F8D9D8BFDD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F43</xm:sqref>
        </x14:conditionalFormatting>
        <x14:conditionalFormatting xmlns:xm="http://schemas.microsoft.com/office/excel/2006/main">
          <x14:cfRule type="dataBar" id="{53BED112-C5F2-4C84-BDEC-197DBB812EA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I43</xm:sqref>
        </x14:conditionalFormatting>
        <x14:conditionalFormatting xmlns:xm="http://schemas.microsoft.com/office/excel/2006/main">
          <x14:cfRule type="dataBar" id="{FD9E8FEA-D09A-4462-8A83-1C4125AFDEA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L43</xm:sqref>
        </x14:conditionalFormatting>
        <x14:conditionalFormatting xmlns:xm="http://schemas.microsoft.com/office/excel/2006/main">
          <x14:cfRule type="dataBar" id="{21B515C2-3FD7-4862-97DE-9B7B2B0F967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F45</xm:sqref>
        </x14:conditionalFormatting>
        <x14:conditionalFormatting xmlns:xm="http://schemas.microsoft.com/office/excel/2006/main">
          <x14:cfRule type="dataBar" id="{2859D417-D158-4D75-B4D7-A73E34B49DD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I45</xm:sqref>
        </x14:conditionalFormatting>
        <x14:conditionalFormatting xmlns:xm="http://schemas.microsoft.com/office/excel/2006/main">
          <x14:cfRule type="dataBar" id="{8495654D-507E-42D7-BC7B-79F2F50C0C8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L45</xm:sqref>
        </x14:conditionalFormatting>
        <x14:conditionalFormatting xmlns:xm="http://schemas.microsoft.com/office/excel/2006/main">
          <x14:cfRule type="dataBar" id="{4DFCE72C-9B7C-4482-8AE4-DF2F30F4C22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F46</xm:sqref>
        </x14:conditionalFormatting>
        <x14:conditionalFormatting xmlns:xm="http://schemas.microsoft.com/office/excel/2006/main">
          <x14:cfRule type="dataBar" id="{BB6A3CB4-A28B-4326-9296-F6DDD1E9176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I46</xm:sqref>
        </x14:conditionalFormatting>
        <x14:conditionalFormatting xmlns:xm="http://schemas.microsoft.com/office/excel/2006/main">
          <x14:cfRule type="dataBar" id="{6D897AAF-E258-45E5-9AFA-AD04AC88B52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L46</xm:sqref>
        </x14:conditionalFormatting>
        <x14:conditionalFormatting xmlns:xm="http://schemas.microsoft.com/office/excel/2006/main">
          <x14:cfRule type="dataBar" id="{A1CCBB53-2813-44E9-B257-FA82F5F06B0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F76</xm:sqref>
        </x14:conditionalFormatting>
        <x14:conditionalFormatting xmlns:xm="http://schemas.microsoft.com/office/excel/2006/main">
          <x14:cfRule type="dataBar" id="{5F7A5088-7DDE-4FCD-A03D-09336B78086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I76</xm:sqref>
        </x14:conditionalFormatting>
        <x14:conditionalFormatting xmlns:xm="http://schemas.microsoft.com/office/excel/2006/main">
          <x14:cfRule type="dataBar" id="{A634A167-6FA3-4E71-A364-378582B6715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L76</xm:sqref>
        </x14:conditionalFormatting>
        <x14:conditionalFormatting xmlns:xm="http://schemas.microsoft.com/office/excel/2006/main">
          <x14:cfRule type="dataBar" id="{C6876FEA-CACC-477D-B00B-F07990C2AAA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F78</xm:sqref>
        </x14:conditionalFormatting>
        <x14:conditionalFormatting xmlns:xm="http://schemas.microsoft.com/office/excel/2006/main">
          <x14:cfRule type="dataBar" id="{FA30016C-1AF0-44F7-AA47-110DDBA6738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I78</xm:sqref>
        </x14:conditionalFormatting>
        <x14:conditionalFormatting xmlns:xm="http://schemas.microsoft.com/office/excel/2006/main">
          <x14:cfRule type="dataBar" id="{08FFCBDB-FF12-4DAD-86E0-1D83DD28240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L78</xm:sqref>
        </x14:conditionalFormatting>
        <x14:conditionalFormatting xmlns:xm="http://schemas.microsoft.com/office/excel/2006/main">
          <x14:cfRule type="dataBar" id="{31242221-ED71-4678-92EB-74AFCF2135F7}">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D86:F91</xm:sqref>
        </x14:conditionalFormatting>
        <x14:conditionalFormatting xmlns:xm="http://schemas.microsoft.com/office/excel/2006/main">
          <x14:cfRule type="dataBar" id="{78C49190-8DE7-418F-B0DA-449E8CF8E82B}">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D97:F97</xm:sqref>
        </x14:conditionalFormatting>
        <x14:conditionalFormatting xmlns:xm="http://schemas.microsoft.com/office/excel/2006/main">
          <x14:cfRule type="dataBar" id="{6118FB3D-EB57-4B7E-978A-57B099DF6ADF}">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D98:F98</xm:sqref>
        </x14:conditionalFormatting>
        <x14:conditionalFormatting xmlns:xm="http://schemas.microsoft.com/office/excel/2006/main">
          <x14:cfRule type="dataBar" id="{A1974F2A-8DD0-4F85-B255-5C7992B9B262}">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D99:F100</xm:sqref>
        </x14:conditionalFormatting>
        <x14:conditionalFormatting xmlns:xm="http://schemas.microsoft.com/office/excel/2006/main">
          <x14:cfRule type="dataBar" id="{E9F11B65-CE8C-41F1-9C4B-A2943F097ED4}">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D102:F102</xm:sqref>
        </x14:conditionalFormatting>
        <x14:conditionalFormatting xmlns:xm="http://schemas.microsoft.com/office/excel/2006/main">
          <x14:cfRule type="dataBar" id="{0F7EB60B-1695-4856-BE39-119CECAC744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L31</xm:sqref>
        </x14:conditionalFormatting>
        <x14:conditionalFormatting xmlns:xm="http://schemas.microsoft.com/office/excel/2006/main">
          <x14:cfRule type="dataBar" id="{64065697-1172-4537-9857-109A320711C3}">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F56 L56 I56</xm:sqref>
        </x14:conditionalFormatting>
        <x14:conditionalFormatting xmlns:xm="http://schemas.microsoft.com/office/excel/2006/main">
          <x14:cfRule type="dataBar" id="{093D3069-8A47-496F-8607-3E7A5483359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F64 L64 I64</xm:sqref>
        </x14:conditionalFormatting>
        <x14:conditionalFormatting xmlns:xm="http://schemas.microsoft.com/office/excel/2006/main">
          <x14:cfRule type="dataBar" id="{CB792554-4B68-4EA7-A4AE-5EFCBBE288B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I65:I68 L65:L68 F65:F68</xm:sqref>
        </x14:conditionalFormatting>
        <x14:conditionalFormatting xmlns:xm="http://schemas.microsoft.com/office/excel/2006/main">
          <x14:cfRule type="dataBar" id="{CE860472-634E-4FA5-9B05-35CC8D58F3C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I74 L74 F74</xm:sqref>
        </x14:conditionalFormatting>
        <x14:conditionalFormatting xmlns:xm="http://schemas.microsoft.com/office/excel/2006/main">
          <x14:cfRule type="dataBar" id="{DC6F8BBF-60C1-48C9-8357-3867CF6404E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F71 L71 I71</xm:sqref>
        </x14:conditionalFormatting>
        <x14:conditionalFormatting xmlns:xm="http://schemas.microsoft.com/office/excel/2006/main">
          <x14:cfRule type="dataBar" id="{C4BDB4EF-07D8-4452-871E-6B0F429F22C0}">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D105:F105</xm:sqref>
        </x14:conditionalFormatting>
        <x14:conditionalFormatting xmlns:xm="http://schemas.microsoft.com/office/excel/2006/main">
          <x14:cfRule type="dataBar" id="{D56E25AA-51BB-4DF0-A948-05A40BB8B030}">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D108:F108</xm:sqref>
        </x14:conditionalFormatting>
        <x14:conditionalFormatting xmlns:xm="http://schemas.microsoft.com/office/excel/2006/main">
          <x14:cfRule type="dataBar" id="{43C4C551-C6DE-4CE6-8FD2-94050AEE34CB}">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H86:H91</xm:sqref>
        </x14:conditionalFormatting>
        <x14:conditionalFormatting xmlns:xm="http://schemas.microsoft.com/office/excel/2006/main">
          <x14:cfRule type="dataBar" id="{0A100300-0A5B-4DE0-A41C-18FC6792FB2A}">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H97:H99</xm:sqref>
        </x14:conditionalFormatting>
        <x14:conditionalFormatting xmlns:xm="http://schemas.microsoft.com/office/excel/2006/main">
          <x14:cfRule type="dataBar" id="{CBE6728A-F9E5-46B3-BEB1-D47FE1140BB6}">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H102</xm:sqref>
        </x14:conditionalFormatting>
        <x14:conditionalFormatting xmlns:xm="http://schemas.microsoft.com/office/excel/2006/main">
          <x14:cfRule type="dataBar" id="{B59473DF-8FDA-4B67-8AA7-704706A31EE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I60 L60 F60</xm:sqref>
        </x14:conditionalFormatting>
        <x14:conditionalFormatting xmlns:xm="http://schemas.microsoft.com/office/excel/2006/main">
          <x14:cfRule type="dataBar" id="{B896D857-962E-46FD-94C5-7365DFA0AB5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F42</xm:sqref>
        </x14:conditionalFormatting>
        <x14:conditionalFormatting xmlns:xm="http://schemas.microsoft.com/office/excel/2006/main">
          <x14:cfRule type="dataBar" id="{AE6B9706-542C-46E8-9393-1843D038274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I42</xm:sqref>
        </x14:conditionalFormatting>
        <x14:conditionalFormatting xmlns:xm="http://schemas.microsoft.com/office/excel/2006/main">
          <x14:cfRule type="dataBar" id="{4501828D-0AE2-4DA3-AB43-B53A8C2D1DB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L42</xm:sqref>
        </x14:conditionalFormatting>
        <x14:conditionalFormatting xmlns:xm="http://schemas.microsoft.com/office/excel/2006/main">
          <x14:cfRule type="dataBar" id="{20CE2AF2-B5E4-4FB0-A51B-11E4FB00526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I58 L58 F58</xm:sqref>
        </x14:conditionalFormatting>
        <x14:conditionalFormatting xmlns:xm="http://schemas.microsoft.com/office/excel/2006/main">
          <x14:cfRule type="dataBar" id="{CCF61EAC-9321-44E7-AE36-2FB62FBF1AB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I70 L70 F70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1024</vt:lpstr>
      <vt:lpstr>1107</vt:lpstr>
      <vt:lpstr>1110</vt:lpstr>
      <vt:lpstr>1112</vt:lpstr>
      <vt:lpstr>1114</vt:lpstr>
      <vt:lpstr>TABLERO</vt:lpstr>
      <vt:lpstr>'1024'!Área_de_impresión</vt:lpstr>
      <vt:lpstr>'1107'!Área_de_impresión</vt:lpstr>
      <vt:lpstr>'1110'!Área_de_impresión</vt:lpstr>
      <vt:lpstr>'1112'!Área_de_impresión</vt:lpstr>
      <vt:lpstr>'1114'!Área_de_impresión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Arias</dc:creator>
  <cp:lastModifiedBy>HP</cp:lastModifiedBy>
  <cp:lastPrinted>2019-07-28T23:58:51Z</cp:lastPrinted>
  <dcterms:created xsi:type="dcterms:W3CDTF">2018-05-03T21:24:38Z</dcterms:created>
  <dcterms:modified xsi:type="dcterms:W3CDTF">2020-05-13T21:57:26Z</dcterms:modified>
</cp:coreProperties>
</file>