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V:\COMITÉ INSTITUCIONAL DE GESTIÓN Y DESEMPEÑO\2025\1. Comite CIGD 2025\3. Mapa de riesgos 2025\"/>
    </mc:Choice>
  </mc:AlternateContent>
  <bookViews>
    <workbookView xWindow="0" yWindow="0" windowWidth="21570" windowHeight="6630" tabRatio="800" firstSheet="2" activeTab="2"/>
  </bookViews>
  <sheets>
    <sheet name="Instructivo" sheetId="20" state="hidden" r:id="rId1"/>
    <sheet name="Contexto" sheetId="24" state="hidden" r:id="rId2"/>
    <sheet name="Riesgos" sheetId="1" r:id="rId3"/>
    <sheet name="Control Riesgos de Gestión 2025" sheetId="22" r:id="rId4"/>
    <sheet name="Controles Riesgos de Corrupción" sheetId="29" state="hidden" r:id="rId5"/>
    <sheet name="Seguimiento Riesgos" sheetId="28" state="hidden" r:id="rId6"/>
    <sheet name="Listas y tablas" sheetId="21" state="hidden" r:id="rId7"/>
    <sheet name="Hoja2" sheetId="23" state="hidden" r:id="rId8"/>
    <sheet name="Matriz Calor Inherente" sheetId="18" state="hidden" r:id="rId9"/>
    <sheet name="Matriz Calor Residual" sheetId="19" state="hidden" r:id="rId10"/>
    <sheet name="Tabla probabilidad" sheetId="12" state="hidden" r:id="rId11"/>
    <sheet name="Tabla Impacto" sheetId="13" state="hidden" r:id="rId12"/>
    <sheet name="Tabla Valoración controles" sheetId="15" state="hidden" r:id="rId13"/>
    <sheet name="Opciones Tratamiento" sheetId="16" state="hidden" r:id="rId14"/>
    <sheet name="Hoja1" sheetId="11" state="hidden" r:id="rId15"/>
  </sheets>
  <externalReferences>
    <externalReference r:id="rId16"/>
    <externalReference r:id="rId17"/>
  </externalReferences>
  <definedNames>
    <definedName name="_xlnm._FilterDatabase" localSheetId="3" hidden="1">'Control Riesgos de Gestión 2025'!$A$6:$CX$95</definedName>
    <definedName name="_xlnm._FilterDatabase" localSheetId="4" hidden="1">'Controles Riesgos de Corrupción'!$A$7:$DU$69</definedName>
    <definedName name="_xlnm._FilterDatabase" localSheetId="7" hidden="1">Hoja2!$C$4:$D$20</definedName>
    <definedName name="_xlnm._FilterDatabase" localSheetId="2" hidden="1">Riesgos!$A$6:$AF$85</definedName>
    <definedName name="Descripcion_del_Riesgo" localSheetId="4">#REF!</definedName>
    <definedName name="Descripcion_del_Riesgo" localSheetId="5">#REF!</definedName>
    <definedName name="Descripcion_del_Riesgo">#REF!</definedName>
    <definedName name="Descripcion_Riesgo">[1]!Tabla4[[#All],[Riesgo - Podría Ocurrir ]]</definedName>
    <definedName name="eerttyghhyujio" localSheetId="4">#REF!</definedName>
    <definedName name="eerttyghhyujio" localSheetId="5">#REF!</definedName>
    <definedName name="eerttyghhyujio">#REF!</definedName>
    <definedName name="inst">#REF!</definedName>
    <definedName name="pond">#REF!</definedName>
    <definedName name="Riesgo_1">#REF!</definedName>
    <definedName name="Riesgos">#REF!</definedName>
    <definedName name="TablaR">#REF!</definedName>
    <definedName name="Tablariesgos">#REF!</definedName>
    <definedName name="xyz">#REF!</definedName>
    <definedName name="zona">#REF!</definedName>
  </definedNames>
  <calcPr calcId="162913"/>
  <pivotCaches>
    <pivotCache cacheId="19" r:id="rId1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1" l="1"/>
  <c r="M48" i="1"/>
  <c r="F221" i="13"/>
  <c r="B223" i="13"/>
  <c r="B222" i="13"/>
  <c r="B221" i="13" a="1"/>
  <c r="B221" i="13"/>
  <c r="F220" i="13"/>
  <c r="F219" i="13"/>
  <c r="F218" i="13"/>
  <c r="F217" i="13"/>
  <c r="F216" i="13"/>
  <c r="F215" i="13"/>
  <c r="F214" i="13"/>
  <c r="F213" i="13"/>
  <c r="F212" i="13"/>
  <c r="F211" i="13"/>
  <c r="H210" i="13"/>
  <c r="F210" i="13"/>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J55"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J54" i="19"/>
  <c r="AM53" i="19"/>
  <c r="AL53" i="19"/>
  <c r="AK53" i="19"/>
  <c r="AJ53" i="19"/>
  <c r="AI53" i="19"/>
  <c r="AH53" i="19"/>
  <c r="AG53" i="19"/>
  <c r="AF53" i="19"/>
  <c r="AE53" i="19"/>
  <c r="AD53" i="19"/>
  <c r="AC53" i="19"/>
  <c r="AB53" i="19"/>
  <c r="AA53" i="19"/>
  <c r="Z53" i="19"/>
  <c r="Y53" i="19"/>
  <c r="X53" i="19"/>
  <c r="W53" i="19"/>
  <c r="V53" i="19"/>
  <c r="U53" i="19"/>
  <c r="T53" i="19"/>
  <c r="S53" i="19"/>
  <c r="R53" i="19"/>
  <c r="Q53" i="19"/>
  <c r="P53" i="19"/>
  <c r="O53" i="19"/>
  <c r="N53" i="19"/>
  <c r="M53" i="19"/>
  <c r="L53" i="19"/>
  <c r="K53" i="19"/>
  <c r="J53" i="19"/>
  <c r="AM52" i="19"/>
  <c r="AL52" i="19"/>
  <c r="AK52" i="19"/>
  <c r="AJ52" i="19"/>
  <c r="AI52" i="19"/>
  <c r="AH52" i="19"/>
  <c r="AG52" i="19"/>
  <c r="AF52" i="19"/>
  <c r="AE52" i="19"/>
  <c r="AD52" i="19"/>
  <c r="AC52" i="19"/>
  <c r="AB52" i="19"/>
  <c r="AA52" i="19"/>
  <c r="Z52" i="19"/>
  <c r="Y52" i="19"/>
  <c r="X52" i="19"/>
  <c r="W52" i="19"/>
  <c r="V52" i="19"/>
  <c r="U52" i="19"/>
  <c r="T52" i="19"/>
  <c r="S52" i="19"/>
  <c r="R52" i="19"/>
  <c r="Q52" i="19"/>
  <c r="P52" i="19"/>
  <c r="O52" i="19"/>
  <c r="N52" i="19"/>
  <c r="M52" i="19"/>
  <c r="L52" i="19"/>
  <c r="K52" i="19"/>
  <c r="J52"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J51"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J50"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J49"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J48"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J47"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J46"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J45"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J44" i="19"/>
  <c r="AM43" i="19"/>
  <c r="AL43" i="19"/>
  <c r="AK43" i="19"/>
  <c r="AJ43" i="19"/>
  <c r="AI43" i="19"/>
  <c r="AH43" i="19"/>
  <c r="AG43" i="19"/>
  <c r="AF43" i="19"/>
  <c r="AE43" i="19"/>
  <c r="AD43" i="19"/>
  <c r="AC43" i="19"/>
  <c r="AB43" i="19"/>
  <c r="AA43" i="19"/>
  <c r="Z43" i="19"/>
  <c r="Y43" i="19"/>
  <c r="X43" i="19"/>
  <c r="W43" i="19"/>
  <c r="V43" i="19"/>
  <c r="U43" i="19"/>
  <c r="T43" i="19"/>
  <c r="S43" i="19"/>
  <c r="R43" i="19"/>
  <c r="Q43" i="19"/>
  <c r="P43" i="19"/>
  <c r="O43" i="19"/>
  <c r="N43" i="19"/>
  <c r="M43" i="19"/>
  <c r="L43" i="19"/>
  <c r="K43" i="19"/>
  <c r="J43" i="19"/>
  <c r="AM42" i="19"/>
  <c r="AL42" i="19"/>
  <c r="AK42" i="19"/>
  <c r="AJ42" i="19"/>
  <c r="AI42" i="19"/>
  <c r="AH42" i="19"/>
  <c r="AG42" i="19"/>
  <c r="AF42" i="19"/>
  <c r="AE42" i="19"/>
  <c r="AD42" i="19"/>
  <c r="AC42" i="19"/>
  <c r="AB42" i="19"/>
  <c r="AA42" i="19"/>
  <c r="Z42" i="19"/>
  <c r="Y42" i="19"/>
  <c r="X42" i="19"/>
  <c r="W42" i="19"/>
  <c r="V42" i="19"/>
  <c r="U42" i="19"/>
  <c r="T42" i="19"/>
  <c r="S42" i="19"/>
  <c r="R42" i="19"/>
  <c r="Q42" i="19"/>
  <c r="P42" i="19"/>
  <c r="O42" i="19"/>
  <c r="N42" i="19"/>
  <c r="M42" i="19"/>
  <c r="L42" i="19"/>
  <c r="K42" i="19"/>
  <c r="J42"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L41" i="19"/>
  <c r="K41" i="19"/>
  <c r="J41"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J40"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J39"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J38"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J37"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J36"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J35"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J34" i="19"/>
  <c r="AM33" i="19"/>
  <c r="AL33" i="19"/>
  <c r="AK33" i="19"/>
  <c r="AJ33" i="19"/>
  <c r="AI33" i="19"/>
  <c r="AH33" i="19"/>
  <c r="AG33" i="19"/>
  <c r="AF33" i="19"/>
  <c r="AE33" i="19"/>
  <c r="AD33" i="19"/>
  <c r="AC33" i="19"/>
  <c r="AB33" i="19"/>
  <c r="AA33" i="19"/>
  <c r="Z33" i="19"/>
  <c r="Y33" i="19"/>
  <c r="X33" i="19"/>
  <c r="W33" i="19"/>
  <c r="V33" i="19"/>
  <c r="U33" i="19"/>
  <c r="T33" i="19"/>
  <c r="S33" i="19"/>
  <c r="R33" i="19"/>
  <c r="Q33" i="19"/>
  <c r="P33" i="19"/>
  <c r="O33" i="19"/>
  <c r="N33" i="19"/>
  <c r="M33" i="19"/>
  <c r="L33" i="19"/>
  <c r="K33" i="19"/>
  <c r="J33" i="19"/>
  <c r="AM32" i="19"/>
  <c r="AL32" i="19"/>
  <c r="AK32" i="19"/>
  <c r="AJ32" i="19"/>
  <c r="AI32" i="19"/>
  <c r="AH32" i="19"/>
  <c r="AG32" i="19"/>
  <c r="AF32" i="19"/>
  <c r="AE32" i="19"/>
  <c r="AD32" i="19"/>
  <c r="AC32" i="19"/>
  <c r="AB32" i="19"/>
  <c r="AA32" i="19"/>
  <c r="Z32" i="19"/>
  <c r="Y32" i="19"/>
  <c r="X32" i="19"/>
  <c r="W32" i="19"/>
  <c r="V32" i="19"/>
  <c r="U32" i="19"/>
  <c r="T32" i="19"/>
  <c r="S32" i="19"/>
  <c r="R32" i="19"/>
  <c r="Q32" i="19"/>
  <c r="P32" i="19"/>
  <c r="O32" i="19"/>
  <c r="N32" i="19"/>
  <c r="M32" i="19"/>
  <c r="L32" i="19"/>
  <c r="K32" i="19"/>
  <c r="J32"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J31"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J29"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J28"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J27"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J26"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J25"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AM22" i="19"/>
  <c r="AL22" i="19"/>
  <c r="AK22" i="19"/>
  <c r="AJ22" i="19"/>
  <c r="AI22" i="19"/>
  <c r="AH22" i="19"/>
  <c r="AG22" i="19"/>
  <c r="AF22" i="19"/>
  <c r="AE22" i="19"/>
  <c r="AD22" i="19"/>
  <c r="AC22" i="19"/>
  <c r="AB22" i="19"/>
  <c r="AA22" i="19"/>
  <c r="Z22" i="19"/>
  <c r="Y22" i="19"/>
  <c r="X22" i="19"/>
  <c r="W22" i="19"/>
  <c r="V22" i="19"/>
  <c r="U22" i="19"/>
  <c r="T22" i="19"/>
  <c r="S22" i="19"/>
  <c r="R22" i="19"/>
  <c r="Q22" i="19"/>
  <c r="P22" i="19"/>
  <c r="O22" i="19"/>
  <c r="N22" i="19"/>
  <c r="M22" i="19"/>
  <c r="L22" i="19"/>
  <c r="K22" i="19"/>
  <c r="J22"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AM19" i="19"/>
  <c r="AL19" i="19"/>
  <c r="AK19" i="19"/>
  <c r="AJ19" i="19"/>
  <c r="AI19" i="19"/>
  <c r="AH19" i="19"/>
  <c r="AG19" i="19"/>
  <c r="AF19" i="19"/>
  <c r="AE19" i="19"/>
  <c r="AD19" i="19"/>
  <c r="AC19" i="19"/>
  <c r="AB19" i="19"/>
  <c r="AA19" i="19"/>
  <c r="Z19" i="19"/>
  <c r="Y19" i="19"/>
  <c r="X19" i="19"/>
  <c r="W19" i="19"/>
  <c r="V19" i="19"/>
  <c r="U19" i="19"/>
  <c r="T19" i="19"/>
  <c r="S19" i="19"/>
  <c r="R19" i="19"/>
  <c r="Q19" i="19"/>
  <c r="P19" i="19"/>
  <c r="O19" i="19"/>
  <c r="N19" i="19"/>
  <c r="M19" i="19"/>
  <c r="L19" i="19"/>
  <c r="K19" i="19"/>
  <c r="J19"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AM17" i="19"/>
  <c r="AL17" i="19"/>
  <c r="AK17" i="19"/>
  <c r="AJ17" i="19"/>
  <c r="AI17" i="19"/>
  <c r="AH17" i="19"/>
  <c r="AG17" i="19"/>
  <c r="AF17" i="19"/>
  <c r="AE17" i="19"/>
  <c r="AD17" i="19"/>
  <c r="AC17" i="19"/>
  <c r="AB17" i="19"/>
  <c r="AA17" i="19"/>
  <c r="Z17" i="19"/>
  <c r="Y17" i="19"/>
  <c r="X17" i="19"/>
  <c r="W17" i="19"/>
  <c r="V17" i="19"/>
  <c r="U17" i="19"/>
  <c r="T17" i="19"/>
  <c r="S17" i="19"/>
  <c r="R17" i="19"/>
  <c r="Q17" i="19"/>
  <c r="P17" i="19"/>
  <c r="O17" i="19"/>
  <c r="N17" i="19"/>
  <c r="M17" i="19"/>
  <c r="L17" i="19"/>
  <c r="K17" i="19"/>
  <c r="J17" i="19"/>
  <c r="AM16" i="19"/>
  <c r="AL16" i="19"/>
  <c r="AK16" i="19"/>
  <c r="AJ16" i="19"/>
  <c r="AI16" i="19"/>
  <c r="AH16" i="19"/>
  <c r="AG16" i="19"/>
  <c r="AF16" i="19"/>
  <c r="AE16" i="19"/>
  <c r="AD16" i="19"/>
  <c r="AC16" i="19"/>
  <c r="AB16" i="19"/>
  <c r="AA16" i="19"/>
  <c r="Z16" i="19"/>
  <c r="Y16" i="19"/>
  <c r="X16" i="19"/>
  <c r="W16" i="19"/>
  <c r="V16" i="19"/>
  <c r="U16" i="19"/>
  <c r="T16" i="19"/>
  <c r="S16" i="19"/>
  <c r="R16" i="19"/>
  <c r="Q16" i="19"/>
  <c r="P16" i="19"/>
  <c r="O16" i="19"/>
  <c r="N16" i="19"/>
  <c r="M16" i="19"/>
  <c r="L16" i="19"/>
  <c r="K16" i="19"/>
  <c r="J16" i="19"/>
  <c r="AM15" i="19"/>
  <c r="AL15" i="19"/>
  <c r="AK15" i="19"/>
  <c r="AJ15" i="19"/>
  <c r="AI15" i="19"/>
  <c r="AH15" i="19"/>
  <c r="AG15" i="19"/>
  <c r="AF15" i="19"/>
  <c r="AE15" i="19"/>
  <c r="AD15" i="19"/>
  <c r="AC15" i="19"/>
  <c r="AB15" i="19"/>
  <c r="AA15" i="19"/>
  <c r="Z15" i="19"/>
  <c r="Y15" i="19"/>
  <c r="X15" i="19"/>
  <c r="W15" i="19"/>
  <c r="V15" i="19"/>
  <c r="U15" i="19"/>
  <c r="T15" i="19"/>
  <c r="S15" i="19"/>
  <c r="R15" i="19"/>
  <c r="Q15" i="19"/>
  <c r="P15" i="19"/>
  <c r="O15" i="19"/>
  <c r="N15" i="19"/>
  <c r="M15" i="19"/>
  <c r="L15" i="19"/>
  <c r="K15" i="19"/>
  <c r="J15"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M12" i="19"/>
  <c r="AL12" i="19"/>
  <c r="AK12" i="19"/>
  <c r="AJ12" i="19"/>
  <c r="AI12" i="19"/>
  <c r="AH12" i="19"/>
  <c r="AG12" i="19"/>
  <c r="AF12" i="19"/>
  <c r="AE12" i="19"/>
  <c r="AD12" i="19"/>
  <c r="AC12" i="19"/>
  <c r="AB12" i="19"/>
  <c r="AA12" i="19"/>
  <c r="Z12" i="19"/>
  <c r="Y12" i="19"/>
  <c r="X12" i="19"/>
  <c r="W12" i="19"/>
  <c r="V12" i="19"/>
  <c r="U12" i="19"/>
  <c r="T12" i="19"/>
  <c r="S12" i="19"/>
  <c r="R12" i="19"/>
  <c r="Q12" i="19"/>
  <c r="P12" i="19"/>
  <c r="O12" i="19"/>
  <c r="N12" i="19"/>
  <c r="M12" i="19"/>
  <c r="L12" i="19"/>
  <c r="K12" i="19"/>
  <c r="J12" i="19"/>
  <c r="AM11" i="19"/>
  <c r="AL11" i="19"/>
  <c r="AK11" i="19"/>
  <c r="AJ11" i="19"/>
  <c r="AI11" i="19"/>
  <c r="AH11" i="19"/>
  <c r="AG11" i="19"/>
  <c r="AF11" i="19"/>
  <c r="AE11" i="19"/>
  <c r="AD11" i="19"/>
  <c r="AC11" i="19"/>
  <c r="AB11" i="19"/>
  <c r="AA11" i="19"/>
  <c r="Z11" i="19"/>
  <c r="Y11" i="19"/>
  <c r="X11" i="19"/>
  <c r="W11" i="19"/>
  <c r="V11" i="19"/>
  <c r="U11" i="19"/>
  <c r="T11" i="19"/>
  <c r="S11" i="19"/>
  <c r="R11" i="19"/>
  <c r="Q11" i="19"/>
  <c r="P11" i="19"/>
  <c r="O11" i="19"/>
  <c r="N11" i="19"/>
  <c r="M11" i="19"/>
  <c r="L11" i="19"/>
  <c r="K11" i="19"/>
  <c r="J11" i="19"/>
  <c r="AM10" i="19"/>
  <c r="AL10" i="19"/>
  <c r="AK10" i="19"/>
  <c r="AJ10" i="19"/>
  <c r="AI10" i="19"/>
  <c r="AH10" i="19"/>
  <c r="AG10" i="19"/>
  <c r="AF10" i="19"/>
  <c r="AE10" i="19"/>
  <c r="AD10" i="19"/>
  <c r="AC10" i="19"/>
  <c r="AB10" i="19"/>
  <c r="AA10" i="19"/>
  <c r="Z10" i="19"/>
  <c r="Y10" i="19"/>
  <c r="X10" i="19"/>
  <c r="W10" i="19"/>
  <c r="V10" i="19"/>
  <c r="U10" i="19"/>
  <c r="T10" i="19"/>
  <c r="S10" i="19"/>
  <c r="R10" i="19"/>
  <c r="Q10" i="19"/>
  <c r="P10" i="19"/>
  <c r="O10" i="19"/>
  <c r="N10" i="19"/>
  <c r="M10" i="19"/>
  <c r="L10" i="19"/>
  <c r="K10" i="19"/>
  <c r="J10" i="19"/>
  <c r="AM9" i="19"/>
  <c r="AL9" i="19"/>
  <c r="AK9" i="19"/>
  <c r="AJ9" i="19"/>
  <c r="AI9" i="19"/>
  <c r="AH9" i="19"/>
  <c r="AG9" i="19"/>
  <c r="AF9" i="19"/>
  <c r="AE9" i="19"/>
  <c r="AD9" i="19"/>
  <c r="AC9" i="19"/>
  <c r="AB9" i="19"/>
  <c r="AA9" i="19"/>
  <c r="Z9" i="19"/>
  <c r="Y9" i="19"/>
  <c r="X9" i="19"/>
  <c r="W9" i="19"/>
  <c r="V9" i="19"/>
  <c r="U9" i="19"/>
  <c r="T9" i="19"/>
  <c r="S9" i="19"/>
  <c r="R9" i="19"/>
  <c r="Q9" i="19"/>
  <c r="P9" i="19"/>
  <c r="O9" i="19"/>
  <c r="N9" i="19"/>
  <c r="M9" i="19"/>
  <c r="L9" i="19"/>
  <c r="K9" i="19"/>
  <c r="J9" i="19"/>
  <c r="AM8" i="19"/>
  <c r="AL8" i="19"/>
  <c r="AK8" i="19"/>
  <c r="AJ8" i="19"/>
  <c r="AI8" i="19"/>
  <c r="AH8" i="19"/>
  <c r="AG8" i="19"/>
  <c r="AF8" i="19"/>
  <c r="AE8" i="19"/>
  <c r="AD8" i="19"/>
  <c r="AC8" i="19"/>
  <c r="AB8" i="19"/>
  <c r="AA8" i="19"/>
  <c r="Z8" i="19"/>
  <c r="Y8" i="19"/>
  <c r="X8" i="19"/>
  <c r="W8" i="19"/>
  <c r="V8" i="19"/>
  <c r="U8" i="19"/>
  <c r="T8" i="19"/>
  <c r="S8" i="19"/>
  <c r="R8" i="19"/>
  <c r="Q8" i="19"/>
  <c r="P8" i="19"/>
  <c r="O8" i="19"/>
  <c r="N8" i="19"/>
  <c r="M8" i="19"/>
  <c r="L8" i="19"/>
  <c r="K8" i="19"/>
  <c r="J8" i="19"/>
  <c r="AM7" i="19"/>
  <c r="AL7" i="19"/>
  <c r="AK7" i="19"/>
  <c r="AJ7" i="19"/>
  <c r="AI7" i="19"/>
  <c r="AH7" i="19"/>
  <c r="AG7" i="19"/>
  <c r="AF7" i="19"/>
  <c r="AE7" i="19"/>
  <c r="AD7" i="19"/>
  <c r="AC7" i="19"/>
  <c r="AB7" i="19"/>
  <c r="AA7" i="19"/>
  <c r="Z7" i="19"/>
  <c r="Y7" i="19"/>
  <c r="X7" i="19"/>
  <c r="W7" i="19"/>
  <c r="V7" i="19"/>
  <c r="U7" i="19"/>
  <c r="T7" i="19"/>
  <c r="S7" i="19"/>
  <c r="R7" i="19"/>
  <c r="Q7" i="19"/>
  <c r="P7" i="19"/>
  <c r="O7" i="19"/>
  <c r="N7" i="19"/>
  <c r="M7" i="19"/>
  <c r="L7" i="19"/>
  <c r="K7" i="19"/>
  <c r="J7" i="19"/>
  <c r="AM6" i="19"/>
  <c r="AL6" i="19"/>
  <c r="AK6" i="19"/>
  <c r="AJ6" i="19"/>
  <c r="AI6" i="19"/>
  <c r="AH6" i="19"/>
  <c r="AG6" i="19"/>
  <c r="AF6" i="19"/>
  <c r="AE6" i="19"/>
  <c r="AD6" i="19"/>
  <c r="AC6" i="19"/>
  <c r="AB6" i="19"/>
  <c r="AA6" i="19"/>
  <c r="Z6" i="19"/>
  <c r="Y6" i="19"/>
  <c r="X6" i="19"/>
  <c r="W6" i="19"/>
  <c r="V6" i="19"/>
  <c r="U6" i="19"/>
  <c r="T6" i="19"/>
  <c r="S6" i="19"/>
  <c r="R6" i="19"/>
  <c r="Q6" i="19"/>
  <c r="P6" i="19"/>
  <c r="O6" i="19"/>
  <c r="N6" i="19"/>
  <c r="M6" i="19"/>
  <c r="L6" i="19"/>
  <c r="K6" i="19"/>
  <c r="J6" i="19"/>
  <c r="AL44" i="18"/>
  <c r="AJ44" i="18"/>
  <c r="AH44" i="18"/>
  <c r="AF44" i="18"/>
  <c r="AD44" i="18"/>
  <c r="AB44" i="18"/>
  <c r="Z44" i="18"/>
  <c r="X44" i="18"/>
  <c r="V44" i="18"/>
  <c r="T44" i="18"/>
  <c r="R44" i="18"/>
  <c r="P44" i="18"/>
  <c r="N44" i="18"/>
  <c r="L44" i="18"/>
  <c r="J44" i="18"/>
  <c r="AL42" i="18"/>
  <c r="AJ42" i="18"/>
  <c r="AH42" i="18"/>
  <c r="AF42" i="18"/>
  <c r="AD42" i="18"/>
  <c r="AB42" i="18"/>
  <c r="Z42" i="18"/>
  <c r="X42" i="18"/>
  <c r="V42" i="18"/>
  <c r="T42" i="18"/>
  <c r="R42" i="18"/>
  <c r="P42" i="18"/>
  <c r="N42" i="18"/>
  <c r="L42" i="18"/>
  <c r="J42" i="18"/>
  <c r="AL40" i="18"/>
  <c r="AJ40" i="18"/>
  <c r="AH40" i="18"/>
  <c r="AF40" i="18"/>
  <c r="AD40" i="18"/>
  <c r="AB40" i="18"/>
  <c r="Z40" i="18"/>
  <c r="X40" i="18"/>
  <c r="V40" i="18"/>
  <c r="T40" i="18"/>
  <c r="R40" i="18"/>
  <c r="P40" i="18"/>
  <c r="N40" i="18"/>
  <c r="L40" i="18"/>
  <c r="J40" i="18"/>
  <c r="AL38" i="18"/>
  <c r="AJ38" i="18"/>
  <c r="AH38" i="18"/>
  <c r="AF38" i="18"/>
  <c r="AD38" i="18"/>
  <c r="AB38" i="18"/>
  <c r="Z38" i="18"/>
  <c r="X38" i="18"/>
  <c r="V38" i="18"/>
  <c r="T38" i="18"/>
  <c r="R38" i="18"/>
  <c r="P38" i="18"/>
  <c r="N38" i="18"/>
  <c r="L38" i="18"/>
  <c r="J38" i="18"/>
  <c r="AL36" i="18"/>
  <c r="AJ36" i="18"/>
  <c r="AH36" i="18"/>
  <c r="AF36" i="18"/>
  <c r="AD36" i="18"/>
  <c r="AB36" i="18"/>
  <c r="Z36" i="18"/>
  <c r="X36" i="18"/>
  <c r="V36" i="18"/>
  <c r="T36" i="18"/>
  <c r="R36" i="18"/>
  <c r="P36" i="18"/>
  <c r="N36" i="18"/>
  <c r="L36" i="18"/>
  <c r="J36" i="18"/>
  <c r="AL34" i="18"/>
  <c r="AJ34" i="18"/>
  <c r="AH34" i="18"/>
  <c r="AF34" i="18"/>
  <c r="AD34" i="18"/>
  <c r="AB34" i="18"/>
  <c r="Z34" i="18"/>
  <c r="X34" i="18"/>
  <c r="V34" i="18"/>
  <c r="T34" i="18"/>
  <c r="R34" i="18"/>
  <c r="P34" i="18"/>
  <c r="N34" i="18"/>
  <c r="L34" i="18"/>
  <c r="J34" i="18"/>
  <c r="AL32" i="18"/>
  <c r="AJ32" i="18"/>
  <c r="AH32" i="18"/>
  <c r="AF32" i="18"/>
  <c r="AD32" i="18"/>
  <c r="AB32" i="18"/>
  <c r="Z32" i="18"/>
  <c r="X32" i="18"/>
  <c r="V32" i="18"/>
  <c r="T32" i="18"/>
  <c r="R32" i="18"/>
  <c r="P32" i="18"/>
  <c r="N32" i="18"/>
  <c r="L32" i="18"/>
  <c r="J32" i="18"/>
  <c r="AL30" i="18"/>
  <c r="AJ30" i="18"/>
  <c r="AH30" i="18"/>
  <c r="AF30" i="18"/>
  <c r="AD30" i="18"/>
  <c r="AB30" i="18"/>
  <c r="Z30" i="18"/>
  <c r="X30" i="18"/>
  <c r="V30" i="18"/>
  <c r="T30" i="18"/>
  <c r="R30" i="18"/>
  <c r="P30" i="18"/>
  <c r="N30" i="18"/>
  <c r="L30" i="18"/>
  <c r="J30" i="18"/>
  <c r="AL28" i="18"/>
  <c r="AJ28" i="18"/>
  <c r="AH28" i="18"/>
  <c r="AF28" i="18"/>
  <c r="AD28" i="18"/>
  <c r="AB28" i="18"/>
  <c r="Z28" i="18"/>
  <c r="X28" i="18"/>
  <c r="V28" i="18"/>
  <c r="T28" i="18"/>
  <c r="R28" i="18"/>
  <c r="P28" i="18"/>
  <c r="N28" i="18"/>
  <c r="L28" i="18"/>
  <c r="J28" i="18"/>
  <c r="AL26" i="18"/>
  <c r="AJ26" i="18"/>
  <c r="AH26" i="18"/>
  <c r="AF26" i="18"/>
  <c r="AD26" i="18"/>
  <c r="AB26" i="18"/>
  <c r="Z26" i="18"/>
  <c r="X26" i="18"/>
  <c r="V26" i="18"/>
  <c r="T26" i="18"/>
  <c r="R26" i="18"/>
  <c r="P26" i="18"/>
  <c r="N26" i="18"/>
  <c r="L26" i="18"/>
  <c r="J26" i="18"/>
  <c r="AL24" i="18"/>
  <c r="AJ24" i="18"/>
  <c r="AH24" i="18"/>
  <c r="AF24" i="18"/>
  <c r="AD24" i="18"/>
  <c r="AB24" i="18"/>
  <c r="Z24" i="18"/>
  <c r="X24" i="18"/>
  <c r="V24" i="18"/>
  <c r="T24" i="18"/>
  <c r="R24" i="18"/>
  <c r="P24" i="18"/>
  <c r="N24" i="18"/>
  <c r="L24" i="18"/>
  <c r="J24" i="18"/>
  <c r="AL22" i="18"/>
  <c r="AJ22" i="18"/>
  <c r="AH22" i="18"/>
  <c r="AF22" i="18"/>
  <c r="AD22" i="18"/>
  <c r="AB22" i="18"/>
  <c r="Z22" i="18"/>
  <c r="X22" i="18"/>
  <c r="V22" i="18"/>
  <c r="T22" i="18"/>
  <c r="R22" i="18"/>
  <c r="P22" i="18"/>
  <c r="N22" i="18"/>
  <c r="L22" i="18"/>
  <c r="J22" i="18"/>
  <c r="AL20" i="18"/>
  <c r="AJ20" i="18"/>
  <c r="AH20" i="18"/>
  <c r="AF20" i="18"/>
  <c r="AD20" i="18"/>
  <c r="AB20" i="18"/>
  <c r="Z20" i="18"/>
  <c r="X20" i="18"/>
  <c r="V20" i="18"/>
  <c r="T20" i="18"/>
  <c r="R20" i="18"/>
  <c r="P20" i="18"/>
  <c r="N20" i="18"/>
  <c r="L20" i="18"/>
  <c r="J20" i="18"/>
  <c r="AL18" i="18"/>
  <c r="AJ18" i="18"/>
  <c r="AH18" i="18"/>
  <c r="AF18" i="18"/>
  <c r="AD18" i="18"/>
  <c r="AB18" i="18"/>
  <c r="Z18" i="18"/>
  <c r="X18" i="18"/>
  <c r="V18" i="18"/>
  <c r="T18" i="18"/>
  <c r="R18" i="18"/>
  <c r="P18" i="18"/>
  <c r="N18" i="18"/>
  <c r="L18" i="18"/>
  <c r="J18" i="18"/>
  <c r="AL16" i="18"/>
  <c r="AJ16" i="18"/>
  <c r="AH16" i="18"/>
  <c r="AF16" i="18"/>
  <c r="AD16" i="18"/>
  <c r="AB16" i="18"/>
  <c r="Z16" i="18"/>
  <c r="X16" i="18"/>
  <c r="V16" i="18"/>
  <c r="T16" i="18"/>
  <c r="R16" i="18"/>
  <c r="P16" i="18"/>
  <c r="N16" i="18"/>
  <c r="L16" i="18"/>
  <c r="J16" i="18"/>
  <c r="AL14" i="18"/>
  <c r="AJ14" i="18"/>
  <c r="AH14" i="18"/>
  <c r="AF14" i="18"/>
  <c r="AD14" i="18"/>
  <c r="AB14" i="18"/>
  <c r="Z14" i="18"/>
  <c r="X14" i="18"/>
  <c r="V14" i="18"/>
  <c r="T14" i="18"/>
  <c r="R14" i="18"/>
  <c r="P14" i="18"/>
  <c r="N14" i="18"/>
  <c r="L14" i="18"/>
  <c r="J14" i="18"/>
  <c r="AL12" i="18"/>
  <c r="AJ12" i="18"/>
  <c r="AH12" i="18"/>
  <c r="AF12" i="18"/>
  <c r="AD12" i="18"/>
  <c r="AB12" i="18"/>
  <c r="Z12" i="18"/>
  <c r="X12" i="18"/>
  <c r="V12" i="18"/>
  <c r="T12" i="18"/>
  <c r="R12" i="18"/>
  <c r="P12" i="18"/>
  <c r="N12" i="18"/>
  <c r="L12" i="18"/>
  <c r="J12" i="18"/>
  <c r="AL10" i="18"/>
  <c r="AJ10" i="18"/>
  <c r="AH10" i="18"/>
  <c r="AF10" i="18"/>
  <c r="AD10" i="18"/>
  <c r="AB10" i="18"/>
  <c r="Z10" i="18"/>
  <c r="X10" i="18"/>
  <c r="V10" i="18"/>
  <c r="T10" i="18"/>
  <c r="R10" i="18"/>
  <c r="P10" i="18"/>
  <c r="N10" i="18"/>
  <c r="L10" i="18"/>
  <c r="J10" i="18"/>
  <c r="AL8" i="18"/>
  <c r="AJ8" i="18"/>
  <c r="AH8" i="18"/>
  <c r="AF8" i="18"/>
  <c r="AD8" i="18"/>
  <c r="AB8" i="18"/>
  <c r="Z8" i="18"/>
  <c r="X8" i="18"/>
  <c r="V8" i="18"/>
  <c r="T8" i="18"/>
  <c r="R8" i="18"/>
  <c r="P8" i="18"/>
  <c r="N8" i="18"/>
  <c r="L8" i="18"/>
  <c r="J8" i="18"/>
  <c r="AL6" i="18"/>
  <c r="AJ6" i="18"/>
  <c r="AH6" i="18"/>
  <c r="AF6" i="18"/>
  <c r="AD6" i="18"/>
  <c r="AB6" i="18"/>
  <c r="Z6" i="18"/>
  <c r="X6" i="18"/>
  <c r="V6" i="18"/>
  <c r="T6" i="18"/>
  <c r="R6" i="18"/>
  <c r="P6" i="18"/>
  <c r="N6" i="18"/>
  <c r="L6" i="18"/>
  <c r="J6" i="18"/>
  <c r="G251" i="28"/>
  <c r="D251" i="28"/>
  <c r="B251" i="28"/>
  <c r="A251" i="28"/>
  <c r="G250" i="28"/>
  <c r="D250" i="28"/>
  <c r="B250" i="28"/>
  <c r="A250" i="28"/>
  <c r="I251" i="28" s="1"/>
  <c r="J251" i="28" s="1"/>
  <c r="G249" i="28"/>
  <c r="D249" i="28"/>
  <c r="B249" i="28"/>
  <c r="A249" i="28"/>
  <c r="G248" i="28"/>
  <c r="D248" i="28"/>
  <c r="B248" i="28"/>
  <c r="A248" i="28"/>
  <c r="I249" i="28" s="1"/>
  <c r="J249" i="28" s="1"/>
  <c r="G247" i="28"/>
  <c r="D247" i="28"/>
  <c r="B247" i="28"/>
  <c r="A247" i="28"/>
  <c r="G246" i="28"/>
  <c r="D246" i="28"/>
  <c r="B246" i="28"/>
  <c r="A246" i="28"/>
  <c r="I247" i="28" s="1"/>
  <c r="J247" i="28" s="1"/>
  <c r="G245" i="28"/>
  <c r="D245" i="28"/>
  <c r="B245" i="28"/>
  <c r="A245" i="28"/>
  <c r="G244" i="28"/>
  <c r="D244" i="28"/>
  <c r="B244" i="28"/>
  <c r="A244" i="28"/>
  <c r="I245" i="28" s="1"/>
  <c r="J245" i="28" s="1"/>
  <c r="G243" i="28"/>
  <c r="D243" i="28"/>
  <c r="B243" i="28"/>
  <c r="A243" i="28"/>
  <c r="G242" i="28"/>
  <c r="D242" i="28"/>
  <c r="B242" i="28"/>
  <c r="A242" i="28"/>
  <c r="I243" i="28" s="1"/>
  <c r="J243" i="28" s="1"/>
  <c r="G241" i="28"/>
  <c r="D241" i="28"/>
  <c r="B241" i="28"/>
  <c r="A241" i="28"/>
  <c r="G240" i="28"/>
  <c r="D240" i="28"/>
  <c r="B240" i="28"/>
  <c r="A240" i="28"/>
  <c r="I241" i="28" s="1"/>
  <c r="J241" i="28" s="1"/>
  <c r="G239" i="28"/>
  <c r="D239" i="28"/>
  <c r="B239" i="28"/>
  <c r="A239" i="28"/>
  <c r="G238" i="28"/>
  <c r="D238" i="28"/>
  <c r="B238" i="28"/>
  <c r="A238" i="28"/>
  <c r="I239" i="28" s="1"/>
  <c r="J239" i="28" s="1"/>
  <c r="G237" i="28"/>
  <c r="D237" i="28"/>
  <c r="B237" i="28"/>
  <c r="A237" i="28"/>
  <c r="G236" i="28"/>
  <c r="D236" i="28"/>
  <c r="B236" i="28"/>
  <c r="A236" i="28"/>
  <c r="I237" i="28" s="1"/>
  <c r="J237" i="28" s="1"/>
  <c r="G235" i="28"/>
  <c r="D235" i="28"/>
  <c r="B235" i="28"/>
  <c r="A235" i="28"/>
  <c r="G234" i="28"/>
  <c r="D234" i="28"/>
  <c r="B234" i="28"/>
  <c r="A234" i="28"/>
  <c r="I235" i="28" s="1"/>
  <c r="J235" i="28" s="1"/>
  <c r="G233" i="28"/>
  <c r="D233" i="28"/>
  <c r="B233" i="28"/>
  <c r="A233" i="28"/>
  <c r="G232" i="28"/>
  <c r="D232" i="28"/>
  <c r="B232" i="28"/>
  <c r="A232" i="28"/>
  <c r="I233" i="28" s="1"/>
  <c r="J233" i="28" s="1"/>
  <c r="G231" i="28"/>
  <c r="D231" i="28"/>
  <c r="B231" i="28"/>
  <c r="A231" i="28"/>
  <c r="G230" i="28"/>
  <c r="D230" i="28"/>
  <c r="B230" i="28"/>
  <c r="A230" i="28"/>
  <c r="I231" i="28" s="1"/>
  <c r="J231" i="28" s="1"/>
  <c r="G229" i="28"/>
  <c r="D229" i="28"/>
  <c r="B229" i="28"/>
  <c r="A229" i="28"/>
  <c r="G228" i="28"/>
  <c r="D228" i="28"/>
  <c r="B228" i="28"/>
  <c r="A228" i="28"/>
  <c r="I229" i="28" s="1"/>
  <c r="J229" i="28" s="1"/>
  <c r="G227" i="28"/>
  <c r="D227" i="28"/>
  <c r="B227" i="28"/>
  <c r="A227" i="28"/>
  <c r="G226" i="28"/>
  <c r="D226" i="28"/>
  <c r="B226" i="28"/>
  <c r="A226" i="28"/>
  <c r="I227" i="28" s="1"/>
  <c r="J227" i="28" s="1"/>
  <c r="G225" i="28"/>
  <c r="D225" i="28"/>
  <c r="B225" i="28"/>
  <c r="A225" i="28"/>
  <c r="G224" i="28"/>
  <c r="D224" i="28"/>
  <c r="B224" i="28"/>
  <c r="A224" i="28"/>
  <c r="I225" i="28" s="1"/>
  <c r="J225" i="28" s="1"/>
  <c r="G223" i="28"/>
  <c r="D223" i="28"/>
  <c r="B223" i="28"/>
  <c r="A223" i="28"/>
  <c r="G222" i="28"/>
  <c r="D222" i="28"/>
  <c r="B222" i="28"/>
  <c r="A222" i="28"/>
  <c r="I223" i="28" s="1"/>
  <c r="J223" i="28" s="1"/>
  <c r="G221" i="28"/>
  <c r="D221" i="28"/>
  <c r="B221" i="28"/>
  <c r="A221" i="28"/>
  <c r="G220" i="28"/>
  <c r="D220" i="28"/>
  <c r="B220" i="28"/>
  <c r="A220" i="28"/>
  <c r="I221" i="28" s="1"/>
  <c r="J221" i="28" s="1"/>
  <c r="G219" i="28"/>
  <c r="D219" i="28"/>
  <c r="B219" i="28"/>
  <c r="A219" i="28"/>
  <c r="G218" i="28"/>
  <c r="D218" i="28"/>
  <c r="B218" i="28"/>
  <c r="A218" i="28"/>
  <c r="I219" i="28" s="1"/>
  <c r="J219" i="28" s="1"/>
  <c r="G217" i="28"/>
  <c r="D217" i="28"/>
  <c r="B217" i="28"/>
  <c r="A217" i="28"/>
  <c r="G216" i="28"/>
  <c r="D216" i="28"/>
  <c r="B216" i="28"/>
  <c r="A216" i="28"/>
  <c r="I217" i="28" s="1"/>
  <c r="J217" i="28" s="1"/>
  <c r="G215" i="28"/>
  <c r="D215" i="28"/>
  <c r="B215" i="28"/>
  <c r="A215" i="28"/>
  <c r="G214" i="28"/>
  <c r="D214" i="28"/>
  <c r="B214" i="28"/>
  <c r="A214" i="28"/>
  <c r="I215" i="28" s="1"/>
  <c r="J215" i="28" s="1"/>
  <c r="G213" i="28"/>
  <c r="D213" i="28"/>
  <c r="B213" i="28"/>
  <c r="A213" i="28"/>
  <c r="G212" i="28"/>
  <c r="D212" i="28"/>
  <c r="B212" i="28"/>
  <c r="A212" i="28"/>
  <c r="I213" i="28" s="1"/>
  <c r="J213" i="28" s="1"/>
  <c r="G211" i="28"/>
  <c r="D211" i="28"/>
  <c r="B211" i="28"/>
  <c r="A211" i="28"/>
  <c r="G210" i="28"/>
  <c r="D210" i="28"/>
  <c r="B210" i="28"/>
  <c r="A210" i="28"/>
  <c r="I211" i="28" s="1"/>
  <c r="J211" i="28" s="1"/>
  <c r="G209" i="28"/>
  <c r="D209" i="28"/>
  <c r="B209" i="28"/>
  <c r="A209" i="28"/>
  <c r="G208" i="28"/>
  <c r="D208" i="28"/>
  <c r="B208" i="28"/>
  <c r="A208" i="28"/>
  <c r="I209" i="28" s="1"/>
  <c r="J209" i="28" s="1"/>
  <c r="G207" i="28"/>
  <c r="D207" i="28"/>
  <c r="B207" i="28"/>
  <c r="A207" i="28"/>
  <c r="G206" i="28"/>
  <c r="D206" i="28"/>
  <c r="B206" i="28"/>
  <c r="A206" i="28"/>
  <c r="I207" i="28" s="1"/>
  <c r="J207" i="28" s="1"/>
  <c r="G205" i="28"/>
  <c r="D205" i="28"/>
  <c r="B205" i="28"/>
  <c r="A205" i="28"/>
  <c r="G204" i="28"/>
  <c r="D204" i="28"/>
  <c r="B204" i="28"/>
  <c r="A204" i="28"/>
  <c r="I205" i="28" s="1"/>
  <c r="J205" i="28" s="1"/>
  <c r="G203" i="28"/>
  <c r="D203" i="28"/>
  <c r="B203" i="28"/>
  <c r="A203" i="28"/>
  <c r="G202" i="28"/>
  <c r="D202" i="28"/>
  <c r="B202" i="28"/>
  <c r="A202" i="28"/>
  <c r="I203" i="28" s="1"/>
  <c r="J203" i="28" s="1"/>
  <c r="G201" i="28"/>
  <c r="D201" i="28"/>
  <c r="B201" i="28"/>
  <c r="A201" i="28"/>
  <c r="G200" i="28"/>
  <c r="D200" i="28"/>
  <c r="B200" i="28"/>
  <c r="A200" i="28"/>
  <c r="I201" i="28" s="1"/>
  <c r="J201" i="28" s="1"/>
  <c r="G199" i="28"/>
  <c r="D199" i="28"/>
  <c r="B199" i="28"/>
  <c r="A199" i="28"/>
  <c r="G198" i="28"/>
  <c r="D198" i="28"/>
  <c r="B198" i="28"/>
  <c r="A198" i="28"/>
  <c r="I199" i="28" s="1"/>
  <c r="J199" i="28" s="1"/>
  <c r="G197" i="28"/>
  <c r="D197" i="28"/>
  <c r="B197" i="28"/>
  <c r="A197" i="28"/>
  <c r="G196" i="28"/>
  <c r="D196" i="28"/>
  <c r="B196" i="28"/>
  <c r="A196" i="28"/>
  <c r="I197" i="28" s="1"/>
  <c r="J197" i="28" s="1"/>
  <c r="G195" i="28"/>
  <c r="D195" i="28"/>
  <c r="B195" i="28"/>
  <c r="A195" i="28"/>
  <c r="G194" i="28"/>
  <c r="D194" i="28"/>
  <c r="B194" i="28"/>
  <c r="A194" i="28"/>
  <c r="I195" i="28" s="1"/>
  <c r="J195" i="28" s="1"/>
  <c r="G193" i="28"/>
  <c r="D193" i="28"/>
  <c r="B193" i="28"/>
  <c r="A193" i="28"/>
  <c r="G192" i="28"/>
  <c r="D192" i="28"/>
  <c r="B192" i="28"/>
  <c r="A192" i="28"/>
  <c r="I193" i="28" s="1"/>
  <c r="J193" i="28" s="1"/>
  <c r="G191" i="28"/>
  <c r="D191" i="28"/>
  <c r="B191" i="28"/>
  <c r="A191" i="28"/>
  <c r="G190" i="28"/>
  <c r="D190" i="28"/>
  <c r="B190" i="28"/>
  <c r="A190" i="28"/>
  <c r="I191" i="28" s="1"/>
  <c r="J191" i="28" s="1"/>
  <c r="G189" i="28"/>
  <c r="D189" i="28"/>
  <c r="B189" i="28"/>
  <c r="A189" i="28"/>
  <c r="G188" i="28"/>
  <c r="D188" i="28"/>
  <c r="B188" i="28"/>
  <c r="A188" i="28"/>
  <c r="I189" i="28" s="1"/>
  <c r="J189" i="28" s="1"/>
  <c r="G187" i="28"/>
  <c r="D187" i="28"/>
  <c r="B187" i="28"/>
  <c r="A187" i="28"/>
  <c r="G186" i="28"/>
  <c r="D186" i="28"/>
  <c r="B186" i="28"/>
  <c r="A186" i="28"/>
  <c r="I187" i="28" s="1"/>
  <c r="J187" i="28" s="1"/>
  <c r="G185" i="28"/>
  <c r="D185" i="28"/>
  <c r="B185" i="28"/>
  <c r="A185" i="28"/>
  <c r="G184" i="28"/>
  <c r="D184" i="28"/>
  <c r="B184" i="28"/>
  <c r="A184" i="28"/>
  <c r="I185" i="28" s="1"/>
  <c r="J185" i="28" s="1"/>
  <c r="G183" i="28"/>
  <c r="D183" i="28"/>
  <c r="B183" i="28"/>
  <c r="A183" i="28"/>
  <c r="G182" i="28"/>
  <c r="D182" i="28"/>
  <c r="B182" i="28"/>
  <c r="A182" i="28"/>
  <c r="I183" i="28" s="1"/>
  <c r="J183" i="28" s="1"/>
  <c r="G181" i="28"/>
  <c r="D181" i="28"/>
  <c r="B181" i="28"/>
  <c r="A181" i="28"/>
  <c r="G180" i="28"/>
  <c r="D180" i="28"/>
  <c r="B180" i="28"/>
  <c r="A180" i="28"/>
  <c r="I181" i="28" s="1"/>
  <c r="J181" i="28" s="1"/>
  <c r="G179" i="28"/>
  <c r="D179" i="28"/>
  <c r="B179" i="28"/>
  <c r="A179" i="28"/>
  <c r="G178" i="28"/>
  <c r="D178" i="28"/>
  <c r="B178" i="28"/>
  <c r="A178" i="28"/>
  <c r="G177" i="28"/>
  <c r="D177" i="28"/>
  <c r="B177" i="28"/>
  <c r="A177" i="28"/>
  <c r="I178" i="28" s="1"/>
  <c r="J178" i="28" s="1"/>
  <c r="G176" i="28"/>
  <c r="D176" i="28"/>
  <c r="B176" i="28"/>
  <c r="A176" i="28"/>
  <c r="G175" i="28"/>
  <c r="D175" i="28"/>
  <c r="B175" i="28"/>
  <c r="A175" i="28"/>
  <c r="G174" i="28"/>
  <c r="D174" i="28"/>
  <c r="B174" i="28"/>
  <c r="A174" i="28"/>
  <c r="G173" i="28"/>
  <c r="D173" i="28"/>
  <c r="B173" i="28"/>
  <c r="A173" i="28"/>
  <c r="I174" i="28" s="1"/>
  <c r="J174" i="28" s="1"/>
  <c r="G172" i="28"/>
  <c r="D172" i="28"/>
  <c r="B172" i="28"/>
  <c r="A172" i="28"/>
  <c r="G171" i="28"/>
  <c r="D171" i="28"/>
  <c r="B171" i="28"/>
  <c r="A171" i="28"/>
  <c r="G170" i="28"/>
  <c r="D170" i="28"/>
  <c r="B170" i="28"/>
  <c r="A170" i="28"/>
  <c r="G169" i="28"/>
  <c r="D169" i="28"/>
  <c r="B169" i="28"/>
  <c r="A169" i="28"/>
  <c r="I170" i="28" s="1"/>
  <c r="J170" i="28" s="1"/>
  <c r="G168" i="28"/>
  <c r="D168" i="28"/>
  <c r="B168" i="28"/>
  <c r="A168" i="28"/>
  <c r="G167" i="28"/>
  <c r="D167" i="28"/>
  <c r="B167" i="28"/>
  <c r="A167" i="28"/>
  <c r="G166" i="28"/>
  <c r="D166" i="28"/>
  <c r="B166" i="28"/>
  <c r="A166" i="28"/>
  <c r="G165" i="28"/>
  <c r="D165" i="28"/>
  <c r="B165" i="28"/>
  <c r="A165" i="28"/>
  <c r="I166" i="28" s="1"/>
  <c r="J166" i="28" s="1"/>
  <c r="G164" i="28"/>
  <c r="D164" i="28"/>
  <c r="B164" i="28"/>
  <c r="A164" i="28"/>
  <c r="G163" i="28"/>
  <c r="D163" i="28"/>
  <c r="B163" i="28"/>
  <c r="A163" i="28"/>
  <c r="G162" i="28"/>
  <c r="D162" i="28"/>
  <c r="B162" i="28"/>
  <c r="A162" i="28"/>
  <c r="G161" i="28"/>
  <c r="D161" i="28"/>
  <c r="B161" i="28"/>
  <c r="A161" i="28"/>
  <c r="I162" i="28" s="1"/>
  <c r="J162" i="28" s="1"/>
  <c r="G160" i="28"/>
  <c r="D160" i="28"/>
  <c r="B160" i="28"/>
  <c r="A160" i="28"/>
  <c r="G159" i="28"/>
  <c r="D159" i="28"/>
  <c r="B159" i="28"/>
  <c r="A159" i="28"/>
  <c r="G158" i="28"/>
  <c r="D158" i="28"/>
  <c r="B158" i="28"/>
  <c r="A158" i="28"/>
  <c r="G157" i="28"/>
  <c r="D157" i="28"/>
  <c r="B157" i="28"/>
  <c r="A157" i="28"/>
  <c r="I158" i="28" s="1"/>
  <c r="J158" i="28" s="1"/>
  <c r="G156" i="28"/>
  <c r="D156" i="28"/>
  <c r="B156" i="28"/>
  <c r="A156" i="28"/>
  <c r="G155" i="28"/>
  <c r="D155" i="28"/>
  <c r="B155" i="28"/>
  <c r="A155" i="28"/>
  <c r="G154" i="28"/>
  <c r="D154" i="28"/>
  <c r="B154" i="28"/>
  <c r="A154" i="28"/>
  <c r="G153" i="28"/>
  <c r="D153" i="28"/>
  <c r="B153" i="28"/>
  <c r="A153" i="28"/>
  <c r="I154" i="28" s="1"/>
  <c r="J154" i="28" s="1"/>
  <c r="G152" i="28"/>
  <c r="D152" i="28"/>
  <c r="B152" i="28"/>
  <c r="A152" i="28"/>
  <c r="G151" i="28"/>
  <c r="D151" i="28"/>
  <c r="B151" i="28"/>
  <c r="A151" i="28"/>
  <c r="G150" i="28"/>
  <c r="D150" i="28"/>
  <c r="B150" i="28"/>
  <c r="A150" i="28"/>
  <c r="G149" i="28"/>
  <c r="D149" i="28"/>
  <c r="B149" i="28"/>
  <c r="A149" i="28"/>
  <c r="I150" i="28" s="1"/>
  <c r="J150" i="28" s="1"/>
  <c r="G148" i="28"/>
  <c r="D148" i="28"/>
  <c r="B148" i="28"/>
  <c r="A148" i="28"/>
  <c r="G147" i="28"/>
  <c r="D147" i="28"/>
  <c r="B147" i="28"/>
  <c r="A147" i="28"/>
  <c r="G146" i="28"/>
  <c r="D146" i="28"/>
  <c r="B146" i="28"/>
  <c r="A146" i="28"/>
  <c r="G145" i="28"/>
  <c r="D145" i="28"/>
  <c r="B145" i="28"/>
  <c r="A145" i="28"/>
  <c r="I146" i="28" s="1"/>
  <c r="J146" i="28" s="1"/>
  <c r="G144" i="28"/>
  <c r="D144" i="28"/>
  <c r="B144" i="28"/>
  <c r="A144" i="28"/>
  <c r="G143" i="28"/>
  <c r="D143" i="28"/>
  <c r="B143" i="28"/>
  <c r="A143" i="28"/>
  <c r="G142" i="28"/>
  <c r="D142" i="28"/>
  <c r="B142" i="28"/>
  <c r="A142" i="28"/>
  <c r="G141" i="28"/>
  <c r="D141" i="28"/>
  <c r="B141" i="28"/>
  <c r="A141" i="28"/>
  <c r="I142" i="28" s="1"/>
  <c r="J142" i="28" s="1"/>
  <c r="G140" i="28"/>
  <c r="D140" i="28"/>
  <c r="B140" i="28"/>
  <c r="A140" i="28"/>
  <c r="G139" i="28"/>
  <c r="D139" i="28"/>
  <c r="B139" i="28"/>
  <c r="A139" i="28"/>
  <c r="G138" i="28"/>
  <c r="D138" i="28"/>
  <c r="B138" i="28"/>
  <c r="A138" i="28"/>
  <c r="G137" i="28"/>
  <c r="D137" i="28"/>
  <c r="B137" i="28"/>
  <c r="A137" i="28"/>
  <c r="I138" i="28" s="1"/>
  <c r="J138" i="28" s="1"/>
  <c r="G136" i="28"/>
  <c r="D136" i="28"/>
  <c r="B136" i="28"/>
  <c r="A136" i="28"/>
  <c r="G135" i="28"/>
  <c r="D135" i="28"/>
  <c r="B135" i="28"/>
  <c r="A135" i="28"/>
  <c r="G134" i="28"/>
  <c r="D134" i="28"/>
  <c r="B134" i="28"/>
  <c r="A134" i="28"/>
  <c r="G133" i="28"/>
  <c r="D133" i="28"/>
  <c r="B133" i="28"/>
  <c r="A133" i="28"/>
  <c r="I134" i="28" s="1"/>
  <c r="J134" i="28" s="1"/>
  <c r="G132" i="28"/>
  <c r="D132" i="28"/>
  <c r="B132" i="28"/>
  <c r="A132" i="28"/>
  <c r="G131" i="28"/>
  <c r="D131" i="28"/>
  <c r="B131" i="28"/>
  <c r="A131" i="28"/>
  <c r="G130" i="28"/>
  <c r="D130" i="28"/>
  <c r="B130" i="28"/>
  <c r="A130" i="28"/>
  <c r="G129" i="28"/>
  <c r="D129" i="28"/>
  <c r="B129" i="28"/>
  <c r="A129" i="28"/>
  <c r="G128" i="28"/>
  <c r="D128" i="28"/>
  <c r="B128" i="28"/>
  <c r="A128" i="28"/>
  <c r="G127" i="28"/>
  <c r="D127" i="28"/>
  <c r="B127" i="28"/>
  <c r="A127" i="28"/>
  <c r="G126" i="28"/>
  <c r="D126" i="28"/>
  <c r="B126" i="28"/>
  <c r="A126" i="28"/>
  <c r="G125" i="28"/>
  <c r="D125" i="28"/>
  <c r="B125" i="28"/>
  <c r="A125" i="28"/>
  <c r="I126" i="28" s="1"/>
  <c r="J126" i="28" s="1"/>
  <c r="G124" i="28"/>
  <c r="D124" i="28"/>
  <c r="B124" i="28"/>
  <c r="A124" i="28"/>
  <c r="G123" i="28"/>
  <c r="D123" i="28"/>
  <c r="B123" i="28"/>
  <c r="A123" i="28"/>
  <c r="G122" i="28"/>
  <c r="D122" i="28"/>
  <c r="B122" i="28"/>
  <c r="A122" i="28"/>
  <c r="G121" i="28"/>
  <c r="D121" i="28"/>
  <c r="B121" i="28"/>
  <c r="A121" i="28"/>
  <c r="I122" i="28" s="1"/>
  <c r="J122" i="28" s="1"/>
  <c r="G120" i="28"/>
  <c r="D120" i="28"/>
  <c r="B120" i="28"/>
  <c r="A120" i="28"/>
  <c r="G119" i="28"/>
  <c r="D119" i="28"/>
  <c r="B119" i="28"/>
  <c r="A119" i="28"/>
  <c r="G118" i="28"/>
  <c r="D118" i="28"/>
  <c r="B118" i="28"/>
  <c r="A118" i="28"/>
  <c r="G117" i="28"/>
  <c r="D117" i="28"/>
  <c r="B117" i="28"/>
  <c r="A117" i="28"/>
  <c r="I118" i="28" s="1"/>
  <c r="J118" i="28" s="1"/>
  <c r="G116" i="28"/>
  <c r="D116" i="28"/>
  <c r="B116" i="28"/>
  <c r="A116" i="28"/>
  <c r="G115" i="28"/>
  <c r="D115" i="28"/>
  <c r="B115" i="28"/>
  <c r="A115" i="28"/>
  <c r="G114" i="28"/>
  <c r="D114" i="28"/>
  <c r="B114" i="28"/>
  <c r="A114" i="28"/>
  <c r="G113" i="28"/>
  <c r="D113" i="28"/>
  <c r="B113" i="28"/>
  <c r="A113" i="28"/>
  <c r="I114" i="28" s="1"/>
  <c r="J114" i="28" s="1"/>
  <c r="G112" i="28"/>
  <c r="D112" i="28"/>
  <c r="B112" i="28"/>
  <c r="A112" i="28"/>
  <c r="G111" i="28"/>
  <c r="D111" i="28"/>
  <c r="B111" i="28"/>
  <c r="A111" i="28"/>
  <c r="G110" i="28"/>
  <c r="D110" i="28"/>
  <c r="B110" i="28"/>
  <c r="A110" i="28"/>
  <c r="G109" i="28"/>
  <c r="D109" i="28"/>
  <c r="B109" i="28"/>
  <c r="A109" i="28"/>
  <c r="I110" i="28" s="1"/>
  <c r="J110" i="28" s="1"/>
  <c r="G108" i="28"/>
  <c r="D108" i="28"/>
  <c r="B108" i="28"/>
  <c r="A108" i="28"/>
  <c r="G107" i="28"/>
  <c r="D107" i="28"/>
  <c r="B107" i="28"/>
  <c r="A107" i="28"/>
  <c r="G106" i="28"/>
  <c r="D106" i="28"/>
  <c r="B106" i="28"/>
  <c r="A106" i="28"/>
  <c r="G105" i="28"/>
  <c r="D105" i="28"/>
  <c r="B105" i="28"/>
  <c r="A105" i="28"/>
  <c r="G104" i="28"/>
  <c r="D104" i="28"/>
  <c r="B104" i="28"/>
  <c r="A104" i="28"/>
  <c r="I105" i="28" s="1"/>
  <c r="J105" i="28" s="1"/>
  <c r="G103" i="28"/>
  <c r="D103" i="28"/>
  <c r="B103" i="28"/>
  <c r="A103" i="28"/>
  <c r="G102" i="28"/>
  <c r="D102" i="28"/>
  <c r="B102" i="28"/>
  <c r="A102" i="28"/>
  <c r="G101" i="28"/>
  <c r="D101" i="28"/>
  <c r="B101" i="28"/>
  <c r="A101" i="28"/>
  <c r="I102" i="28" s="1"/>
  <c r="J102" i="28" s="1"/>
  <c r="G100" i="28"/>
  <c r="D100" i="28"/>
  <c r="B100" i="28"/>
  <c r="A100" i="28"/>
  <c r="G99" i="28"/>
  <c r="D99" i="28"/>
  <c r="B99" i="28"/>
  <c r="A99" i="28"/>
  <c r="G98" i="28"/>
  <c r="D98" i="28"/>
  <c r="B98" i="28"/>
  <c r="A98" i="28"/>
  <c r="G97" i="28"/>
  <c r="D97" i="28"/>
  <c r="B97" i="28"/>
  <c r="A97" i="28"/>
  <c r="G96" i="28"/>
  <c r="D96" i="28"/>
  <c r="B96" i="28"/>
  <c r="A96" i="28"/>
  <c r="I97" i="28" s="1"/>
  <c r="J97" i="28" s="1"/>
  <c r="G95" i="28"/>
  <c r="D95" i="28"/>
  <c r="B95" i="28"/>
  <c r="A95" i="28"/>
  <c r="G94" i="28"/>
  <c r="D94" i="28"/>
  <c r="B94" i="28"/>
  <c r="A94" i="28"/>
  <c r="G93" i="28"/>
  <c r="D93" i="28"/>
  <c r="B93" i="28"/>
  <c r="A93" i="28"/>
  <c r="I94" i="28" s="1"/>
  <c r="J94" i="28" s="1"/>
  <c r="G92" i="28"/>
  <c r="D92" i="28"/>
  <c r="B92" i="28"/>
  <c r="A92" i="28"/>
  <c r="G91" i="28"/>
  <c r="D91" i="28"/>
  <c r="B91" i="28"/>
  <c r="A91" i="28"/>
  <c r="G90" i="28"/>
  <c r="D90" i="28"/>
  <c r="B90" i="28"/>
  <c r="A90" i="28"/>
  <c r="G89" i="28"/>
  <c r="D89" i="28"/>
  <c r="B89" i="28"/>
  <c r="A89" i="28"/>
  <c r="G88" i="28"/>
  <c r="D88" i="28"/>
  <c r="B88" i="28"/>
  <c r="A88" i="28"/>
  <c r="G87" i="28"/>
  <c r="D87" i="28"/>
  <c r="B87" i="28"/>
  <c r="A87" i="28"/>
  <c r="G86" i="28"/>
  <c r="D86" i="28"/>
  <c r="B86" i="28"/>
  <c r="A86" i="28"/>
  <c r="G85" i="28"/>
  <c r="D85" i="28"/>
  <c r="B85" i="28"/>
  <c r="A85" i="28"/>
  <c r="I86" i="28" s="1"/>
  <c r="J86" i="28" s="1"/>
  <c r="G84" i="28"/>
  <c r="D84" i="28"/>
  <c r="B84" i="28"/>
  <c r="A84" i="28"/>
  <c r="G83" i="28"/>
  <c r="D83" i="28"/>
  <c r="B83" i="28"/>
  <c r="A83" i="28"/>
  <c r="G82" i="28"/>
  <c r="D82" i="28"/>
  <c r="B82" i="28"/>
  <c r="A82" i="28"/>
  <c r="G81" i="28"/>
  <c r="D81" i="28"/>
  <c r="B81" i="28"/>
  <c r="A81" i="28"/>
  <c r="G80" i="28"/>
  <c r="D80" i="28"/>
  <c r="B80" i="28"/>
  <c r="A80" i="28"/>
  <c r="G79" i="28"/>
  <c r="D79" i="28"/>
  <c r="B79" i="28"/>
  <c r="A79" i="28"/>
  <c r="G78" i="28"/>
  <c r="D78" i="28"/>
  <c r="B78" i="28"/>
  <c r="A78" i="28"/>
  <c r="G77" i="28"/>
  <c r="D77" i="28"/>
  <c r="B77" i="28"/>
  <c r="A77" i="28"/>
  <c r="G76" i="28"/>
  <c r="D76" i="28"/>
  <c r="B76" i="28"/>
  <c r="A76" i="28"/>
  <c r="G75" i="28"/>
  <c r="D75" i="28"/>
  <c r="B75" i="28"/>
  <c r="A75" i="28"/>
  <c r="G74" i="28"/>
  <c r="D74" i="28"/>
  <c r="B74" i="28"/>
  <c r="A74" i="28"/>
  <c r="G73" i="28"/>
  <c r="D73" i="28"/>
  <c r="B73" i="28"/>
  <c r="A73" i="28"/>
  <c r="G72" i="28"/>
  <c r="D72" i="28"/>
  <c r="B72" i="28"/>
  <c r="A72" i="28"/>
  <c r="G71" i="28"/>
  <c r="D71" i="28"/>
  <c r="B71" i="28"/>
  <c r="A71" i="28"/>
  <c r="G70" i="28"/>
  <c r="D70" i="28"/>
  <c r="B70" i="28"/>
  <c r="A70" i="28"/>
  <c r="G69" i="28"/>
  <c r="D69" i="28"/>
  <c r="B69" i="28"/>
  <c r="A69" i="28"/>
  <c r="G68" i="28"/>
  <c r="D68" i="28"/>
  <c r="B68" i="28"/>
  <c r="A68" i="28"/>
  <c r="G67" i="28"/>
  <c r="D67" i="28"/>
  <c r="B67" i="28"/>
  <c r="A67" i="28"/>
  <c r="G66" i="28"/>
  <c r="D66" i="28"/>
  <c r="B66" i="28"/>
  <c r="A66" i="28"/>
  <c r="G65" i="28"/>
  <c r="D65" i="28"/>
  <c r="B65" i="28"/>
  <c r="A65" i="28"/>
  <c r="G64" i="28"/>
  <c r="D64" i="28"/>
  <c r="B64" i="28"/>
  <c r="A64" i="28"/>
  <c r="G63" i="28"/>
  <c r="D63" i="28"/>
  <c r="B63" i="28"/>
  <c r="A63" i="28"/>
  <c r="G62" i="28"/>
  <c r="D62" i="28"/>
  <c r="B62" i="28"/>
  <c r="A62" i="28"/>
  <c r="G61" i="28"/>
  <c r="D61" i="28"/>
  <c r="B61" i="28"/>
  <c r="A61" i="28"/>
  <c r="G60" i="28"/>
  <c r="D60" i="28"/>
  <c r="B60" i="28"/>
  <c r="A60" i="28"/>
  <c r="G59" i="28"/>
  <c r="D59" i="28"/>
  <c r="B59" i="28"/>
  <c r="A59" i="28"/>
  <c r="G58" i="28"/>
  <c r="D58" i="28"/>
  <c r="B58" i="28"/>
  <c r="A58" i="28"/>
  <c r="G57" i="28"/>
  <c r="D57" i="28"/>
  <c r="B57" i="28"/>
  <c r="A57" i="28"/>
  <c r="G56" i="28"/>
  <c r="D56" i="28"/>
  <c r="B56" i="28"/>
  <c r="A56" i="28"/>
  <c r="I57" i="28" s="1"/>
  <c r="J57" i="28" s="1"/>
  <c r="G55" i="28"/>
  <c r="D55" i="28"/>
  <c r="B55" i="28"/>
  <c r="A55" i="28"/>
  <c r="I56" i="28" s="1"/>
  <c r="J56" i="28" s="1"/>
  <c r="G54" i="28"/>
  <c r="D54" i="28"/>
  <c r="B54" i="28"/>
  <c r="A54" i="28"/>
  <c r="I55" i="28" s="1"/>
  <c r="J55" i="28" s="1"/>
  <c r="G53" i="28"/>
  <c r="D53" i="28"/>
  <c r="B53" i="28"/>
  <c r="A53" i="28"/>
  <c r="I54" i="28" s="1"/>
  <c r="J54" i="28" s="1"/>
  <c r="G52" i="28"/>
  <c r="D52" i="28"/>
  <c r="B52" i="28"/>
  <c r="A52" i="28"/>
  <c r="G51" i="28"/>
  <c r="D51" i="28"/>
  <c r="B51" i="28"/>
  <c r="A51" i="28"/>
  <c r="I52" i="28" s="1"/>
  <c r="J52" i="28" s="1"/>
  <c r="G50" i="28"/>
  <c r="D50" i="28"/>
  <c r="B50" i="28"/>
  <c r="A50" i="28"/>
  <c r="G49" i="28"/>
  <c r="D49" i="28"/>
  <c r="B49" i="28"/>
  <c r="A49" i="28"/>
  <c r="I50" i="28" s="1"/>
  <c r="J50" i="28" s="1"/>
  <c r="G48" i="28"/>
  <c r="D48" i="28"/>
  <c r="B48" i="28"/>
  <c r="A48" i="28"/>
  <c r="G47" i="28"/>
  <c r="D47" i="28"/>
  <c r="B47" i="28"/>
  <c r="A47" i="28"/>
  <c r="I48" i="28" s="1"/>
  <c r="J48" i="28" s="1"/>
  <c r="G46" i="28"/>
  <c r="D46" i="28"/>
  <c r="B46" i="28"/>
  <c r="A46" i="28"/>
  <c r="G45" i="28"/>
  <c r="D45" i="28"/>
  <c r="B45" i="28"/>
  <c r="A45" i="28"/>
  <c r="I46" i="28" s="1"/>
  <c r="J46" i="28" s="1"/>
  <c r="G44" i="28"/>
  <c r="D44" i="28"/>
  <c r="B44" i="28"/>
  <c r="A44" i="28"/>
  <c r="G43" i="28"/>
  <c r="D43" i="28"/>
  <c r="B43" i="28"/>
  <c r="A43" i="28"/>
  <c r="I44" i="28" s="1"/>
  <c r="J44" i="28" s="1"/>
  <c r="G42" i="28"/>
  <c r="D42" i="28"/>
  <c r="B42" i="28"/>
  <c r="A42" i="28"/>
  <c r="G41" i="28"/>
  <c r="D41" i="28"/>
  <c r="B41" i="28"/>
  <c r="A41" i="28"/>
  <c r="I42" i="28" s="1"/>
  <c r="J42" i="28" s="1"/>
  <c r="G40" i="28"/>
  <c r="D40" i="28"/>
  <c r="B40" i="28"/>
  <c r="A40" i="28"/>
  <c r="G39" i="28"/>
  <c r="D39" i="28"/>
  <c r="B39" i="28"/>
  <c r="A39" i="28"/>
  <c r="I40" i="28" s="1"/>
  <c r="J40" i="28" s="1"/>
  <c r="G38" i="28"/>
  <c r="D38" i="28"/>
  <c r="B38" i="28"/>
  <c r="A38" i="28"/>
  <c r="G37" i="28"/>
  <c r="D37" i="28"/>
  <c r="B37" i="28"/>
  <c r="A37" i="28"/>
  <c r="I38" i="28" s="1"/>
  <c r="J38" i="28" s="1"/>
  <c r="G36" i="28"/>
  <c r="D36" i="28"/>
  <c r="B36" i="28"/>
  <c r="A36" i="28"/>
  <c r="G35" i="28"/>
  <c r="D35" i="28"/>
  <c r="B35" i="28"/>
  <c r="A35" i="28"/>
  <c r="I36" i="28" s="1"/>
  <c r="J36" i="28" s="1"/>
  <c r="G34" i="28"/>
  <c r="D34" i="28"/>
  <c r="B34" i="28"/>
  <c r="A34" i="28"/>
  <c r="G33" i="28"/>
  <c r="D33" i="28"/>
  <c r="B33" i="28"/>
  <c r="A33" i="28"/>
  <c r="I34" i="28" s="1"/>
  <c r="J34" i="28" s="1"/>
  <c r="G32" i="28"/>
  <c r="D32" i="28"/>
  <c r="B32" i="28"/>
  <c r="A32" i="28"/>
  <c r="G31" i="28"/>
  <c r="D31" i="28"/>
  <c r="B31" i="28"/>
  <c r="A31" i="28"/>
  <c r="I32" i="28" s="1"/>
  <c r="J32" i="28" s="1"/>
  <c r="G30" i="28"/>
  <c r="D30" i="28"/>
  <c r="B30" i="28"/>
  <c r="A30" i="28"/>
  <c r="G29" i="28"/>
  <c r="D29" i="28"/>
  <c r="B29" i="28"/>
  <c r="A29" i="28"/>
  <c r="G28" i="28"/>
  <c r="D28" i="28"/>
  <c r="B28" i="28"/>
  <c r="A28" i="28"/>
  <c r="I29" i="28" s="1"/>
  <c r="J29" i="28" s="1"/>
  <c r="G27" i="28"/>
  <c r="D27" i="28"/>
  <c r="B27" i="28"/>
  <c r="A27" i="28"/>
  <c r="G26" i="28"/>
  <c r="D26" i="28"/>
  <c r="B26" i="28"/>
  <c r="A26" i="28"/>
  <c r="I27" i="28" s="1"/>
  <c r="J27" i="28" s="1"/>
  <c r="G25" i="28"/>
  <c r="D25" i="28"/>
  <c r="B25" i="28"/>
  <c r="A25" i="28"/>
  <c r="I26" i="28" s="1"/>
  <c r="J26" i="28" s="1"/>
  <c r="G24" i="28"/>
  <c r="D24" i="28"/>
  <c r="B24" i="28"/>
  <c r="A24" i="28"/>
  <c r="G23" i="28"/>
  <c r="D23" i="28"/>
  <c r="B23" i="28"/>
  <c r="A23" i="28"/>
  <c r="I24" i="28" s="1"/>
  <c r="J24" i="28" s="1"/>
  <c r="G22" i="28"/>
  <c r="D22" i="28"/>
  <c r="B22" i="28"/>
  <c r="A22" i="28"/>
  <c r="G21" i="28"/>
  <c r="D21" i="28"/>
  <c r="B21" i="28"/>
  <c r="A21" i="28"/>
  <c r="I22" i="28" s="1"/>
  <c r="J22" i="28" s="1"/>
  <c r="G20" i="28"/>
  <c r="D20" i="28"/>
  <c r="B20" i="28"/>
  <c r="A20" i="28"/>
  <c r="I21" i="28" s="1"/>
  <c r="J21" i="28" s="1"/>
  <c r="G19" i="28"/>
  <c r="D19" i="28"/>
  <c r="B19" i="28"/>
  <c r="A19" i="28"/>
  <c r="G18" i="28"/>
  <c r="D18" i="28"/>
  <c r="B18" i="28"/>
  <c r="A18" i="28"/>
  <c r="I19" i="28" s="1"/>
  <c r="J19" i="28" s="1"/>
  <c r="G17" i="28"/>
  <c r="D17" i="28"/>
  <c r="B17" i="28"/>
  <c r="A17" i="28"/>
  <c r="I18" i="28" s="1"/>
  <c r="J18" i="28" s="1"/>
  <c r="G16" i="28"/>
  <c r="D16" i="28"/>
  <c r="B16" i="28"/>
  <c r="A16" i="28"/>
  <c r="I17" i="28" s="1"/>
  <c r="J17" i="28" s="1"/>
  <c r="G15" i="28"/>
  <c r="D15" i="28"/>
  <c r="B15" i="28"/>
  <c r="A15" i="28"/>
  <c r="G14" i="28"/>
  <c r="D14" i="28"/>
  <c r="B14" i="28"/>
  <c r="A14" i="28"/>
  <c r="G13" i="28"/>
  <c r="D13" i="28"/>
  <c r="B13" i="28"/>
  <c r="A13" i="28"/>
  <c r="I14" i="28" s="1"/>
  <c r="J14" i="28" s="1"/>
  <c r="G12" i="28"/>
  <c r="D12" i="28"/>
  <c r="B12" i="28"/>
  <c r="A12" i="28"/>
  <c r="G11" i="28"/>
  <c r="D11" i="28"/>
  <c r="B11" i="28"/>
  <c r="A11" i="28"/>
  <c r="G10" i="28"/>
  <c r="D10" i="28"/>
  <c r="B10" i="28"/>
  <c r="A10" i="28"/>
  <c r="I11" i="28" s="1"/>
  <c r="J11" i="28" s="1"/>
  <c r="G9" i="28"/>
  <c r="D9" i="28"/>
  <c r="B9" i="28"/>
  <c r="A9" i="28"/>
  <c r="J8" i="28"/>
  <c r="I8" i="28"/>
  <c r="G8" i="28"/>
  <c r="D8" i="28"/>
  <c r="B8" i="28"/>
  <c r="A8" i="28"/>
  <c r="BD67" i="29"/>
  <c r="BC67" i="29"/>
  <c r="BB67" i="29"/>
  <c r="BA67" i="29"/>
  <c r="AZ67" i="29"/>
  <c r="AY67" i="29"/>
  <c r="AX67" i="29"/>
  <c r="AV67" i="29"/>
  <c r="AT67" i="29"/>
  <c r="AR67" i="29"/>
  <c r="AP67" i="29"/>
  <c r="AN67" i="29"/>
  <c r="AL67" i="29"/>
  <c r="AI67" i="29"/>
  <c r="AD67" i="29"/>
  <c r="AC67" i="29"/>
  <c r="AB67" i="29"/>
  <c r="AA67" i="29"/>
  <c r="G67" i="29"/>
  <c r="BD66" i="29"/>
  <c r="BC66" i="29"/>
  <c r="BB66" i="29"/>
  <c r="BA66" i="29"/>
  <c r="AZ66" i="29"/>
  <c r="AY66" i="29"/>
  <c r="AX66" i="29"/>
  <c r="AV66" i="29"/>
  <c r="AT66" i="29"/>
  <c r="AR66" i="29"/>
  <c r="AP66" i="29"/>
  <c r="AN66" i="29"/>
  <c r="AL66" i="29"/>
  <c r="AI66" i="29"/>
  <c r="AD66" i="29"/>
  <c r="AC66" i="29"/>
  <c r="AB66" i="29"/>
  <c r="AA66" i="29"/>
  <c r="G66" i="29"/>
  <c r="BD65" i="29"/>
  <c r="BC65" i="29"/>
  <c r="BB65" i="29"/>
  <c r="BA65" i="29"/>
  <c r="AZ65" i="29"/>
  <c r="AY65" i="29"/>
  <c r="AX65" i="29"/>
  <c r="AV65" i="29"/>
  <c r="AT65" i="29"/>
  <c r="AR65" i="29"/>
  <c r="AP65" i="29"/>
  <c r="AN65" i="29"/>
  <c r="AL65" i="29"/>
  <c r="AI65" i="29"/>
  <c r="AD65" i="29"/>
  <c r="AC65" i="29"/>
  <c r="AB65" i="29"/>
  <c r="AA65" i="29"/>
  <c r="G65" i="29"/>
  <c r="BD64" i="29"/>
  <c r="BC64" i="29"/>
  <c r="BB64" i="29"/>
  <c r="BA64" i="29"/>
  <c r="AZ64" i="29"/>
  <c r="AY64" i="29"/>
  <c r="AX64" i="29"/>
  <c r="AV64" i="29"/>
  <c r="AT64" i="29"/>
  <c r="AR64" i="29"/>
  <c r="AP64" i="29"/>
  <c r="AN64" i="29"/>
  <c r="AL64" i="29"/>
  <c r="AI64" i="29"/>
  <c r="AD64" i="29"/>
  <c r="AC64" i="29"/>
  <c r="AB64" i="29"/>
  <c r="AA64" i="29"/>
  <c r="G64" i="29"/>
  <c r="BD63" i="29"/>
  <c r="BC63" i="29"/>
  <c r="BB63" i="29"/>
  <c r="BA63" i="29"/>
  <c r="AZ63" i="29"/>
  <c r="AY63" i="29"/>
  <c r="AX63" i="29"/>
  <c r="AV63" i="29"/>
  <c r="AT63" i="29"/>
  <c r="AR63" i="29"/>
  <c r="AP63" i="29"/>
  <c r="AN63" i="29"/>
  <c r="AL63" i="29"/>
  <c r="AI63" i="29"/>
  <c r="AD63" i="29"/>
  <c r="AC63" i="29"/>
  <c r="AB63" i="29"/>
  <c r="AA63" i="29"/>
  <c r="G63" i="29"/>
  <c r="BD62" i="29"/>
  <c r="BC62" i="29"/>
  <c r="BB62" i="29"/>
  <c r="BA62" i="29"/>
  <c r="AZ62" i="29"/>
  <c r="AY62" i="29"/>
  <c r="AX62" i="29"/>
  <c r="AV62" i="29"/>
  <c r="AT62" i="29"/>
  <c r="AR62" i="29"/>
  <c r="AP62" i="29"/>
  <c r="AN62" i="29"/>
  <c r="AL62" i="29"/>
  <c r="AI62" i="29"/>
  <c r="AD62" i="29"/>
  <c r="AC62" i="29"/>
  <c r="AB62" i="29"/>
  <c r="AA62" i="29"/>
  <c r="G62" i="29"/>
  <c r="BD61" i="29"/>
  <c r="BC61" i="29"/>
  <c r="BB61" i="29"/>
  <c r="BA61" i="29"/>
  <c r="AZ61" i="29"/>
  <c r="AY61" i="29"/>
  <c r="AX61" i="29"/>
  <c r="AV61" i="29"/>
  <c r="AT61" i="29"/>
  <c r="AR61" i="29"/>
  <c r="AP61" i="29"/>
  <c r="AN61" i="29"/>
  <c r="AL61" i="29"/>
  <c r="AI61" i="29"/>
  <c r="AD61" i="29"/>
  <c r="AC61" i="29"/>
  <c r="AB61" i="29"/>
  <c r="AA61" i="29"/>
  <c r="G61" i="29"/>
  <c r="BD60" i="29"/>
  <c r="BC60" i="29"/>
  <c r="BB60" i="29"/>
  <c r="BA60" i="29"/>
  <c r="AZ60" i="29"/>
  <c r="AY60" i="29"/>
  <c r="AX60" i="29"/>
  <c r="AV60" i="29"/>
  <c r="AT60" i="29"/>
  <c r="AR60" i="29"/>
  <c r="AP60" i="29"/>
  <c r="AN60" i="29"/>
  <c r="AL60" i="29"/>
  <c r="AI60" i="29"/>
  <c r="AD60" i="29"/>
  <c r="AC60" i="29"/>
  <c r="AB60" i="29"/>
  <c r="AA60" i="29"/>
  <c r="G60" i="29"/>
  <c r="BD59" i="29"/>
  <c r="BC59" i="29"/>
  <c r="BB59" i="29"/>
  <c r="BA59" i="29"/>
  <c r="AZ59" i="29"/>
  <c r="AY59" i="29"/>
  <c r="AX59" i="29"/>
  <c r="AV59" i="29"/>
  <c r="AT59" i="29"/>
  <c r="AR59" i="29"/>
  <c r="AP59" i="29"/>
  <c r="AN59" i="29"/>
  <c r="AL59" i="29"/>
  <c r="AI59" i="29"/>
  <c r="AD59" i="29"/>
  <c r="AC59" i="29"/>
  <c r="AB59" i="29"/>
  <c r="AA59" i="29"/>
  <c r="G59" i="29"/>
  <c r="BD58" i="29"/>
  <c r="BC58" i="29"/>
  <c r="BB58" i="29"/>
  <c r="BA58" i="29"/>
  <c r="AZ58" i="29"/>
  <c r="AY58" i="29"/>
  <c r="AX58" i="29"/>
  <c r="AV58" i="29"/>
  <c r="AT58" i="29"/>
  <c r="AR58" i="29"/>
  <c r="AP58" i="29"/>
  <c r="AN58" i="29"/>
  <c r="AL58" i="29"/>
  <c r="AI58" i="29"/>
  <c r="AD58" i="29"/>
  <c r="AC58" i="29"/>
  <c r="AB58" i="29"/>
  <c r="AA58" i="29"/>
  <c r="G58" i="29"/>
  <c r="BD57" i="29"/>
  <c r="BC57" i="29"/>
  <c r="BB57" i="29"/>
  <c r="BA57" i="29"/>
  <c r="AZ57" i="29"/>
  <c r="AY57" i="29"/>
  <c r="AX57" i="29"/>
  <c r="AV57" i="29"/>
  <c r="AT57" i="29"/>
  <c r="AR57" i="29"/>
  <c r="AP57" i="29"/>
  <c r="AN57" i="29"/>
  <c r="AL57" i="29"/>
  <c r="AI57" i="29"/>
  <c r="AD57" i="29"/>
  <c r="AC57" i="29"/>
  <c r="AB57" i="29"/>
  <c r="AA57" i="29"/>
  <c r="G57" i="29"/>
  <c r="BD56" i="29"/>
  <c r="BC56" i="29"/>
  <c r="BB56" i="29"/>
  <c r="BA56" i="29"/>
  <c r="AZ56" i="29"/>
  <c r="AY56" i="29"/>
  <c r="AX56" i="29"/>
  <c r="AV56" i="29"/>
  <c r="AT56" i="29"/>
  <c r="AR56" i="29"/>
  <c r="AP56" i="29"/>
  <c r="AN56" i="29"/>
  <c r="AL56" i="29"/>
  <c r="AI56" i="29"/>
  <c r="AD56" i="29"/>
  <c r="AC56" i="29"/>
  <c r="AB56" i="29"/>
  <c r="AA56" i="29"/>
  <c r="G56" i="29"/>
  <c r="BD55" i="29"/>
  <c r="BC55" i="29"/>
  <c r="BB55" i="29"/>
  <c r="BA55" i="29"/>
  <c r="AZ55" i="29"/>
  <c r="AY55" i="29"/>
  <c r="AX55" i="29"/>
  <c r="AV55" i="29"/>
  <c r="AT55" i="29"/>
  <c r="AR55" i="29"/>
  <c r="AP55" i="29"/>
  <c r="AN55" i="29"/>
  <c r="AL55" i="29"/>
  <c r="AI55" i="29"/>
  <c r="AD55" i="29"/>
  <c r="AC55" i="29"/>
  <c r="AB55" i="29"/>
  <c r="AA55" i="29"/>
  <c r="G55" i="29"/>
  <c r="BD54" i="29"/>
  <c r="BC54" i="29"/>
  <c r="BB54" i="29"/>
  <c r="BA54" i="29"/>
  <c r="AZ54" i="29"/>
  <c r="AY54" i="29"/>
  <c r="AX54" i="29"/>
  <c r="AV54" i="29"/>
  <c r="AT54" i="29"/>
  <c r="AR54" i="29"/>
  <c r="AP54" i="29"/>
  <c r="AN54" i="29"/>
  <c r="AL54" i="29"/>
  <c r="AI54" i="29"/>
  <c r="AD54" i="29"/>
  <c r="AC54" i="29"/>
  <c r="AB54" i="29"/>
  <c r="AA54" i="29"/>
  <c r="G54" i="29"/>
  <c r="BD53" i="29"/>
  <c r="BC53" i="29"/>
  <c r="BB53" i="29"/>
  <c r="BA53" i="29"/>
  <c r="AZ53" i="29"/>
  <c r="AY53" i="29"/>
  <c r="AX53" i="29"/>
  <c r="AV53" i="29"/>
  <c r="AT53" i="29"/>
  <c r="AR53" i="29"/>
  <c r="AP53" i="29"/>
  <c r="AN53" i="29"/>
  <c r="AL53" i="29"/>
  <c r="AI53" i="29"/>
  <c r="AD53" i="29"/>
  <c r="AC53" i="29"/>
  <c r="AB53" i="29"/>
  <c r="AA53" i="29"/>
  <c r="G53" i="29"/>
  <c r="BD52" i="29"/>
  <c r="BC52" i="29"/>
  <c r="BB52" i="29"/>
  <c r="BA52" i="29"/>
  <c r="AZ52" i="29"/>
  <c r="AY52" i="29"/>
  <c r="AX52" i="29"/>
  <c r="AV52" i="29"/>
  <c r="AT52" i="29"/>
  <c r="AR52" i="29"/>
  <c r="AP52" i="29"/>
  <c r="AN52" i="29"/>
  <c r="AL52" i="29"/>
  <c r="AI52" i="29"/>
  <c r="AD52" i="29"/>
  <c r="AC52" i="29"/>
  <c r="AB52" i="29"/>
  <c r="AA52" i="29"/>
  <c r="G52" i="29"/>
  <c r="BD51" i="29"/>
  <c r="BC51" i="29"/>
  <c r="BB51" i="29"/>
  <c r="BA51" i="29"/>
  <c r="AZ51" i="29"/>
  <c r="AY51" i="29"/>
  <c r="AX51" i="29"/>
  <c r="AV51" i="29"/>
  <c r="AT51" i="29"/>
  <c r="AR51" i="29"/>
  <c r="AP51" i="29"/>
  <c r="AN51" i="29"/>
  <c r="AL51" i="29"/>
  <c r="AI51" i="29"/>
  <c r="AD51" i="29"/>
  <c r="AC51" i="29"/>
  <c r="AB51" i="29"/>
  <c r="AA51" i="29"/>
  <c r="G51" i="29"/>
  <c r="BD50" i="29"/>
  <c r="BC50" i="29"/>
  <c r="BB50" i="29"/>
  <c r="BA50" i="29"/>
  <c r="AZ50" i="29"/>
  <c r="AY50" i="29"/>
  <c r="AX50" i="29"/>
  <c r="AV50" i="29"/>
  <c r="AT50" i="29"/>
  <c r="AR50" i="29"/>
  <c r="AP50" i="29"/>
  <c r="AN50" i="29"/>
  <c r="AL50" i="29"/>
  <c r="AI50" i="29"/>
  <c r="AD50" i="29"/>
  <c r="AC50" i="29"/>
  <c r="AB50" i="29"/>
  <c r="AA50" i="29"/>
  <c r="G50" i="29"/>
  <c r="BD49" i="29"/>
  <c r="BC49" i="29"/>
  <c r="BB49" i="29"/>
  <c r="BA49" i="29"/>
  <c r="AZ49" i="29"/>
  <c r="AY49" i="29"/>
  <c r="AX49" i="29"/>
  <c r="AV49" i="29"/>
  <c r="AT49" i="29"/>
  <c r="AR49" i="29"/>
  <c r="AP49" i="29"/>
  <c r="AN49" i="29"/>
  <c r="AL49" i="29"/>
  <c r="AI49" i="29"/>
  <c r="AD49" i="29"/>
  <c r="AC49" i="29"/>
  <c r="AB49" i="29"/>
  <c r="AA49" i="29"/>
  <c r="G49" i="29"/>
  <c r="BD48" i="29"/>
  <c r="BC48" i="29"/>
  <c r="BB48" i="29"/>
  <c r="BA48" i="29"/>
  <c r="AZ48" i="29"/>
  <c r="AY48" i="29"/>
  <c r="AX48" i="29"/>
  <c r="AV48" i="29"/>
  <c r="AT48" i="29"/>
  <c r="AR48" i="29"/>
  <c r="AP48" i="29"/>
  <c r="AN48" i="29"/>
  <c r="AL48" i="29"/>
  <c r="AI48" i="29"/>
  <c r="AD48" i="29"/>
  <c r="AC48" i="29"/>
  <c r="AB48" i="29"/>
  <c r="AA48" i="29"/>
  <c r="G48" i="29"/>
  <c r="BD47" i="29"/>
  <c r="BC47" i="29"/>
  <c r="BB47" i="29"/>
  <c r="BA47" i="29"/>
  <c r="AZ47" i="29"/>
  <c r="AY47" i="29"/>
  <c r="AX47" i="29"/>
  <c r="AV47" i="29"/>
  <c r="AT47" i="29"/>
  <c r="AR47" i="29"/>
  <c r="AP47" i="29"/>
  <c r="AN47" i="29"/>
  <c r="AL47" i="29"/>
  <c r="AI47" i="29"/>
  <c r="AD47" i="29"/>
  <c r="AC47" i="29"/>
  <c r="AB47" i="29"/>
  <c r="AA47" i="29"/>
  <c r="G47" i="29"/>
  <c r="BD46" i="29"/>
  <c r="BC46" i="29"/>
  <c r="BB46" i="29"/>
  <c r="BA46" i="29"/>
  <c r="AZ46" i="29"/>
  <c r="AY46" i="29"/>
  <c r="AX46" i="29"/>
  <c r="AV46" i="29"/>
  <c r="AT46" i="29"/>
  <c r="AR46" i="29"/>
  <c r="AP46" i="29"/>
  <c r="AN46" i="29"/>
  <c r="AL46" i="29"/>
  <c r="AI46" i="29"/>
  <c r="AD46" i="29"/>
  <c r="AC46" i="29"/>
  <c r="AB46" i="29"/>
  <c r="AA46" i="29"/>
  <c r="G46" i="29"/>
  <c r="BD45" i="29"/>
  <c r="BC45" i="29"/>
  <c r="BB45" i="29"/>
  <c r="BA45" i="29"/>
  <c r="AZ45" i="29"/>
  <c r="AY45" i="29"/>
  <c r="AX45" i="29"/>
  <c r="AV45" i="29"/>
  <c r="AT45" i="29"/>
  <c r="AR45" i="29"/>
  <c r="AP45" i="29"/>
  <c r="AN45" i="29"/>
  <c r="AL45" i="29"/>
  <c r="AI45" i="29"/>
  <c r="AD45" i="29"/>
  <c r="AC45" i="29"/>
  <c r="AB45" i="29"/>
  <c r="AA45" i="29"/>
  <c r="G45" i="29"/>
  <c r="BD44" i="29"/>
  <c r="BC44" i="29"/>
  <c r="BB44" i="29"/>
  <c r="BA44" i="29"/>
  <c r="AZ44" i="29"/>
  <c r="AY44" i="29"/>
  <c r="AX44" i="29"/>
  <c r="AV44" i="29"/>
  <c r="AT44" i="29"/>
  <c r="AR44" i="29"/>
  <c r="AP44" i="29"/>
  <c r="AN44" i="29"/>
  <c r="AL44" i="29"/>
  <c r="AI44" i="29"/>
  <c r="AD44" i="29"/>
  <c r="AC44" i="29"/>
  <c r="AB44" i="29"/>
  <c r="AA44" i="29"/>
  <c r="G44" i="29"/>
  <c r="BD43" i="29"/>
  <c r="BC43" i="29"/>
  <c r="BB43" i="29"/>
  <c r="BA43" i="29"/>
  <c r="AZ43" i="29"/>
  <c r="AY43" i="29"/>
  <c r="AX43" i="29"/>
  <c r="AV43" i="29"/>
  <c r="AT43" i="29"/>
  <c r="AR43" i="29"/>
  <c r="AP43" i="29"/>
  <c r="AN43" i="29"/>
  <c r="AL43" i="29"/>
  <c r="AI43" i="29"/>
  <c r="AD43" i="29"/>
  <c r="AC43" i="29"/>
  <c r="AB43" i="29"/>
  <c r="AA43" i="29"/>
  <c r="G43" i="29"/>
  <c r="BD42" i="29"/>
  <c r="BC42" i="29"/>
  <c r="BB42" i="29"/>
  <c r="BA42" i="29"/>
  <c r="AZ42" i="29"/>
  <c r="AY42" i="29"/>
  <c r="AX42" i="29"/>
  <c r="AV42" i="29"/>
  <c r="AT42" i="29"/>
  <c r="AR42" i="29"/>
  <c r="AP42" i="29"/>
  <c r="AN42" i="29"/>
  <c r="AL42" i="29"/>
  <c r="AI42" i="29"/>
  <c r="AD42" i="29"/>
  <c r="AC42" i="29"/>
  <c r="AB42" i="29"/>
  <c r="AA42" i="29"/>
  <c r="G42" i="29"/>
  <c r="BD41" i="29"/>
  <c r="BC41" i="29"/>
  <c r="BB41" i="29"/>
  <c r="BA41" i="29"/>
  <c r="AZ41" i="29"/>
  <c r="AY41" i="29"/>
  <c r="AX41" i="29"/>
  <c r="AV41" i="29"/>
  <c r="AT41" i="29"/>
  <c r="AR41" i="29"/>
  <c r="AP41" i="29"/>
  <c r="AN41" i="29"/>
  <c r="AL41" i="29"/>
  <c r="AI41" i="29"/>
  <c r="AD41" i="29"/>
  <c r="AC41" i="29"/>
  <c r="AB41" i="29"/>
  <c r="AA41" i="29"/>
  <c r="G41" i="29"/>
  <c r="BD40" i="29"/>
  <c r="BC40" i="29"/>
  <c r="BB40" i="29"/>
  <c r="BA40" i="29"/>
  <c r="AZ40" i="29"/>
  <c r="AY40" i="29"/>
  <c r="AX40" i="29"/>
  <c r="AV40" i="29"/>
  <c r="AT40" i="29"/>
  <c r="AR40" i="29"/>
  <c r="AP40" i="29"/>
  <c r="AN40" i="29"/>
  <c r="AL40" i="29"/>
  <c r="AI40" i="29"/>
  <c r="AD40" i="29"/>
  <c r="AC40" i="29"/>
  <c r="AB40" i="29"/>
  <c r="AA40" i="29"/>
  <c r="G40" i="29"/>
  <c r="BD39" i="29"/>
  <c r="BC39" i="29"/>
  <c r="BB39" i="29"/>
  <c r="BA39" i="29"/>
  <c r="AZ39" i="29"/>
  <c r="AY39" i="29"/>
  <c r="AX39" i="29"/>
  <c r="AV39" i="29"/>
  <c r="AT39" i="29"/>
  <c r="AR39" i="29"/>
  <c r="AP39" i="29"/>
  <c r="AN39" i="29"/>
  <c r="AL39" i="29"/>
  <c r="AI39" i="29"/>
  <c r="AD39" i="29"/>
  <c r="AC39" i="29"/>
  <c r="AB39" i="29"/>
  <c r="AA39" i="29"/>
  <c r="G39" i="29"/>
  <c r="BD38" i="29"/>
  <c r="BC38" i="29"/>
  <c r="BB38" i="29"/>
  <c r="BA38" i="29"/>
  <c r="AZ38" i="29"/>
  <c r="AY38" i="29"/>
  <c r="AX38" i="29"/>
  <c r="AV38" i="29"/>
  <c r="AT38" i="29"/>
  <c r="AR38" i="29"/>
  <c r="AP38" i="29"/>
  <c r="AN38" i="29"/>
  <c r="AL38" i="29"/>
  <c r="AI38" i="29"/>
  <c r="AD38" i="29"/>
  <c r="AC38" i="29"/>
  <c r="AB38" i="29"/>
  <c r="AA38" i="29"/>
  <c r="G38" i="29"/>
  <c r="BD37" i="29"/>
  <c r="BC37" i="29"/>
  <c r="BB37" i="29"/>
  <c r="BA37" i="29"/>
  <c r="AZ37" i="29"/>
  <c r="AY37" i="29"/>
  <c r="AX37" i="29"/>
  <c r="AV37" i="29"/>
  <c r="AT37" i="29"/>
  <c r="AR37" i="29"/>
  <c r="AP37" i="29"/>
  <c r="AN37" i="29"/>
  <c r="AL37" i="29"/>
  <c r="AI37" i="29"/>
  <c r="AD37" i="29"/>
  <c r="AC37" i="29"/>
  <c r="AB37" i="29"/>
  <c r="AA37" i="29"/>
  <c r="G37" i="29"/>
  <c r="BD36" i="29"/>
  <c r="BC36" i="29"/>
  <c r="BB36" i="29"/>
  <c r="BA36" i="29"/>
  <c r="AZ36" i="29"/>
  <c r="AY36" i="29"/>
  <c r="AX36" i="29"/>
  <c r="AV36" i="29"/>
  <c r="AT36" i="29"/>
  <c r="AR36" i="29"/>
  <c r="AP36" i="29"/>
  <c r="AN36" i="29"/>
  <c r="AL36" i="29"/>
  <c r="AI36" i="29"/>
  <c r="AD36" i="29"/>
  <c r="AC36" i="29"/>
  <c r="AB36" i="29"/>
  <c r="AA36" i="29"/>
  <c r="G36" i="29"/>
  <c r="BD35" i="29"/>
  <c r="BC35" i="29"/>
  <c r="BB35" i="29"/>
  <c r="BA35" i="29"/>
  <c r="AZ35" i="29"/>
  <c r="AY35" i="29"/>
  <c r="AX35" i="29"/>
  <c r="AV35" i="29"/>
  <c r="AT35" i="29"/>
  <c r="AR35" i="29"/>
  <c r="AP35" i="29"/>
  <c r="AN35" i="29"/>
  <c r="AL35" i="29"/>
  <c r="AI35" i="29"/>
  <c r="AD35" i="29"/>
  <c r="AC35" i="29"/>
  <c r="AB35" i="29"/>
  <c r="AA35" i="29"/>
  <c r="G35" i="29"/>
  <c r="BD34" i="29"/>
  <c r="BC34" i="29"/>
  <c r="BB34" i="29"/>
  <c r="BA34" i="29"/>
  <c r="AZ34" i="29"/>
  <c r="AY34" i="29"/>
  <c r="AX34" i="29"/>
  <c r="AV34" i="29"/>
  <c r="AT34" i="29"/>
  <c r="AR34" i="29"/>
  <c r="AP34" i="29"/>
  <c r="AN34" i="29"/>
  <c r="AL34" i="29"/>
  <c r="AI34" i="29"/>
  <c r="AD34" i="29"/>
  <c r="AC34" i="29"/>
  <c r="AB34" i="29"/>
  <c r="AA34" i="29"/>
  <c r="G34" i="29"/>
  <c r="BD33" i="29"/>
  <c r="BC33" i="29"/>
  <c r="BB33" i="29"/>
  <c r="BA33" i="29"/>
  <c r="AZ33" i="29"/>
  <c r="AY33" i="29"/>
  <c r="AX33" i="29"/>
  <c r="AV33" i="29"/>
  <c r="AT33" i="29"/>
  <c r="AR33" i="29"/>
  <c r="AP33" i="29"/>
  <c r="AN33" i="29"/>
  <c r="AL33" i="29"/>
  <c r="AI33" i="29"/>
  <c r="AD33" i="29"/>
  <c r="AC33" i="29"/>
  <c r="AB33" i="29"/>
  <c r="AA33" i="29"/>
  <c r="G33" i="29"/>
  <c r="BD32" i="29"/>
  <c r="BC32" i="29"/>
  <c r="BB32" i="29"/>
  <c r="BA32" i="29"/>
  <c r="AZ32" i="29"/>
  <c r="AY32" i="29"/>
  <c r="AX32" i="29"/>
  <c r="AV32" i="29"/>
  <c r="AT32" i="29"/>
  <c r="AR32" i="29"/>
  <c r="AP32" i="29"/>
  <c r="AN32" i="29"/>
  <c r="AL32" i="29"/>
  <c r="AI32" i="29"/>
  <c r="AD32" i="29"/>
  <c r="AC32" i="29"/>
  <c r="AB32" i="29"/>
  <c r="AA32" i="29"/>
  <c r="G32" i="29"/>
  <c r="BD31" i="29"/>
  <c r="BC31" i="29"/>
  <c r="BB31" i="29"/>
  <c r="BA31" i="29"/>
  <c r="AZ31" i="29"/>
  <c r="AY31" i="29"/>
  <c r="AX31" i="29"/>
  <c r="AV31" i="29"/>
  <c r="AT31" i="29"/>
  <c r="AR31" i="29"/>
  <c r="AP31" i="29"/>
  <c r="AN31" i="29"/>
  <c r="AL31" i="29"/>
  <c r="AI31" i="29"/>
  <c r="AD31" i="29"/>
  <c r="AC31" i="29"/>
  <c r="AB31" i="29"/>
  <c r="AA31" i="29"/>
  <c r="G31" i="29"/>
  <c r="BD30" i="29"/>
  <c r="BC30" i="29"/>
  <c r="BB30" i="29"/>
  <c r="BA30" i="29"/>
  <c r="AZ30" i="29"/>
  <c r="AY30" i="29"/>
  <c r="AX30" i="29"/>
  <c r="AV30" i="29"/>
  <c r="AT30" i="29"/>
  <c r="AR30" i="29"/>
  <c r="AP30" i="29"/>
  <c r="AN30" i="29"/>
  <c r="AL30" i="29"/>
  <c r="AI30" i="29"/>
  <c r="AD30" i="29"/>
  <c r="AC30" i="29"/>
  <c r="AB30" i="29"/>
  <c r="AA30" i="29"/>
  <c r="G30" i="29"/>
  <c r="BD29" i="29"/>
  <c r="BC29" i="29"/>
  <c r="BB29" i="29"/>
  <c r="BA29" i="29"/>
  <c r="AZ29" i="29"/>
  <c r="AY29" i="29"/>
  <c r="AX29" i="29"/>
  <c r="AV29" i="29"/>
  <c r="AT29" i="29"/>
  <c r="AR29" i="29"/>
  <c r="AP29" i="29"/>
  <c r="AN29" i="29"/>
  <c r="AL29" i="29"/>
  <c r="AI29" i="29"/>
  <c r="AD29" i="29"/>
  <c r="AC29" i="29"/>
  <c r="AB29" i="29"/>
  <c r="AA29" i="29"/>
  <c r="G29" i="29"/>
  <c r="BD28" i="29"/>
  <c r="BC28" i="29"/>
  <c r="BB28" i="29"/>
  <c r="BA28" i="29"/>
  <c r="AZ28" i="29"/>
  <c r="AY28" i="29"/>
  <c r="AX28" i="29"/>
  <c r="AV28" i="29"/>
  <c r="AT28" i="29"/>
  <c r="AR28" i="29"/>
  <c r="AP28" i="29"/>
  <c r="AN28" i="29"/>
  <c r="AL28" i="29"/>
  <c r="AI28" i="29"/>
  <c r="AD28" i="29"/>
  <c r="AC28" i="29"/>
  <c r="AB28" i="29"/>
  <c r="AA28" i="29"/>
  <c r="G28" i="29"/>
  <c r="BD27" i="29"/>
  <c r="BC27" i="29"/>
  <c r="BB27" i="29"/>
  <c r="BA27" i="29"/>
  <c r="AZ27" i="29"/>
  <c r="AY27" i="29"/>
  <c r="AX27" i="29"/>
  <c r="AV27" i="29"/>
  <c r="AT27" i="29"/>
  <c r="AR27" i="29"/>
  <c r="AP27" i="29"/>
  <c r="AN27" i="29"/>
  <c r="AL27" i="29"/>
  <c r="AI27" i="29"/>
  <c r="AD27" i="29"/>
  <c r="AC27" i="29"/>
  <c r="AB27" i="29"/>
  <c r="AA27" i="29"/>
  <c r="G27" i="29"/>
  <c r="BD26" i="29"/>
  <c r="BC26" i="29"/>
  <c r="BB26" i="29"/>
  <c r="BA26" i="29"/>
  <c r="AZ26" i="29"/>
  <c r="AY26" i="29"/>
  <c r="AX26" i="29"/>
  <c r="AV26" i="29"/>
  <c r="AT26" i="29"/>
  <c r="AR26" i="29"/>
  <c r="AP26" i="29"/>
  <c r="AN26" i="29"/>
  <c r="AL26" i="29"/>
  <c r="AI26" i="29"/>
  <c r="AD26" i="29"/>
  <c r="AC26" i="29"/>
  <c r="AB26" i="29"/>
  <c r="AA26" i="29"/>
  <c r="G26" i="29"/>
  <c r="BC25" i="29"/>
  <c r="AZ25" i="29"/>
  <c r="AY25" i="29"/>
  <c r="AX25" i="29"/>
  <c r="AV25" i="29"/>
  <c r="AT25" i="29"/>
  <c r="AR25" i="29"/>
  <c r="AP25" i="29"/>
  <c r="AN25" i="29"/>
  <c r="AL25" i="29"/>
  <c r="AI25" i="29"/>
  <c r="BD24" i="29"/>
  <c r="BC24" i="29"/>
  <c r="BB24" i="29"/>
  <c r="BA24" i="29"/>
  <c r="AZ24" i="29"/>
  <c r="AY24" i="29"/>
  <c r="AX24" i="29"/>
  <c r="AV24" i="29"/>
  <c r="AT24" i="29"/>
  <c r="AR24" i="29"/>
  <c r="AP24" i="29"/>
  <c r="AN24" i="29"/>
  <c r="AL24" i="29"/>
  <c r="AI24" i="29"/>
  <c r="AD24" i="29"/>
  <c r="AC24" i="29"/>
  <c r="AB24" i="29"/>
  <c r="AA24" i="29"/>
  <c r="G24" i="29"/>
  <c r="BD23" i="29"/>
  <c r="BC23" i="29"/>
  <c r="BB23" i="29"/>
  <c r="BA23" i="29"/>
  <c r="AZ23" i="29"/>
  <c r="AY23" i="29"/>
  <c r="AX23" i="29"/>
  <c r="AV23" i="29"/>
  <c r="AT23" i="29"/>
  <c r="AR23" i="29"/>
  <c r="AP23" i="29"/>
  <c r="AN23" i="29"/>
  <c r="AL23" i="29"/>
  <c r="AI23" i="29"/>
  <c r="AD23" i="29"/>
  <c r="AC23" i="29"/>
  <c r="AB23" i="29"/>
  <c r="AA23" i="29"/>
  <c r="G23" i="29"/>
  <c r="BD22" i="29"/>
  <c r="BC22" i="29"/>
  <c r="BB22" i="29"/>
  <c r="BA22" i="29"/>
  <c r="AZ22" i="29"/>
  <c r="AY22" i="29"/>
  <c r="AX22" i="29"/>
  <c r="AV22" i="29"/>
  <c r="AT22" i="29"/>
  <c r="AR22" i="29"/>
  <c r="AP22" i="29"/>
  <c r="AN22" i="29"/>
  <c r="AL22" i="29"/>
  <c r="AI22" i="29"/>
  <c r="AD22" i="29"/>
  <c r="AC22" i="29"/>
  <c r="AB22" i="29"/>
  <c r="AA22" i="29"/>
  <c r="G22" i="29"/>
  <c r="BD21" i="29"/>
  <c r="BC21" i="29"/>
  <c r="BB21" i="29"/>
  <c r="BA21" i="29"/>
  <c r="AZ21" i="29"/>
  <c r="AY21" i="29"/>
  <c r="AX21" i="29"/>
  <c r="AV21" i="29"/>
  <c r="AT21" i="29"/>
  <c r="AR21" i="29"/>
  <c r="AP21" i="29"/>
  <c r="AN21" i="29"/>
  <c r="AL21" i="29"/>
  <c r="AI21" i="29"/>
  <c r="AD21" i="29"/>
  <c r="AC21" i="29"/>
  <c r="AB21" i="29"/>
  <c r="AA21" i="29"/>
  <c r="G21" i="29"/>
  <c r="BD20" i="29"/>
  <c r="BC20" i="29"/>
  <c r="BB20" i="29"/>
  <c r="BA20" i="29"/>
  <c r="AZ20" i="29"/>
  <c r="AY20" i="29"/>
  <c r="AX20" i="29"/>
  <c r="AV20" i="29"/>
  <c r="AT20" i="29"/>
  <c r="AR20" i="29"/>
  <c r="AP20" i="29"/>
  <c r="AN20" i="29"/>
  <c r="AL20" i="29"/>
  <c r="AI20" i="29"/>
  <c r="AD20" i="29"/>
  <c r="AC20" i="29"/>
  <c r="AB20" i="29"/>
  <c r="AA20" i="29"/>
  <c r="G20" i="29"/>
  <c r="BD19" i="29"/>
  <c r="BC19" i="29"/>
  <c r="BB19" i="29"/>
  <c r="BA19" i="29"/>
  <c r="AZ19" i="29"/>
  <c r="AY19" i="29"/>
  <c r="AX19" i="29"/>
  <c r="AV19" i="29"/>
  <c r="AT19" i="29"/>
  <c r="AR19" i="29"/>
  <c r="AP19" i="29"/>
  <c r="AN19" i="29"/>
  <c r="AL19" i="29"/>
  <c r="AI19" i="29"/>
  <c r="AD19" i="29"/>
  <c r="AC19" i="29"/>
  <c r="AB19" i="29"/>
  <c r="AA19" i="29"/>
  <c r="G19" i="29"/>
  <c r="BD18" i="29"/>
  <c r="BC18" i="29"/>
  <c r="BB18" i="29"/>
  <c r="BA18" i="29"/>
  <c r="AZ18" i="29"/>
  <c r="AY18" i="29"/>
  <c r="AX18" i="29"/>
  <c r="AV18" i="29"/>
  <c r="AT18" i="29"/>
  <c r="AR18" i="29"/>
  <c r="AP18" i="29"/>
  <c r="AN18" i="29"/>
  <c r="AL18" i="29"/>
  <c r="AI18" i="29"/>
  <c r="AD18" i="29"/>
  <c r="AC18" i="29"/>
  <c r="AB18" i="29"/>
  <c r="AA18" i="29"/>
  <c r="G18" i="29"/>
  <c r="BC17" i="29"/>
  <c r="AZ17" i="29"/>
  <c r="AY17" i="29"/>
  <c r="AX17" i="29"/>
  <c r="AV17" i="29"/>
  <c r="AT17" i="29"/>
  <c r="AR17" i="29"/>
  <c r="AP17" i="29"/>
  <c r="AN17" i="29"/>
  <c r="AL17" i="29"/>
  <c r="AI17" i="29"/>
  <c r="AC17" i="29"/>
  <c r="AA17" i="29"/>
  <c r="BC16" i="29"/>
  <c r="AZ16" i="29"/>
  <c r="AY16" i="29"/>
  <c r="AX16" i="29"/>
  <c r="AV16" i="29"/>
  <c r="AT16" i="29"/>
  <c r="AR16" i="29"/>
  <c r="AP16" i="29"/>
  <c r="AN16" i="29"/>
  <c r="AL16" i="29"/>
  <c r="AI16" i="29"/>
  <c r="AC16" i="29"/>
  <c r="AA16" i="29"/>
  <c r="BD15" i="29"/>
  <c r="BC15" i="29"/>
  <c r="BB15" i="29"/>
  <c r="BA15" i="29"/>
  <c r="AZ15" i="29"/>
  <c r="AY15" i="29"/>
  <c r="AX15" i="29"/>
  <c r="AV15" i="29"/>
  <c r="AT15" i="29"/>
  <c r="AR15" i="29"/>
  <c r="AP15" i="29"/>
  <c r="AN15" i="29"/>
  <c r="AL15" i="29"/>
  <c r="AI15" i="29"/>
  <c r="AD15" i="29"/>
  <c r="AC15" i="29"/>
  <c r="AB15" i="29"/>
  <c r="AA15" i="29"/>
  <c r="G15" i="29"/>
  <c r="BD14" i="29"/>
  <c r="BC14" i="29"/>
  <c r="BB14" i="29"/>
  <c r="BA14" i="29"/>
  <c r="AZ14" i="29"/>
  <c r="AY14" i="29"/>
  <c r="AX14" i="29"/>
  <c r="AV14" i="29"/>
  <c r="AT14" i="29"/>
  <c r="AR14" i="29"/>
  <c r="AP14" i="29"/>
  <c r="AN14" i="29"/>
  <c r="AL14" i="29"/>
  <c r="AI14" i="29"/>
  <c r="AD14" i="29"/>
  <c r="AC14" i="29"/>
  <c r="AB14" i="29"/>
  <c r="AA14" i="29"/>
  <c r="G14" i="29"/>
  <c r="BD13" i="29"/>
  <c r="BC13" i="29"/>
  <c r="BB13" i="29"/>
  <c r="BA13" i="29"/>
  <c r="AZ13" i="29"/>
  <c r="AY13" i="29"/>
  <c r="AX13" i="29"/>
  <c r="AV13" i="29"/>
  <c r="AT13" i="29"/>
  <c r="AR13" i="29"/>
  <c r="AP13" i="29"/>
  <c r="AN13" i="29"/>
  <c r="AL13" i="29"/>
  <c r="AI13" i="29"/>
  <c r="AD13" i="29"/>
  <c r="AC13" i="29"/>
  <c r="AB13" i="29"/>
  <c r="AA13" i="29"/>
  <c r="G13" i="29"/>
  <c r="BC12" i="29"/>
  <c r="BB12" i="29"/>
  <c r="BA12" i="29"/>
  <c r="AZ12" i="29"/>
  <c r="AY12" i="29"/>
  <c r="AX12" i="29"/>
  <c r="AV12" i="29"/>
  <c r="AT12" i="29"/>
  <c r="AR12" i="29"/>
  <c r="AP12" i="29"/>
  <c r="AN12" i="29"/>
  <c r="AL12" i="29"/>
  <c r="AI12" i="29"/>
  <c r="AA12" i="29"/>
  <c r="BD11" i="29"/>
  <c r="BC11" i="29"/>
  <c r="BB11" i="29"/>
  <c r="BA11" i="29"/>
  <c r="AZ11" i="29"/>
  <c r="AY11" i="29"/>
  <c r="AX11" i="29"/>
  <c r="AV11" i="29"/>
  <c r="AT11" i="29"/>
  <c r="AR11" i="29"/>
  <c r="AP11" i="29"/>
  <c r="AN11" i="29"/>
  <c r="AL11" i="29"/>
  <c r="AI11" i="29"/>
  <c r="AD11" i="29"/>
  <c r="AC11" i="29"/>
  <c r="AB11" i="29"/>
  <c r="AA11" i="29"/>
  <c r="G11" i="29"/>
  <c r="BD10" i="29"/>
  <c r="BC10" i="29"/>
  <c r="BB10" i="29"/>
  <c r="BA10" i="29"/>
  <c r="AZ10" i="29"/>
  <c r="AY10" i="29"/>
  <c r="AX10" i="29"/>
  <c r="AV10" i="29"/>
  <c r="AT10" i="29"/>
  <c r="AR10" i="29"/>
  <c r="AP10" i="29"/>
  <c r="AN10" i="29"/>
  <c r="AL10" i="29"/>
  <c r="AI10" i="29"/>
  <c r="AD10" i="29"/>
  <c r="AC10" i="29"/>
  <c r="AB10" i="29"/>
  <c r="AA10" i="29"/>
  <c r="G10" i="29"/>
  <c r="BD9" i="29"/>
  <c r="BC9" i="29"/>
  <c r="BB9" i="29"/>
  <c r="BA9" i="29"/>
  <c r="AZ9" i="29"/>
  <c r="AY9" i="29"/>
  <c r="AX9" i="29"/>
  <c r="AV9" i="29"/>
  <c r="AT9" i="29"/>
  <c r="AR9" i="29"/>
  <c r="AP9" i="29"/>
  <c r="AN9" i="29"/>
  <c r="AL9" i="29"/>
  <c r="AI9" i="29"/>
  <c r="AD9" i="29"/>
  <c r="AC9" i="29"/>
  <c r="AB9" i="29"/>
  <c r="AA9" i="29"/>
  <c r="G9" i="29"/>
  <c r="BD8" i="29"/>
  <c r="BC8" i="29"/>
  <c r="BB8" i="29"/>
  <c r="BA8" i="29"/>
  <c r="AZ8" i="29"/>
  <c r="AY8" i="29"/>
  <c r="AX8" i="29"/>
  <c r="AI8" i="29"/>
  <c r="AD8" i="29"/>
  <c r="AC8" i="29"/>
  <c r="AB8" i="29"/>
  <c r="AA8" i="29"/>
  <c r="G8" i="29"/>
  <c r="AC93" i="22"/>
  <c r="AB93" i="22" s="1"/>
  <c r="U93" i="22"/>
  <c r="R93" i="22"/>
  <c r="J93" i="22"/>
  <c r="K93" i="22" s="1"/>
  <c r="L93" i="22" s="1"/>
  <c r="H93" i="22"/>
  <c r="G93" i="22"/>
  <c r="M93" i="22" s="1"/>
  <c r="U92" i="22"/>
  <c r="R92" i="22"/>
  <c r="Y93" i="22" s="1"/>
  <c r="J92" i="22"/>
  <c r="K92" i="22" s="1"/>
  <c r="L92" i="22" s="1"/>
  <c r="G92" i="22"/>
  <c r="M92" i="22" s="1"/>
  <c r="Y91" i="22"/>
  <c r="U91" i="22"/>
  <c r="R91" i="22"/>
  <c r="AC92" i="22" s="1"/>
  <c r="AB92" i="22" s="1"/>
  <c r="L91" i="22"/>
  <c r="J91" i="22"/>
  <c r="K91" i="22" s="1"/>
  <c r="G91" i="22"/>
  <c r="H91" i="22" s="1"/>
  <c r="U90" i="22"/>
  <c r="R90" i="22"/>
  <c r="AC91" i="22" s="1"/>
  <c r="AB91" i="22" s="1"/>
  <c r="K90" i="22"/>
  <c r="L90" i="22" s="1"/>
  <c r="J90" i="22"/>
  <c r="G90" i="22"/>
  <c r="AC89" i="22"/>
  <c r="AB89" i="22" s="1"/>
  <c r="U89" i="22"/>
  <c r="R89" i="22"/>
  <c r="AC90" i="22" s="1"/>
  <c r="AB90" i="22" s="1"/>
  <c r="J89" i="22"/>
  <c r="K89" i="22" s="1"/>
  <c r="L89" i="22" s="1"/>
  <c r="H89" i="22"/>
  <c r="G89" i="22"/>
  <c r="M89" i="22" s="1"/>
  <c r="U88" i="22"/>
  <c r="R88" i="22"/>
  <c r="Y89" i="22" s="1"/>
  <c r="J88" i="22"/>
  <c r="K88" i="22" s="1"/>
  <c r="L88" i="22" s="1"/>
  <c r="G88" i="22"/>
  <c r="M88" i="22" s="1"/>
  <c r="AC87" i="22"/>
  <c r="AB87" i="22" s="1"/>
  <c r="Y87" i="22"/>
  <c r="U87" i="22"/>
  <c r="R87" i="22"/>
  <c r="AC88" i="22" s="1"/>
  <c r="AB88" i="22" s="1"/>
  <c r="L87" i="22"/>
  <c r="J87" i="22"/>
  <c r="K87" i="22" s="1"/>
  <c r="H87" i="22"/>
  <c r="G87" i="22"/>
  <c r="M87" i="22" s="1"/>
  <c r="U86" i="22"/>
  <c r="R86" i="22"/>
  <c r="U85" i="22"/>
  <c r="R85" i="22"/>
  <c r="U84" i="22"/>
  <c r="R84" i="22"/>
  <c r="AC83" i="22"/>
  <c r="AB83" i="22" s="1"/>
  <c r="Z83" i="22"/>
  <c r="AD83" i="22" s="1"/>
  <c r="U83" i="22"/>
  <c r="R83" i="22"/>
  <c r="M83" i="22"/>
  <c r="J83" i="22"/>
  <c r="K83" i="22" s="1"/>
  <c r="L83" i="22" s="1"/>
  <c r="G83" i="22"/>
  <c r="H83" i="22" s="1"/>
  <c r="Y83" i="22" s="1"/>
  <c r="AA83" i="22" s="1"/>
  <c r="U82" i="22"/>
  <c r="R82" i="22"/>
  <c r="AC81" i="22"/>
  <c r="AB81" i="22" s="1"/>
  <c r="U81" i="22"/>
  <c r="R81" i="22"/>
  <c r="L81" i="22"/>
  <c r="J81" i="22"/>
  <c r="K81" i="22" s="1"/>
  <c r="H81" i="22"/>
  <c r="Y81" i="22" s="1"/>
  <c r="G81" i="22"/>
  <c r="M81" i="22" s="1"/>
  <c r="U80" i="22"/>
  <c r="R80" i="22"/>
  <c r="J80" i="22"/>
  <c r="K80" i="22" s="1"/>
  <c r="L80" i="22" s="1"/>
  <c r="G80" i="22"/>
  <c r="M80" i="22" s="1"/>
  <c r="AC79" i="22"/>
  <c r="AB79" i="22" s="1"/>
  <c r="Y79" i="22"/>
  <c r="U79" i="22"/>
  <c r="R79" i="22"/>
  <c r="L79" i="22"/>
  <c r="J79" i="22"/>
  <c r="K79" i="22" s="1"/>
  <c r="H79" i="22"/>
  <c r="G79" i="22"/>
  <c r="M79" i="22" s="1"/>
  <c r="U78" i="22"/>
  <c r="R78" i="22"/>
  <c r="K78" i="22"/>
  <c r="L78" i="22" s="1"/>
  <c r="J78" i="22"/>
  <c r="G78" i="22"/>
  <c r="AC77" i="22"/>
  <c r="AB77" i="22" s="1"/>
  <c r="U77" i="22"/>
  <c r="R77" i="22"/>
  <c r="J77" i="22"/>
  <c r="K77" i="22" s="1"/>
  <c r="L77" i="22" s="1"/>
  <c r="H77" i="22"/>
  <c r="Y77" i="22" s="1"/>
  <c r="G77" i="22"/>
  <c r="M77" i="22" s="1"/>
  <c r="U76" i="22"/>
  <c r="R76" i="22"/>
  <c r="J76" i="22"/>
  <c r="K76" i="22" s="1"/>
  <c r="L76" i="22" s="1"/>
  <c r="G76" i="22"/>
  <c r="M76" i="22" s="1"/>
  <c r="U75" i="22"/>
  <c r="R75" i="22"/>
  <c r="U74" i="22"/>
  <c r="R74" i="22"/>
  <c r="AC73" i="22"/>
  <c r="AB73" i="22" s="1"/>
  <c r="Y73" i="22"/>
  <c r="U73" i="22"/>
  <c r="R73" i="22"/>
  <c r="L73" i="22"/>
  <c r="J73" i="22"/>
  <c r="K73" i="22" s="1"/>
  <c r="G73" i="22"/>
  <c r="H73" i="22" s="1"/>
  <c r="F73" i="22"/>
  <c r="AC72" i="22"/>
  <c r="AB72" i="22" s="1"/>
  <c r="U72" i="22"/>
  <c r="R72" i="22"/>
  <c r="K72" i="22"/>
  <c r="L72" i="22" s="1"/>
  <c r="J72" i="22"/>
  <c r="G72" i="22"/>
  <c r="U71" i="22"/>
  <c r="R71" i="22"/>
  <c r="AC70" i="22"/>
  <c r="AB70" i="22" s="1"/>
  <c r="U70" i="22"/>
  <c r="R70" i="22"/>
  <c r="K70" i="22"/>
  <c r="L70" i="22" s="1"/>
  <c r="J70" i="22"/>
  <c r="G70" i="22"/>
  <c r="U69" i="22"/>
  <c r="R69" i="22"/>
  <c r="AC68" i="22"/>
  <c r="AB68" i="22"/>
  <c r="U68" i="22"/>
  <c r="R68" i="22"/>
  <c r="L68" i="22"/>
  <c r="K68" i="22"/>
  <c r="J68" i="22"/>
  <c r="G68" i="22"/>
  <c r="U67" i="22"/>
  <c r="R67" i="22"/>
  <c r="AC66" i="22"/>
  <c r="AB66" i="22"/>
  <c r="Y66" i="22"/>
  <c r="U66" i="22"/>
  <c r="R66" i="22"/>
  <c r="K66" i="22"/>
  <c r="L66" i="22" s="1"/>
  <c r="J66" i="22"/>
  <c r="G66" i="22"/>
  <c r="U65" i="22"/>
  <c r="R65" i="22"/>
  <c r="AC64" i="22"/>
  <c r="AB64" i="22" s="1"/>
  <c r="U64" i="22"/>
  <c r="R64" i="22"/>
  <c r="K64" i="22"/>
  <c r="L64" i="22" s="1"/>
  <c r="J64" i="22"/>
  <c r="G64" i="22"/>
  <c r="AC63" i="22"/>
  <c r="AB63" i="22" s="1"/>
  <c r="AA63" i="22"/>
  <c r="Z63" i="22"/>
  <c r="AD63" i="22" s="1"/>
  <c r="Y63" i="22"/>
  <c r="U63" i="22"/>
  <c r="R63" i="22"/>
  <c r="J63" i="22"/>
  <c r="K63" i="22" s="1"/>
  <c r="L63" i="22" s="1"/>
  <c r="H63" i="22"/>
  <c r="G63" i="22"/>
  <c r="AC62" i="22"/>
  <c r="AB62" i="22"/>
  <c r="U62" i="22"/>
  <c r="R62" i="22"/>
  <c r="K62" i="22"/>
  <c r="L62" i="22" s="1"/>
  <c r="J62" i="22"/>
  <c r="G62" i="22"/>
  <c r="U61" i="22"/>
  <c r="R61" i="22"/>
  <c r="AC60" i="22"/>
  <c r="AB60" i="22" s="1"/>
  <c r="U60" i="22"/>
  <c r="R60" i="22"/>
  <c r="K60" i="22"/>
  <c r="L60" i="22" s="1"/>
  <c r="J60" i="22"/>
  <c r="G60" i="22"/>
  <c r="U59" i="22"/>
  <c r="R59" i="22"/>
  <c r="J59" i="22"/>
  <c r="K59" i="22" s="1"/>
  <c r="L59" i="22" s="1"/>
  <c r="H59" i="22"/>
  <c r="G59" i="22"/>
  <c r="U58" i="22"/>
  <c r="R58" i="22"/>
  <c r="U57" i="22"/>
  <c r="R57" i="22"/>
  <c r="AC56" i="22"/>
  <c r="AB56" i="22"/>
  <c r="U56" i="22"/>
  <c r="R56" i="22"/>
  <c r="K56" i="22"/>
  <c r="L56" i="22" s="1"/>
  <c r="J56" i="22"/>
  <c r="G56" i="22"/>
  <c r="U55" i="22"/>
  <c r="R55" i="22"/>
  <c r="AC54" i="22"/>
  <c r="AB54" i="22"/>
  <c r="U54" i="22"/>
  <c r="R54" i="22"/>
  <c r="K54" i="22"/>
  <c r="L54" i="22" s="1"/>
  <c r="J54" i="22"/>
  <c r="G54" i="22"/>
  <c r="U53" i="22"/>
  <c r="R53" i="22"/>
  <c r="K53" i="22"/>
  <c r="J53" i="22"/>
  <c r="H53" i="22"/>
  <c r="G53" i="22"/>
  <c r="AC52" i="22"/>
  <c r="AB52" i="22"/>
  <c r="U52" i="22"/>
  <c r="R52" i="22"/>
  <c r="L52" i="22"/>
  <c r="K52" i="22"/>
  <c r="J52" i="22"/>
  <c r="G52" i="22"/>
  <c r="U51" i="22"/>
  <c r="R51" i="22"/>
  <c r="AC50" i="22"/>
  <c r="AB50" i="22" s="1"/>
  <c r="U50" i="22"/>
  <c r="R50" i="22"/>
  <c r="K50" i="22"/>
  <c r="L50" i="22" s="1"/>
  <c r="J50" i="22"/>
  <c r="G50" i="22"/>
  <c r="M50" i="22" s="1"/>
  <c r="U49" i="22"/>
  <c r="R49" i="22"/>
  <c r="AC48" i="22"/>
  <c r="AB48" i="22"/>
  <c r="U48" i="22"/>
  <c r="R48" i="22"/>
  <c r="K48" i="22"/>
  <c r="L48" i="22" s="1"/>
  <c r="J48" i="22"/>
  <c r="G48" i="22"/>
  <c r="M48" i="22" s="1"/>
  <c r="U47" i="22"/>
  <c r="R47" i="22"/>
  <c r="J47" i="22"/>
  <c r="K47" i="22" s="1"/>
  <c r="H47" i="22"/>
  <c r="G47" i="22"/>
  <c r="AC46" i="22"/>
  <c r="AB46" i="22"/>
  <c r="U46" i="22"/>
  <c r="R46" i="22"/>
  <c r="K46" i="22"/>
  <c r="L46" i="22" s="1"/>
  <c r="J46" i="22"/>
  <c r="G46" i="22"/>
  <c r="M46" i="22" s="1"/>
  <c r="U45" i="22"/>
  <c r="R45" i="22"/>
  <c r="J45" i="22"/>
  <c r="K45" i="22" s="1"/>
  <c r="H45" i="22"/>
  <c r="G45" i="22"/>
  <c r="U44" i="22"/>
  <c r="R44" i="22"/>
  <c r="U43" i="22"/>
  <c r="R43" i="22"/>
  <c r="J43" i="22"/>
  <c r="K43" i="22" s="1"/>
  <c r="H43" i="22"/>
  <c r="G43" i="22"/>
  <c r="U42" i="22"/>
  <c r="R42" i="22"/>
  <c r="U41" i="22"/>
  <c r="R41" i="22"/>
  <c r="K41" i="22"/>
  <c r="J41" i="22"/>
  <c r="H41" i="22"/>
  <c r="G41" i="22"/>
  <c r="U40" i="22"/>
  <c r="R40" i="22"/>
  <c r="U39" i="22"/>
  <c r="R39" i="22"/>
  <c r="M39" i="22"/>
  <c r="J39" i="22"/>
  <c r="K39" i="22" s="1"/>
  <c r="L39" i="22" s="1"/>
  <c r="H39" i="22"/>
  <c r="G39" i="22"/>
  <c r="U38" i="22"/>
  <c r="R38" i="22"/>
  <c r="U37" i="22"/>
  <c r="R37" i="22"/>
  <c r="J37" i="22"/>
  <c r="K37" i="22" s="1"/>
  <c r="H37" i="22"/>
  <c r="G37" i="22"/>
  <c r="AC36" i="22"/>
  <c r="AB36" i="22"/>
  <c r="U36" i="22"/>
  <c r="R36" i="22"/>
  <c r="K36" i="22"/>
  <c r="L36" i="22" s="1"/>
  <c r="J36" i="22"/>
  <c r="G36" i="22"/>
  <c r="M36" i="22" s="1"/>
  <c r="U35" i="22"/>
  <c r="R35" i="22"/>
  <c r="J35" i="22"/>
  <c r="K35" i="22" s="1"/>
  <c r="H35" i="22"/>
  <c r="G35" i="22"/>
  <c r="U34" i="22"/>
  <c r="R34" i="22"/>
  <c r="J34" i="22"/>
  <c r="K34" i="22" s="1"/>
  <c r="L34" i="22" s="1"/>
  <c r="G34" i="22"/>
  <c r="AC33" i="22"/>
  <c r="AB33" i="22" s="1"/>
  <c r="U33" i="22"/>
  <c r="R33" i="22"/>
  <c r="L33" i="22"/>
  <c r="J33" i="22"/>
  <c r="K33" i="22" s="1"/>
  <c r="G33" i="22"/>
  <c r="U32" i="22"/>
  <c r="R32" i="22"/>
  <c r="AC31" i="22"/>
  <c r="AB31" i="22" s="1"/>
  <c r="U31" i="22"/>
  <c r="R31" i="22"/>
  <c r="J31" i="22"/>
  <c r="K31" i="22" s="1"/>
  <c r="L31" i="22" s="1"/>
  <c r="G31" i="22"/>
  <c r="U30" i="22"/>
  <c r="R30" i="22"/>
  <c r="AC29" i="22"/>
  <c r="AB29" i="22" s="1"/>
  <c r="U29" i="22"/>
  <c r="R29" i="22"/>
  <c r="L29" i="22"/>
  <c r="J29" i="22"/>
  <c r="K29" i="22" s="1"/>
  <c r="G29" i="22"/>
  <c r="U28" i="22"/>
  <c r="R28" i="22"/>
  <c r="U27" i="22"/>
  <c r="R27" i="22"/>
  <c r="U26" i="22"/>
  <c r="R26" i="22"/>
  <c r="J26" i="22"/>
  <c r="K26" i="22" s="1"/>
  <c r="L26" i="22" s="1"/>
  <c r="G26" i="22"/>
  <c r="U25" i="22"/>
  <c r="R25" i="22"/>
  <c r="U24" i="22"/>
  <c r="R24" i="22"/>
  <c r="J24" i="22"/>
  <c r="K24" i="22" s="1"/>
  <c r="L24" i="22" s="1"/>
  <c r="G24" i="22"/>
  <c r="M24" i="22" s="1"/>
  <c r="AC23" i="22"/>
  <c r="AB23" i="22" s="1"/>
  <c r="U23" i="22"/>
  <c r="R23" i="22"/>
  <c r="J23" i="22"/>
  <c r="K23" i="22" s="1"/>
  <c r="L23" i="22" s="1"/>
  <c r="G23" i="22"/>
  <c r="U19" i="22"/>
  <c r="R19" i="22"/>
  <c r="J19" i="22"/>
  <c r="K19" i="22" s="1"/>
  <c r="L19" i="22" s="1"/>
  <c r="G19" i="22"/>
  <c r="M19" i="22" s="1"/>
  <c r="AC15" i="22"/>
  <c r="AB15" i="22" s="1"/>
  <c r="U15" i="22"/>
  <c r="R15" i="22"/>
  <c r="J15" i="22"/>
  <c r="K15" i="22" s="1"/>
  <c r="L15" i="22" s="1"/>
  <c r="G15" i="22"/>
  <c r="U14" i="22"/>
  <c r="R14" i="22"/>
  <c r="J14" i="22"/>
  <c r="K14" i="22" s="1"/>
  <c r="L14" i="22" s="1"/>
  <c r="G14" i="22"/>
  <c r="M14" i="22" s="1"/>
  <c r="AC13" i="22"/>
  <c r="AB13" i="22" s="1"/>
  <c r="U13" i="22"/>
  <c r="R13" i="22"/>
  <c r="L13" i="22"/>
  <c r="J13" i="22"/>
  <c r="K13" i="22" s="1"/>
  <c r="H13" i="22"/>
  <c r="Y13" i="22" s="1"/>
  <c r="G13" i="22"/>
  <c r="M13" i="22" s="1"/>
  <c r="U12" i="22"/>
  <c r="R12" i="22"/>
  <c r="AC11" i="22"/>
  <c r="AB11" i="22" s="1"/>
  <c r="U11" i="22"/>
  <c r="R11" i="22"/>
  <c r="J11" i="22"/>
  <c r="K11" i="22" s="1"/>
  <c r="L11" i="22" s="1"/>
  <c r="G11" i="22"/>
  <c r="H11" i="22" s="1"/>
  <c r="Y11" i="22" s="1"/>
  <c r="U10" i="22"/>
  <c r="R10" i="22"/>
  <c r="J10" i="22"/>
  <c r="K10" i="22" s="1"/>
  <c r="L10" i="22" s="1"/>
  <c r="G10" i="22"/>
  <c r="AC9" i="22"/>
  <c r="AB9" i="22" s="1"/>
  <c r="U9" i="22"/>
  <c r="R9" i="22"/>
  <c r="J9" i="22"/>
  <c r="K9" i="22" s="1"/>
  <c r="L9" i="22" s="1"/>
  <c r="G9" i="22"/>
  <c r="M9" i="22" s="1"/>
  <c r="U8" i="22"/>
  <c r="R8" i="22"/>
  <c r="AC7" i="22"/>
  <c r="AB7" i="22" s="1"/>
  <c r="U7" i="22"/>
  <c r="R7" i="22"/>
  <c r="L7" i="22"/>
  <c r="J7" i="22"/>
  <c r="K7" i="22" s="1"/>
  <c r="H7" i="22"/>
  <c r="Y7" i="22" s="1"/>
  <c r="G7" i="22"/>
  <c r="M7" i="22" s="1"/>
  <c r="D7" i="22"/>
  <c r="N8" i="22" s="1"/>
  <c r="C7" i="22"/>
  <c r="B7" i="22"/>
  <c r="M84" i="1"/>
  <c r="C84" i="1"/>
  <c r="A84" i="1"/>
  <c r="M83" i="1"/>
  <c r="C83" i="1"/>
  <c r="A83" i="1"/>
  <c r="M82" i="1"/>
  <c r="C82" i="1"/>
  <c r="A82" i="1"/>
  <c r="M81" i="1"/>
  <c r="C81" i="1"/>
  <c r="A81" i="1"/>
  <c r="M80" i="1"/>
  <c r="C80" i="1"/>
  <c r="A80" i="1"/>
  <c r="M79" i="1"/>
  <c r="C79" i="1"/>
  <c r="A79" i="1"/>
  <c r="M78" i="1"/>
  <c r="C78" i="1"/>
  <c r="A78" i="1"/>
  <c r="M77" i="1"/>
  <c r="C77" i="1"/>
  <c r="A77" i="1"/>
  <c r="M76" i="1"/>
  <c r="C76" i="1"/>
  <c r="A76" i="1"/>
  <c r="M75" i="1"/>
  <c r="C75" i="1"/>
  <c r="A75" i="1"/>
  <c r="M74" i="1"/>
  <c r="C74" i="1"/>
  <c r="A74" i="1"/>
  <c r="M73" i="1"/>
  <c r="C73" i="1"/>
  <c r="A73" i="1"/>
  <c r="M72" i="1"/>
  <c r="C72" i="1"/>
  <c r="A72" i="1"/>
  <c r="M71" i="1"/>
  <c r="C71" i="1"/>
  <c r="A71" i="1"/>
  <c r="M70" i="1"/>
  <c r="C70" i="1"/>
  <c r="A70" i="1"/>
  <c r="M69" i="1"/>
  <c r="C69" i="1"/>
  <c r="M68" i="1"/>
  <c r="C68" i="1"/>
  <c r="M67" i="1"/>
  <c r="C67" i="1"/>
  <c r="M66" i="1"/>
  <c r="C66" i="1"/>
  <c r="M65" i="1"/>
  <c r="C65" i="1"/>
  <c r="M64" i="1"/>
  <c r="C64" i="1"/>
  <c r="M63" i="1"/>
  <c r="C63" i="1"/>
  <c r="M62" i="1"/>
  <c r="C62" i="1"/>
  <c r="M61" i="1"/>
  <c r="C61" i="1"/>
  <c r="M60" i="1"/>
  <c r="C60" i="1"/>
  <c r="M59" i="1"/>
  <c r="C59" i="1"/>
  <c r="M58" i="1"/>
  <c r="C58" i="1"/>
  <c r="M57" i="1"/>
  <c r="C57" i="1"/>
  <c r="M56" i="1"/>
  <c r="C56" i="1"/>
  <c r="M55" i="1"/>
  <c r="C55" i="1"/>
  <c r="M54" i="1"/>
  <c r="C54" i="1"/>
  <c r="M53" i="1"/>
  <c r="C53" i="1"/>
  <c r="M52" i="1"/>
  <c r="C52" i="1"/>
  <c r="M51" i="1"/>
  <c r="M50" i="1"/>
  <c r="C50" i="1"/>
  <c r="M49" i="1"/>
  <c r="C49" i="1"/>
  <c r="M47" i="1"/>
  <c r="C47" i="1"/>
  <c r="M46" i="1"/>
  <c r="C46" i="1"/>
  <c r="M45" i="1"/>
  <c r="C45" i="1"/>
  <c r="M44" i="1"/>
  <c r="C44" i="1"/>
  <c r="M43" i="1"/>
  <c r="C43" i="1"/>
  <c r="M42" i="1"/>
  <c r="C42" i="1"/>
  <c r="M41" i="1"/>
  <c r="C41" i="1"/>
  <c r="M40" i="1"/>
  <c r="C40" i="1"/>
  <c r="M39" i="1"/>
  <c r="C39" i="1"/>
  <c r="M38" i="1"/>
  <c r="C38" i="1"/>
  <c r="M37" i="1"/>
  <c r="C37" i="1"/>
  <c r="M36" i="1"/>
  <c r="C36" i="1"/>
  <c r="M35" i="1"/>
  <c r="C35" i="1"/>
  <c r="M34" i="1"/>
  <c r="C34" i="1"/>
  <c r="M33" i="1"/>
  <c r="C33" i="1"/>
  <c r="M32" i="1"/>
  <c r="C32" i="1"/>
  <c r="M31" i="1"/>
  <c r="C31" i="1"/>
  <c r="M30" i="1"/>
  <c r="C30" i="1"/>
  <c r="M29" i="1"/>
  <c r="C29" i="1"/>
  <c r="M28" i="1"/>
  <c r="C28" i="1"/>
  <c r="M27" i="1"/>
  <c r="C27" i="1"/>
  <c r="M26" i="1"/>
  <c r="C26" i="1"/>
  <c r="M25" i="1"/>
  <c r="C25" i="1"/>
  <c r="M24" i="1"/>
  <c r="C24" i="1"/>
  <c r="M23" i="1"/>
  <c r="C23" i="1"/>
  <c r="M22" i="1"/>
  <c r="C22" i="1"/>
  <c r="M21" i="1"/>
  <c r="C21" i="1"/>
  <c r="M20" i="1"/>
  <c r="C20" i="1"/>
  <c r="M19" i="1"/>
  <c r="C19" i="1"/>
  <c r="M18" i="1"/>
  <c r="C18" i="1"/>
  <c r="M17" i="1"/>
  <c r="C17" i="1"/>
  <c r="M16" i="1"/>
  <c r="C16" i="1"/>
  <c r="M15" i="1"/>
  <c r="C15" i="1"/>
  <c r="M14" i="1"/>
  <c r="C14" i="1"/>
  <c r="M13" i="1"/>
  <c r="C13" i="1"/>
  <c r="M12" i="1"/>
  <c r="C12" i="1"/>
  <c r="M11" i="1"/>
  <c r="C11" i="1"/>
  <c r="M10" i="1"/>
  <c r="C10" i="1"/>
  <c r="M9" i="1"/>
  <c r="C9" i="1"/>
  <c r="M8" i="1"/>
  <c r="C8" i="1"/>
  <c r="A8" i="1"/>
  <c r="A9" i="1" s="1"/>
  <c r="A10" i="1" s="1"/>
  <c r="M7" i="1"/>
  <c r="C7" i="1"/>
  <c r="I91" i="28" l="1"/>
  <c r="J91" i="28" s="1"/>
  <c r="I89" i="28"/>
  <c r="J89" i="28" s="1"/>
  <c r="I130" i="28"/>
  <c r="J130" i="28" s="1"/>
  <c r="I30" i="28"/>
  <c r="J30" i="28" s="1"/>
  <c r="AA7" i="22"/>
  <c r="Z7" i="22"/>
  <c r="AD7" i="22" s="1"/>
  <c r="AA11" i="22"/>
  <c r="Z11" i="22"/>
  <c r="AD11" i="22" s="1"/>
  <c r="AA13" i="22"/>
  <c r="Z13" i="22"/>
  <c r="AD13" i="22" s="1"/>
  <c r="AC19" i="22"/>
  <c r="AB19" i="22" s="1"/>
  <c r="Y19" i="22"/>
  <c r="AC24" i="22"/>
  <c r="AB24" i="22" s="1"/>
  <c r="M33" i="22"/>
  <c r="H33" i="22"/>
  <c r="Y33" i="22" s="1"/>
  <c r="AA87" i="22"/>
  <c r="Z87" i="22"/>
  <c r="AD87" i="22" s="1"/>
  <c r="AA89" i="22"/>
  <c r="Z89" i="22"/>
  <c r="AD89" i="22" s="1"/>
  <c r="H9" i="22"/>
  <c r="Y9" i="22" s="1"/>
  <c r="M26" i="22"/>
  <c r="AC34" i="22"/>
  <c r="AB34" i="22" s="1"/>
  <c r="L41" i="22"/>
  <c r="M41" i="22"/>
  <c r="L43" i="22"/>
  <c r="M43" i="22"/>
  <c r="L45" i="22"/>
  <c r="M45" i="22"/>
  <c r="AA77" i="22"/>
  <c r="Z77" i="22"/>
  <c r="AD77" i="22" s="1"/>
  <c r="AA81" i="22"/>
  <c r="Z81" i="22"/>
  <c r="AD81" i="22" s="1"/>
  <c r="AC14" i="22"/>
  <c r="AB14" i="22" s="1"/>
  <c r="Y14" i="22"/>
  <c r="M29" i="22"/>
  <c r="H29" i="22"/>
  <c r="Y29" i="22" s="1"/>
  <c r="L35" i="22"/>
  <c r="M35" i="22"/>
  <c r="AC45" i="22"/>
  <c r="AB45" i="22" s="1"/>
  <c r="Y45" i="22"/>
  <c r="L47" i="22"/>
  <c r="M47" i="22"/>
  <c r="M60" i="22"/>
  <c r="H60" i="22"/>
  <c r="M70" i="22"/>
  <c r="H70" i="22"/>
  <c r="Y70" i="22" s="1"/>
  <c r="AA73" i="22"/>
  <c r="Z73" i="22"/>
  <c r="AD73" i="22" s="1"/>
  <c r="AA79" i="22"/>
  <c r="Z79" i="22"/>
  <c r="AD79" i="22" s="1"/>
  <c r="AA93" i="22"/>
  <c r="Z93" i="22"/>
  <c r="AD93" i="22" s="1"/>
  <c r="AC37" i="22"/>
  <c r="AB37" i="22" s="1"/>
  <c r="Y37" i="22"/>
  <c r="L53" i="22"/>
  <c r="M53" i="22"/>
  <c r="AC10" i="22"/>
  <c r="AB10" i="22" s="1"/>
  <c r="M11" i="22"/>
  <c r="M10" i="22"/>
  <c r="M15" i="22"/>
  <c r="H15" i="22"/>
  <c r="Y15" i="22" s="1"/>
  <c r="M23" i="22"/>
  <c r="H23" i="22"/>
  <c r="Y23" i="22" s="1"/>
  <c r="AC26" i="22"/>
  <c r="AB26" i="22" s="1"/>
  <c r="M31" i="22"/>
  <c r="H31" i="22"/>
  <c r="Y31" i="22" s="1"/>
  <c r="M34" i="22"/>
  <c r="AC35" i="22"/>
  <c r="AB35" i="22" s="1"/>
  <c r="Y35" i="22"/>
  <c r="L37" i="22"/>
  <c r="M37" i="22"/>
  <c r="AC47" i="22"/>
  <c r="AB47" i="22" s="1"/>
  <c r="Y47" i="22"/>
  <c r="M52" i="22"/>
  <c r="H52" i="22"/>
  <c r="Y52" i="22" s="1"/>
  <c r="AA66" i="22"/>
  <c r="Z66" i="22"/>
  <c r="AD66" i="22" s="1"/>
  <c r="AA91" i="22"/>
  <c r="Z91" i="22"/>
  <c r="AD91" i="22" s="1"/>
  <c r="AC39" i="22"/>
  <c r="AB39" i="22" s="1"/>
  <c r="Y39" i="22"/>
  <c r="M68" i="22"/>
  <c r="H68" i="22"/>
  <c r="Y68" i="22" s="1"/>
  <c r="M73" i="22"/>
  <c r="AC78" i="22"/>
  <c r="AB78" i="22" s="1"/>
  <c r="Y78" i="22"/>
  <c r="M91" i="22"/>
  <c r="AC41" i="22"/>
  <c r="AB41" i="22" s="1"/>
  <c r="Y41" i="22"/>
  <c r="H50" i="22"/>
  <c r="Y50" i="22" s="1"/>
  <c r="AC53" i="22"/>
  <c r="AB53" i="22" s="1"/>
  <c r="Y53" i="22"/>
  <c r="M56" i="22"/>
  <c r="H56" i="22"/>
  <c r="Y56" i="22" s="1"/>
  <c r="M59" i="22"/>
  <c r="Y60" i="22"/>
  <c r="M66" i="22"/>
  <c r="H66" i="22"/>
  <c r="M78" i="22"/>
  <c r="M90" i="22"/>
  <c r="H10" i="22"/>
  <c r="Y10" i="22" s="1"/>
  <c r="H14" i="22"/>
  <c r="H19" i="22"/>
  <c r="H24" i="22"/>
  <c r="Y24" i="22" s="1"/>
  <c r="H26" i="22"/>
  <c r="Y26" i="22" s="1"/>
  <c r="H34" i="22"/>
  <c r="Y34" i="22" s="1"/>
  <c r="H36" i="22"/>
  <c r="Y36" i="22" s="1"/>
  <c r="AC43" i="22"/>
  <c r="AB43" i="22" s="1"/>
  <c r="Y43" i="22"/>
  <c r="H46" i="22"/>
  <c r="Y46" i="22" s="1"/>
  <c r="H48" i="22"/>
  <c r="Y48" i="22" s="1"/>
  <c r="M54" i="22"/>
  <c r="H54" i="22"/>
  <c r="Y54" i="22" s="1"/>
  <c r="AC59" i="22"/>
  <c r="AB59" i="22" s="1"/>
  <c r="Y59" i="22"/>
  <c r="M62" i="22"/>
  <c r="H62" i="22"/>
  <c r="Y62" i="22" s="1"/>
  <c r="M63" i="22"/>
  <c r="M64" i="22"/>
  <c r="H64" i="22"/>
  <c r="Y64" i="22" s="1"/>
  <c r="M72" i="22"/>
  <c r="H72" i="22"/>
  <c r="Y72" i="22" s="1"/>
  <c r="AC76" i="22"/>
  <c r="AB76" i="22" s="1"/>
  <c r="Y76" i="22"/>
  <c r="AC80" i="22"/>
  <c r="AB80" i="22" s="1"/>
  <c r="Y88" i="22"/>
  <c r="Y90" i="22"/>
  <c r="Y92" i="22"/>
  <c r="H76" i="22"/>
  <c r="H78" i="22"/>
  <c r="H80" i="22"/>
  <c r="Y80" i="22" s="1"/>
  <c r="H88" i="22"/>
  <c r="H90" i="22"/>
  <c r="H92" i="22"/>
  <c r="N7" i="22"/>
  <c r="I90" i="28"/>
  <c r="J90" i="28" s="1"/>
  <c r="I9" i="28"/>
  <c r="J9" i="28" s="1"/>
  <c r="I35" i="28"/>
  <c r="J35" i="28" s="1"/>
  <c r="A11" i="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2" i="1" s="1"/>
  <c r="A53" i="1" s="1"/>
  <c r="A54" i="1" s="1"/>
  <c r="A55" i="1" s="1"/>
  <c r="A56" i="1" s="1"/>
  <c r="A57" i="1" s="1"/>
  <c r="A58" i="1" s="1"/>
  <c r="A59" i="1" s="1"/>
  <c r="A60" i="1" s="1"/>
  <c r="A61" i="1" s="1"/>
  <c r="A62" i="1" s="1"/>
  <c r="A63" i="1" s="1"/>
  <c r="A64" i="1" s="1"/>
  <c r="A65" i="1" s="1"/>
  <c r="A66" i="1" s="1"/>
  <c r="A67" i="1" s="1"/>
  <c r="A68" i="1" s="1"/>
  <c r="A69" i="1" s="1"/>
  <c r="I60" i="28"/>
  <c r="J60" i="28" s="1"/>
  <c r="I66" i="28"/>
  <c r="J66" i="28" s="1"/>
  <c r="I72" i="28"/>
  <c r="J72" i="28" s="1"/>
  <c r="I78" i="28"/>
  <c r="J78" i="28" s="1"/>
  <c r="I84" i="28"/>
  <c r="J84" i="28" s="1"/>
  <c r="I87" i="28"/>
  <c r="J87" i="28" s="1"/>
  <c r="I108" i="28"/>
  <c r="J108" i="28" s="1"/>
  <c r="I111" i="28"/>
  <c r="J111" i="28" s="1"/>
  <c r="I120" i="28"/>
  <c r="J120" i="28" s="1"/>
  <c r="I123" i="28"/>
  <c r="J123" i="28" s="1"/>
  <c r="I132" i="28"/>
  <c r="J132" i="28" s="1"/>
  <c r="I135" i="28"/>
  <c r="J135" i="28" s="1"/>
  <c r="I144" i="28"/>
  <c r="J144" i="28" s="1"/>
  <c r="I147" i="28"/>
  <c r="J147" i="28" s="1"/>
  <c r="I156" i="28"/>
  <c r="J156" i="28" s="1"/>
  <c r="I159" i="28"/>
  <c r="J159" i="28" s="1"/>
  <c r="I168" i="28"/>
  <c r="J168" i="28" s="1"/>
  <c r="I171" i="28"/>
  <c r="J171" i="28" s="1"/>
  <c r="I12" i="28"/>
  <c r="J12" i="28" s="1"/>
  <c r="I15" i="28"/>
  <c r="J15" i="28" s="1"/>
  <c r="I62" i="28"/>
  <c r="J62" i="28" s="1"/>
  <c r="I68" i="28"/>
  <c r="J68" i="28" s="1"/>
  <c r="I74" i="28"/>
  <c r="J74" i="28" s="1"/>
  <c r="I80" i="28"/>
  <c r="J80" i="28" s="1"/>
  <c r="I92" i="28"/>
  <c r="J92" i="28" s="1"/>
  <c r="I95" i="28"/>
  <c r="J95" i="28" s="1"/>
  <c r="I98" i="28"/>
  <c r="J98" i="28" s="1"/>
  <c r="I100" i="28"/>
  <c r="J100" i="28" s="1"/>
  <c r="I103" i="28"/>
  <c r="J103" i="28" s="1"/>
  <c r="I106" i="28"/>
  <c r="J106" i="28" s="1"/>
  <c r="I112" i="28"/>
  <c r="J112" i="28" s="1"/>
  <c r="I115" i="28"/>
  <c r="J115" i="28" s="1"/>
  <c r="I124" i="28"/>
  <c r="J124" i="28" s="1"/>
  <c r="I127" i="28"/>
  <c r="J127" i="28" s="1"/>
  <c r="I140" i="28"/>
  <c r="J140" i="28" s="1"/>
  <c r="I143" i="28"/>
  <c r="J143" i="28" s="1"/>
  <c r="I152" i="28"/>
  <c r="J152" i="28" s="1"/>
  <c r="I155" i="28"/>
  <c r="J155" i="28" s="1"/>
  <c r="I164" i="28"/>
  <c r="J164" i="28" s="1"/>
  <c r="I167" i="28"/>
  <c r="J167" i="28" s="1"/>
  <c r="I172" i="28"/>
  <c r="J172" i="28" s="1"/>
  <c r="I175" i="28"/>
  <c r="J175" i="28" s="1"/>
  <c r="B9" i="22"/>
  <c r="I58" i="28"/>
  <c r="J58" i="28" s="1"/>
  <c r="I64" i="28"/>
  <c r="J64" i="28" s="1"/>
  <c r="I70" i="28"/>
  <c r="J70" i="28" s="1"/>
  <c r="I76" i="28"/>
  <c r="J76" i="28" s="1"/>
  <c r="I82" i="28"/>
  <c r="J82" i="28" s="1"/>
  <c r="I116" i="28"/>
  <c r="J116" i="28" s="1"/>
  <c r="I119" i="28"/>
  <c r="J119" i="28" s="1"/>
  <c r="I128" i="28"/>
  <c r="J128" i="28" s="1"/>
  <c r="I131" i="28"/>
  <c r="J131" i="28" s="1"/>
  <c r="I136" i="28"/>
  <c r="J136" i="28" s="1"/>
  <c r="I139" i="28"/>
  <c r="J139" i="28" s="1"/>
  <c r="I148" i="28"/>
  <c r="J148" i="28" s="1"/>
  <c r="I151" i="28"/>
  <c r="J151" i="28" s="1"/>
  <c r="I160" i="28"/>
  <c r="J160" i="28" s="1"/>
  <c r="I163" i="28"/>
  <c r="J163" i="28" s="1"/>
  <c r="I176" i="28"/>
  <c r="J176" i="28" s="1"/>
  <c r="I179" i="28"/>
  <c r="J179" i="28" s="1"/>
  <c r="B11" i="22"/>
  <c r="B10" i="22"/>
  <c r="B65" i="29"/>
  <c r="D47" i="29"/>
  <c r="D39" i="29"/>
  <c r="B33" i="29"/>
  <c r="D72" i="22"/>
  <c r="D64" i="22"/>
  <c r="B52" i="22"/>
  <c r="D47" i="22"/>
  <c r="D45" i="22"/>
  <c r="B41" i="22"/>
  <c r="D36" i="22"/>
  <c r="D35" i="22"/>
  <c r="B29" i="22"/>
  <c r="C91" i="22"/>
  <c r="C59" i="22"/>
  <c r="B53" i="22"/>
  <c r="C50" i="22"/>
  <c r="C39" i="22"/>
  <c r="D37" i="22"/>
  <c r="D33" i="22"/>
  <c r="D63" i="29"/>
  <c r="B49" i="29"/>
  <c r="B41" i="29"/>
  <c r="D31" i="29"/>
  <c r="D89" i="22"/>
  <c r="B68" i="22"/>
  <c r="D62" i="22"/>
  <c r="B54" i="22"/>
  <c r="D48" i="22"/>
  <c r="D46" i="22"/>
  <c r="D34" i="22"/>
  <c r="I16" i="28"/>
  <c r="J16" i="28" s="1"/>
  <c r="O7" i="22"/>
  <c r="O8" i="22" s="1"/>
  <c r="P8" i="22" s="1"/>
  <c r="C9" i="22"/>
  <c r="C10" i="22"/>
  <c r="C11" i="22"/>
  <c r="B13" i="22"/>
  <c r="B14" i="22"/>
  <c r="B15" i="22"/>
  <c r="B19" i="22"/>
  <c r="B23" i="22"/>
  <c r="B24" i="22"/>
  <c r="C29" i="22"/>
  <c r="B31" i="22"/>
  <c r="D39" i="22"/>
  <c r="C41" i="22"/>
  <c r="B43" i="22"/>
  <c r="D50" i="22"/>
  <c r="C52" i="22"/>
  <c r="C53" i="22"/>
  <c r="C54" i="22"/>
  <c r="B56" i="22"/>
  <c r="D59" i="22"/>
  <c r="C63" i="22"/>
  <c r="C65" i="22"/>
  <c r="C68" i="22"/>
  <c r="B70" i="22"/>
  <c r="D73" i="22"/>
  <c r="D92" i="22"/>
  <c r="B15" i="29"/>
  <c r="D20" i="29"/>
  <c r="B22" i="29"/>
  <c r="C32" i="29"/>
  <c r="C33" i="29"/>
  <c r="C40" i="29"/>
  <c r="C41" i="29"/>
  <c r="C48" i="29"/>
  <c r="C49" i="29"/>
  <c r="C56" i="29"/>
  <c r="C57" i="29"/>
  <c r="C64" i="29"/>
  <c r="C65" i="29"/>
  <c r="I10" i="28"/>
  <c r="J10" i="28" s="1"/>
  <c r="I109" i="28"/>
  <c r="J109" i="28" s="1"/>
  <c r="D9" i="22"/>
  <c r="D10" i="22"/>
  <c r="D11" i="22"/>
  <c r="C13" i="22"/>
  <c r="C14" i="22"/>
  <c r="C15" i="22"/>
  <c r="C19" i="22"/>
  <c r="C23" i="22"/>
  <c r="C24" i="22"/>
  <c r="B26" i="22"/>
  <c r="D29" i="22"/>
  <c r="C31" i="22"/>
  <c r="B33" i="22"/>
  <c r="B34" i="22"/>
  <c r="B35" i="22"/>
  <c r="B36" i="22"/>
  <c r="B37" i="22"/>
  <c r="D41" i="22"/>
  <c r="C43" i="22"/>
  <c r="B45" i="22"/>
  <c r="B46" i="22"/>
  <c r="B47" i="22"/>
  <c r="B48" i="22"/>
  <c r="D52" i="22"/>
  <c r="D53" i="22"/>
  <c r="D54" i="22"/>
  <c r="C56" i="22"/>
  <c r="D63" i="22"/>
  <c r="D65" i="22"/>
  <c r="C66" i="22"/>
  <c r="D83" i="22"/>
  <c r="C87" i="22"/>
  <c r="C88" i="22"/>
  <c r="D93" i="22"/>
  <c r="B11" i="29"/>
  <c r="C15" i="29"/>
  <c r="C21" i="29"/>
  <c r="C22" i="29"/>
  <c r="D26" i="29"/>
  <c r="D27" i="29"/>
  <c r="C29" i="29"/>
  <c r="D32" i="29"/>
  <c r="D34" i="29"/>
  <c r="D35" i="29"/>
  <c r="C37" i="29"/>
  <c r="D40" i="29"/>
  <c r="D42" i="29"/>
  <c r="D43" i="29"/>
  <c r="C45" i="29"/>
  <c r="D48" i="29"/>
  <c r="D50" i="29"/>
  <c r="D51" i="29"/>
  <c r="C53" i="29"/>
  <c r="D56" i="29"/>
  <c r="D58" i="29"/>
  <c r="D59" i="29"/>
  <c r="C61" i="29"/>
  <c r="D64" i="29"/>
  <c r="D66" i="29"/>
  <c r="I173" i="28"/>
  <c r="J173" i="28" s="1"/>
  <c r="B67" i="29"/>
  <c r="C66" i="29"/>
  <c r="D65" i="29"/>
  <c r="B63" i="29"/>
  <c r="C62" i="29"/>
  <c r="D61" i="29"/>
  <c r="B59" i="29"/>
  <c r="C58" i="29"/>
  <c r="D57" i="29"/>
  <c r="B55" i="29"/>
  <c r="C54" i="29"/>
  <c r="D53" i="29"/>
  <c r="B51" i="29"/>
  <c r="C50" i="29"/>
  <c r="D49" i="29"/>
  <c r="B47" i="29"/>
  <c r="C46" i="29"/>
  <c r="D45" i="29"/>
  <c r="B43" i="29"/>
  <c r="C42" i="29"/>
  <c r="D41" i="29"/>
  <c r="B39" i="29"/>
  <c r="C38" i="29"/>
  <c r="D37" i="29"/>
  <c r="B35" i="29"/>
  <c r="C34" i="29"/>
  <c r="D33" i="29"/>
  <c r="B31" i="29"/>
  <c r="C30" i="29"/>
  <c r="D29" i="29"/>
  <c r="B27" i="29"/>
  <c r="C26" i="29"/>
  <c r="B24" i="29"/>
  <c r="C23" i="29"/>
  <c r="D22" i="29"/>
  <c r="B20" i="29"/>
  <c r="C19" i="29"/>
  <c r="D18" i="29"/>
  <c r="B14" i="29"/>
  <c r="C13" i="29"/>
  <c r="B10" i="29"/>
  <c r="C9" i="29"/>
  <c r="B8" i="29"/>
  <c r="B93" i="22"/>
  <c r="B92" i="22"/>
  <c r="B91" i="22"/>
  <c r="B90" i="22"/>
  <c r="B89" i="22"/>
  <c r="B88" i="22"/>
  <c r="B87" i="22"/>
  <c r="C67" i="29"/>
  <c r="D62" i="29"/>
  <c r="B61" i="29"/>
  <c r="C60" i="29"/>
  <c r="C59" i="29"/>
  <c r="D54" i="29"/>
  <c r="B53" i="29"/>
  <c r="C52" i="29"/>
  <c r="C51" i="29"/>
  <c r="D46" i="29"/>
  <c r="B45" i="29"/>
  <c r="C44" i="29"/>
  <c r="C43" i="29"/>
  <c r="D38" i="29"/>
  <c r="B37" i="29"/>
  <c r="C36" i="29"/>
  <c r="C35" i="29"/>
  <c r="D30" i="29"/>
  <c r="B29" i="29"/>
  <c r="C28" i="29"/>
  <c r="C27" i="29"/>
  <c r="C24" i="29"/>
  <c r="D19" i="29"/>
  <c r="B18" i="29"/>
  <c r="D13" i="29"/>
  <c r="D11" i="29"/>
  <c r="D10" i="29"/>
  <c r="B9" i="29"/>
  <c r="D8" i="29"/>
  <c r="B66" i="29"/>
  <c r="B64" i="29"/>
  <c r="D60" i="29"/>
  <c r="B58" i="29"/>
  <c r="B56" i="29"/>
  <c r="D52" i="29"/>
  <c r="B50" i="29"/>
  <c r="B48" i="29"/>
  <c r="D44" i="29"/>
  <c r="B42" i="29"/>
  <c r="B40" i="29"/>
  <c r="D36" i="29"/>
  <c r="B34" i="29"/>
  <c r="B32" i="29"/>
  <c r="D28" i="29"/>
  <c r="B26" i="29"/>
  <c r="B23" i="29"/>
  <c r="B21" i="29"/>
  <c r="B13" i="29"/>
  <c r="C10" i="29"/>
  <c r="C93" i="22"/>
  <c r="D90" i="22"/>
  <c r="C89" i="22"/>
  <c r="C83" i="22"/>
  <c r="D81" i="22"/>
  <c r="D80" i="22"/>
  <c r="D79" i="22"/>
  <c r="D78" i="22"/>
  <c r="D77" i="22"/>
  <c r="D76" i="22"/>
  <c r="C73" i="22"/>
  <c r="C72" i="22"/>
  <c r="D70" i="22"/>
  <c r="B66" i="22"/>
  <c r="B65" i="22"/>
  <c r="B64" i="22"/>
  <c r="B63" i="22"/>
  <c r="B62" i="22"/>
  <c r="C60" i="22"/>
  <c r="B62" i="29"/>
  <c r="B60" i="29"/>
  <c r="B54" i="29"/>
  <c r="B52" i="29"/>
  <c r="B46" i="29"/>
  <c r="B44" i="29"/>
  <c r="B38" i="29"/>
  <c r="B36" i="29"/>
  <c r="B30" i="29"/>
  <c r="B28" i="29"/>
  <c r="B19" i="29"/>
  <c r="D15" i="29"/>
  <c r="D14" i="29"/>
  <c r="C11" i="29"/>
  <c r="D9" i="29"/>
  <c r="C8" i="29"/>
  <c r="D91" i="22"/>
  <c r="C90" i="22"/>
  <c r="D87" i="22"/>
  <c r="B83" i="22"/>
  <c r="C81" i="22"/>
  <c r="C80" i="22"/>
  <c r="C79" i="22"/>
  <c r="C78" i="22"/>
  <c r="C77" i="22"/>
  <c r="C76" i="22"/>
  <c r="B73" i="22"/>
  <c r="B72" i="22"/>
  <c r="C70" i="22"/>
  <c r="D68" i="22"/>
  <c r="B60" i="22"/>
  <c r="B59" i="22"/>
  <c r="D13" i="22"/>
  <c r="D14" i="22"/>
  <c r="D15" i="22"/>
  <c r="D19" i="22"/>
  <c r="D23" i="22"/>
  <c r="D24" i="22"/>
  <c r="C26" i="22"/>
  <c r="D31" i="22"/>
  <c r="C33" i="22"/>
  <c r="C34" i="22"/>
  <c r="C35" i="22"/>
  <c r="C36" i="22"/>
  <c r="C37" i="22"/>
  <c r="B39" i="22"/>
  <c r="D43" i="22"/>
  <c r="C45" i="22"/>
  <c r="C46" i="22"/>
  <c r="C47" i="22"/>
  <c r="C48" i="22"/>
  <c r="B50" i="22"/>
  <c r="D56" i="22"/>
  <c r="D60" i="22"/>
  <c r="C62" i="22"/>
  <c r="C64" i="22"/>
  <c r="D66" i="22"/>
  <c r="B76" i="22"/>
  <c r="B77" i="22"/>
  <c r="B78" i="22"/>
  <c r="B79" i="22"/>
  <c r="B80" i="22"/>
  <c r="B81" i="22"/>
  <c r="D88" i="22"/>
  <c r="C14" i="29"/>
  <c r="C18" i="29"/>
  <c r="D21" i="29"/>
  <c r="D23" i="29"/>
  <c r="D24" i="29"/>
  <c r="C31" i="29"/>
  <c r="C39" i="29"/>
  <c r="C47" i="29"/>
  <c r="C55" i="29"/>
  <c r="C63" i="29"/>
  <c r="I13" i="28"/>
  <c r="J13" i="28" s="1"/>
  <c r="I33" i="28"/>
  <c r="J33" i="28" s="1"/>
  <c r="I25" i="28"/>
  <c r="J25" i="28" s="1"/>
  <c r="I125" i="28"/>
  <c r="J125" i="28" s="1"/>
  <c r="I198" i="28"/>
  <c r="J198" i="28" s="1"/>
  <c r="I28" i="28"/>
  <c r="J28" i="28" s="1"/>
  <c r="I88" i="28"/>
  <c r="J88" i="28" s="1"/>
  <c r="I141" i="28"/>
  <c r="J141" i="28" s="1"/>
  <c r="I230" i="28"/>
  <c r="J230" i="28" s="1"/>
  <c r="I20" i="28"/>
  <c r="J20" i="28" s="1"/>
  <c r="I157" i="28"/>
  <c r="J157" i="28" s="1"/>
  <c r="I23" i="28"/>
  <c r="J23" i="28" s="1"/>
  <c r="I31" i="28"/>
  <c r="J31" i="28" s="1"/>
  <c r="I37" i="28"/>
  <c r="J37" i="28" s="1"/>
  <c r="I41" i="28"/>
  <c r="J41" i="28" s="1"/>
  <c r="I101" i="28"/>
  <c r="J101" i="28" s="1"/>
  <c r="I113" i="28"/>
  <c r="J113" i="28" s="1"/>
  <c r="I129" i="28"/>
  <c r="J129" i="28" s="1"/>
  <c r="I145" i="28"/>
  <c r="J145" i="28" s="1"/>
  <c r="I161" i="28"/>
  <c r="J161" i="28" s="1"/>
  <c r="I177" i="28"/>
  <c r="J177" i="28" s="1"/>
  <c r="I206" i="28"/>
  <c r="J206" i="28" s="1"/>
  <c r="I238" i="28"/>
  <c r="J238" i="28" s="1"/>
  <c r="I93" i="28"/>
  <c r="J93" i="28" s="1"/>
  <c r="I104" i="28"/>
  <c r="J104" i="28" s="1"/>
  <c r="I117" i="28"/>
  <c r="J117" i="28" s="1"/>
  <c r="I133" i="28"/>
  <c r="J133" i="28" s="1"/>
  <c r="I149" i="28"/>
  <c r="J149" i="28" s="1"/>
  <c r="I165" i="28"/>
  <c r="J165" i="28" s="1"/>
  <c r="I182" i="28"/>
  <c r="J182" i="28" s="1"/>
  <c r="I214" i="28"/>
  <c r="J214" i="28" s="1"/>
  <c r="I246" i="28"/>
  <c r="J246" i="28" s="1"/>
  <c r="I39" i="28"/>
  <c r="J39" i="28" s="1"/>
  <c r="I85" i="28"/>
  <c r="J85" i="28" s="1"/>
  <c r="I96" i="28"/>
  <c r="J96" i="28" s="1"/>
  <c r="I121" i="28"/>
  <c r="J121" i="28" s="1"/>
  <c r="I137" i="28"/>
  <c r="J137" i="28" s="1"/>
  <c r="I153" i="28"/>
  <c r="J153" i="28" s="1"/>
  <c r="I169" i="28"/>
  <c r="J169" i="28" s="1"/>
  <c r="I190" i="28"/>
  <c r="J190" i="28" s="1"/>
  <c r="I222" i="28"/>
  <c r="J222" i="28" s="1"/>
  <c r="I43" i="28"/>
  <c r="J43" i="28" s="1"/>
  <c r="I45" i="28"/>
  <c r="J45" i="28" s="1"/>
  <c r="I47" i="28"/>
  <c r="J47" i="28" s="1"/>
  <c r="I49" i="28"/>
  <c r="J49" i="28" s="1"/>
  <c r="I51" i="28"/>
  <c r="J51" i="28" s="1"/>
  <c r="I53" i="28"/>
  <c r="J53" i="28" s="1"/>
  <c r="I59" i="28"/>
  <c r="J59" i="28" s="1"/>
  <c r="I61" i="28"/>
  <c r="J61" i="28" s="1"/>
  <c r="I63" i="28"/>
  <c r="J63" i="28" s="1"/>
  <c r="I65" i="28"/>
  <c r="J65" i="28" s="1"/>
  <c r="I67" i="28"/>
  <c r="J67" i="28" s="1"/>
  <c r="I69" i="28"/>
  <c r="J69" i="28" s="1"/>
  <c r="I71" i="28"/>
  <c r="J71" i="28" s="1"/>
  <c r="I73" i="28"/>
  <c r="J73" i="28" s="1"/>
  <c r="I75" i="28"/>
  <c r="J75" i="28" s="1"/>
  <c r="I77" i="28"/>
  <c r="J77" i="28" s="1"/>
  <c r="I79" i="28"/>
  <c r="J79" i="28" s="1"/>
  <c r="I81" i="28"/>
  <c r="J81" i="28" s="1"/>
  <c r="I83" i="28"/>
  <c r="J83" i="28" s="1"/>
  <c r="I99" i="28"/>
  <c r="J99" i="28" s="1"/>
  <c r="I107" i="28"/>
  <c r="J107" i="28" s="1"/>
  <c r="I184" i="28"/>
  <c r="J184" i="28" s="1"/>
  <c r="I192" i="28"/>
  <c r="J192" i="28" s="1"/>
  <c r="I200" i="28"/>
  <c r="J200" i="28" s="1"/>
  <c r="I208" i="28"/>
  <c r="J208" i="28" s="1"/>
  <c r="I216" i="28"/>
  <c r="J216" i="28" s="1"/>
  <c r="I224" i="28"/>
  <c r="J224" i="28" s="1"/>
  <c r="I232" i="28"/>
  <c r="J232" i="28" s="1"/>
  <c r="I240" i="28"/>
  <c r="J240" i="28" s="1"/>
  <c r="I248" i="28"/>
  <c r="J248" i="28" s="1"/>
  <c r="I186" i="28"/>
  <c r="J186" i="28" s="1"/>
  <c r="I194" i="28"/>
  <c r="J194" i="28" s="1"/>
  <c r="I202" i="28"/>
  <c r="J202" i="28" s="1"/>
  <c r="I210" i="28"/>
  <c r="J210" i="28" s="1"/>
  <c r="I218" i="28"/>
  <c r="J218" i="28" s="1"/>
  <c r="I226" i="28"/>
  <c r="J226" i="28" s="1"/>
  <c r="I234" i="28"/>
  <c r="J234" i="28" s="1"/>
  <c r="I242" i="28"/>
  <c r="J242" i="28" s="1"/>
  <c r="I250" i="28"/>
  <c r="J250" i="28" s="1"/>
  <c r="I180" i="28"/>
  <c r="J180" i="28" s="1"/>
  <c r="I188" i="28"/>
  <c r="J188" i="28" s="1"/>
  <c r="I196" i="28"/>
  <c r="J196" i="28" s="1"/>
  <c r="I204" i="28"/>
  <c r="J204" i="28" s="1"/>
  <c r="I212" i="28"/>
  <c r="J212" i="28" s="1"/>
  <c r="I220" i="28"/>
  <c r="J220" i="28" s="1"/>
  <c r="I228" i="28"/>
  <c r="J228" i="28" s="1"/>
  <c r="I236" i="28"/>
  <c r="J236" i="28" s="1"/>
  <c r="I244" i="28"/>
  <c r="J244" i="28" s="1"/>
  <c r="C92" i="22" l="1"/>
  <c r="B57" i="29"/>
  <c r="D67" i="29"/>
  <c r="AE67" i="29" s="1"/>
  <c r="P7" i="22"/>
  <c r="AA34" i="22"/>
  <c r="Z34" i="22"/>
  <c r="AD34" i="22" s="1"/>
  <c r="Z26" i="22"/>
  <c r="AD26" i="22" s="1"/>
  <c r="AA26" i="22"/>
  <c r="Z24" i="22"/>
  <c r="AD24" i="22" s="1"/>
  <c r="AA24" i="22"/>
  <c r="Z80" i="22"/>
  <c r="AD80" i="22" s="1"/>
  <c r="AA80" i="22"/>
  <c r="Z10" i="22"/>
  <c r="AD10" i="22" s="1"/>
  <c r="AA10" i="22"/>
  <c r="AA54" i="22"/>
  <c r="Z54" i="22"/>
  <c r="AD54" i="22" s="1"/>
  <c r="Z39" i="22"/>
  <c r="AD39" i="22" s="1"/>
  <c r="AA39" i="22"/>
  <c r="AA9" i="22"/>
  <c r="Z9" i="22"/>
  <c r="AD9" i="22" s="1"/>
  <c r="Z90" i="22"/>
  <c r="AD90" i="22" s="1"/>
  <c r="AA90" i="22"/>
  <c r="Z76" i="22"/>
  <c r="AD76" i="22" s="1"/>
  <c r="AA76" i="22"/>
  <c r="AA60" i="22"/>
  <c r="Z60" i="22"/>
  <c r="AD60" i="22" s="1"/>
  <c r="AA53" i="22"/>
  <c r="Z53" i="22"/>
  <c r="AD53" i="22" s="1"/>
  <c r="AA15" i="22"/>
  <c r="Z15" i="22"/>
  <c r="AD15" i="22" s="1"/>
  <c r="AA37" i="22"/>
  <c r="Z37" i="22"/>
  <c r="AD37" i="22" s="1"/>
  <c r="AA70" i="22"/>
  <c r="Z70" i="22"/>
  <c r="AD70" i="22" s="1"/>
  <c r="Z14" i="22"/>
  <c r="AD14" i="22" s="1"/>
  <c r="AA14" i="22"/>
  <c r="AA33" i="22"/>
  <c r="Z33" i="22"/>
  <c r="AD33" i="22" s="1"/>
  <c r="Z19" i="22"/>
  <c r="AD19" i="22" s="1"/>
  <c r="AA19" i="22"/>
  <c r="Z88" i="22"/>
  <c r="AD88" i="22" s="1"/>
  <c r="AA88" i="22"/>
  <c r="AA59" i="22"/>
  <c r="Z59" i="22"/>
  <c r="AD59" i="22" s="1"/>
  <c r="AA48" i="22"/>
  <c r="Z48" i="22"/>
  <c r="AD48" i="22" s="1"/>
  <c r="AA36" i="22"/>
  <c r="Z36" i="22"/>
  <c r="AD36" i="22" s="1"/>
  <c r="AA68" i="22"/>
  <c r="Z68" i="22"/>
  <c r="AD68" i="22" s="1"/>
  <c r="AA52" i="22"/>
  <c r="Z52" i="22"/>
  <c r="AD52" i="22" s="1"/>
  <c r="Z92" i="22"/>
  <c r="AD92" i="22" s="1"/>
  <c r="AA92" i="22"/>
  <c r="AA62" i="22"/>
  <c r="Z62" i="22"/>
  <c r="AD62" i="22" s="1"/>
  <c r="AA43" i="22"/>
  <c r="Z43" i="22"/>
  <c r="AD43" i="22" s="1"/>
  <c r="AA47" i="22"/>
  <c r="Z47" i="22"/>
  <c r="AD47" i="22" s="1"/>
  <c r="AA35" i="22"/>
  <c r="Z35" i="22"/>
  <c r="AD35" i="22" s="1"/>
  <c r="AA64" i="22"/>
  <c r="Z64" i="22"/>
  <c r="AD64" i="22" s="1"/>
  <c r="AA72" i="22"/>
  <c r="Z72" i="22"/>
  <c r="AD72" i="22" s="1"/>
  <c r="AA46" i="22"/>
  <c r="Z46" i="22"/>
  <c r="AD46" i="22" s="1"/>
  <c r="AA56" i="22"/>
  <c r="Z56" i="22"/>
  <c r="AD56" i="22" s="1"/>
  <c r="AA50" i="22"/>
  <c r="Z50" i="22"/>
  <c r="AD50" i="22" s="1"/>
  <c r="Z78" i="22"/>
  <c r="AD78" i="22" s="1"/>
  <c r="AA78" i="22"/>
  <c r="AA31" i="22"/>
  <c r="Z31" i="22"/>
  <c r="AD31" i="22" s="1"/>
  <c r="Z23" i="22"/>
  <c r="AD23" i="22" s="1"/>
  <c r="AA23" i="22"/>
  <c r="AA45" i="22"/>
  <c r="Z45" i="22"/>
  <c r="AD45" i="22" s="1"/>
  <c r="AA29" i="22"/>
  <c r="Z29" i="22"/>
  <c r="AD29" i="22" s="1"/>
  <c r="AA41" i="22"/>
  <c r="Z41" i="22"/>
  <c r="AD41" i="22" s="1"/>
  <c r="C20" i="29"/>
  <c r="D55" i="29"/>
  <c r="AE55" i="29" s="1"/>
  <c r="D26" i="22"/>
  <c r="N24" i="22"/>
  <c r="N25" i="22"/>
  <c r="N81" i="22"/>
  <c r="N82" i="22"/>
  <c r="AE44" i="29"/>
  <c r="AE12" i="29"/>
  <c r="AE11" i="29"/>
  <c r="AE30" i="29"/>
  <c r="AE38" i="29"/>
  <c r="AE46" i="29"/>
  <c r="AE54" i="29"/>
  <c r="AE62" i="29"/>
  <c r="AE37" i="29"/>
  <c r="AE53" i="29"/>
  <c r="AE59" i="29"/>
  <c r="AE51" i="29"/>
  <c r="AE43" i="29"/>
  <c r="AE35" i="29"/>
  <c r="AE27" i="29"/>
  <c r="O63" i="22"/>
  <c r="N63" i="22"/>
  <c r="N52" i="22"/>
  <c r="N92" i="22"/>
  <c r="AE31" i="29"/>
  <c r="N33" i="22"/>
  <c r="N35" i="22"/>
  <c r="N47" i="22"/>
  <c r="AE47" i="29"/>
  <c r="N14" i="22"/>
  <c r="N70" i="22"/>
  <c r="N71" i="22"/>
  <c r="AE24" i="29"/>
  <c r="AE25" i="29"/>
  <c r="N67" i="22"/>
  <c r="O66" i="22"/>
  <c r="O67" i="22" s="1"/>
  <c r="O68" i="22" s="1"/>
  <c r="O69" i="22" s="1"/>
  <c r="O70" i="22" s="1"/>
  <c r="P70" i="22" s="1"/>
  <c r="N66" i="22"/>
  <c r="N57" i="22"/>
  <c r="N56" i="22"/>
  <c r="N58" i="22"/>
  <c r="N23" i="22"/>
  <c r="N13" i="22"/>
  <c r="N91" i="22"/>
  <c r="AE14" i="29"/>
  <c r="N78" i="22"/>
  <c r="AE36" i="29"/>
  <c r="AE8" i="29"/>
  <c r="AF8" i="29"/>
  <c r="AF9" i="29" s="1"/>
  <c r="AF10" i="29" s="1"/>
  <c r="AF11" i="29" s="1"/>
  <c r="AE13" i="29"/>
  <c r="AE22" i="29"/>
  <c r="AE33" i="29"/>
  <c r="AE49" i="29"/>
  <c r="AE65" i="29"/>
  <c r="AE66" i="29"/>
  <c r="AE58" i="29"/>
  <c r="AE50" i="29"/>
  <c r="AE42" i="29"/>
  <c r="AE34" i="29"/>
  <c r="AE26" i="29"/>
  <c r="N85" i="22"/>
  <c r="N83" i="22"/>
  <c r="N84" i="22"/>
  <c r="N86" i="22"/>
  <c r="N30" i="22"/>
  <c r="N29" i="22"/>
  <c r="N11" i="22"/>
  <c r="N12" i="22"/>
  <c r="N74" i="22"/>
  <c r="N75" i="22"/>
  <c r="N73" i="22"/>
  <c r="N34" i="22"/>
  <c r="N62" i="22"/>
  <c r="N37" i="22"/>
  <c r="N38" i="22"/>
  <c r="N36" i="22"/>
  <c r="N60" i="22"/>
  <c r="N61" i="22"/>
  <c r="N68" i="22"/>
  <c r="N69" i="22"/>
  <c r="N77" i="22"/>
  <c r="AE23" i="29"/>
  <c r="N88" i="22"/>
  <c r="N31" i="22"/>
  <c r="N32" i="22"/>
  <c r="N19" i="22"/>
  <c r="AE17" i="29"/>
  <c r="AE16" i="29"/>
  <c r="AE15" i="29"/>
  <c r="N79" i="22"/>
  <c r="AE28" i="29"/>
  <c r="AE60" i="29"/>
  <c r="AE18" i="29"/>
  <c r="AE29" i="29"/>
  <c r="AE45" i="29"/>
  <c r="AE61" i="29"/>
  <c r="AE64" i="29"/>
  <c r="AE56" i="29"/>
  <c r="AE48" i="29"/>
  <c r="AE40" i="29"/>
  <c r="AE32" i="29"/>
  <c r="N93" i="22"/>
  <c r="N54" i="22"/>
  <c r="N55" i="22"/>
  <c r="N41" i="22"/>
  <c r="N42" i="22"/>
  <c r="N10" i="22"/>
  <c r="AE20" i="29"/>
  <c r="N59" i="22"/>
  <c r="N40" i="22"/>
  <c r="N39" i="22"/>
  <c r="N46" i="22"/>
  <c r="N65" i="22"/>
  <c r="N64" i="22"/>
  <c r="O64" i="22"/>
  <c r="O65" i="22" s="1"/>
  <c r="AE21" i="29"/>
  <c r="N43" i="22"/>
  <c r="N44" i="22"/>
  <c r="N15" i="22"/>
  <c r="N87" i="22"/>
  <c r="AE9" i="29"/>
  <c r="N76" i="22"/>
  <c r="N80" i="22"/>
  <c r="N90" i="22"/>
  <c r="AE52" i="29"/>
  <c r="AE10" i="29"/>
  <c r="AE19" i="29"/>
  <c r="AE41" i="29"/>
  <c r="AE57" i="29"/>
  <c r="N53" i="22"/>
  <c r="O9" i="22"/>
  <c r="O10" i="22" s="1"/>
  <c r="N9" i="22"/>
  <c r="N51" i="22"/>
  <c r="N50" i="22"/>
  <c r="N48" i="22"/>
  <c r="N49" i="22"/>
  <c r="N89" i="22"/>
  <c r="AE63" i="29"/>
  <c r="N45" i="22"/>
  <c r="N72" i="22"/>
  <c r="AE39" i="29"/>
  <c r="P63" i="22" l="1"/>
  <c r="AG8" i="29"/>
  <c r="P65" i="22"/>
  <c r="P67" i="22"/>
  <c r="AG10" i="29"/>
  <c r="P66" i="22"/>
  <c r="AG9" i="29"/>
  <c r="P69" i="22"/>
  <c r="P68" i="22"/>
  <c r="N27" i="22"/>
  <c r="N28" i="22"/>
  <c r="N26" i="22"/>
  <c r="AF12" i="29"/>
  <c r="AG11" i="29"/>
  <c r="O11" i="22"/>
  <c r="O12" i="22" s="1"/>
  <c r="O13" i="22" s="1"/>
  <c r="O14" i="22" s="1"/>
  <c r="P10" i="22"/>
  <c r="P9" i="22"/>
  <c r="P64" i="22"/>
  <c r="O71" i="22"/>
  <c r="O72" i="22" s="1"/>
  <c r="O73" i="22" s="1"/>
  <c r="AF13" i="29" l="1"/>
  <c r="AG12" i="29"/>
  <c r="P11" i="22"/>
  <c r="P73" i="22"/>
  <c r="O74" i="22"/>
  <c r="P71" i="22"/>
  <c r="P14" i="22"/>
  <c r="O15" i="22"/>
  <c r="P12" i="22"/>
  <c r="P13" i="22"/>
  <c r="P72" i="22"/>
  <c r="AG13" i="29" l="1"/>
  <c r="AF14" i="29"/>
  <c r="O75" i="22"/>
  <c r="P74" i="22"/>
  <c r="O19" i="22"/>
  <c r="P15" i="22"/>
  <c r="O76" i="22" l="1"/>
  <c r="P75" i="22"/>
  <c r="AG14" i="29"/>
  <c r="AF15" i="29"/>
  <c r="O23" i="22"/>
  <c r="P19" i="22"/>
  <c r="AG15" i="29" l="1"/>
  <c r="AF16" i="29"/>
  <c r="O24" i="22"/>
  <c r="P23" i="22"/>
  <c r="O77" i="22"/>
  <c r="P76" i="22"/>
  <c r="AF17" i="29" l="1"/>
  <c r="AG16" i="29"/>
  <c r="O25" i="22"/>
  <c r="P24" i="22"/>
  <c r="O78" i="22"/>
  <c r="P77" i="22"/>
  <c r="O79" i="22" l="1"/>
  <c r="P78" i="22"/>
  <c r="AF18" i="29"/>
  <c r="AG17" i="29"/>
  <c r="O26" i="22"/>
  <c r="P25" i="22"/>
  <c r="AF19" i="29" l="1"/>
  <c r="AG18" i="29"/>
  <c r="O27" i="22"/>
  <c r="P26" i="22"/>
  <c r="P79" i="22"/>
  <c r="O80" i="22"/>
  <c r="O28" i="22" l="1"/>
  <c r="P27" i="22"/>
  <c r="AF20" i="29"/>
  <c r="AG19" i="29"/>
  <c r="O81" i="22"/>
  <c r="P80" i="22"/>
  <c r="O82" i="22" l="1"/>
  <c r="P81" i="22"/>
  <c r="AF21" i="29"/>
  <c r="AG20" i="29"/>
  <c r="P28" i="22"/>
  <c r="O29" i="22"/>
  <c r="O83" i="22" l="1"/>
  <c r="P82" i="22"/>
  <c r="AF22" i="29"/>
  <c r="AG21" i="29"/>
  <c r="O30" i="22"/>
  <c r="P29" i="22"/>
  <c r="AG22" i="29" l="1"/>
  <c r="AF23" i="29"/>
  <c r="P30" i="22"/>
  <c r="O31" i="22"/>
  <c r="P83" i="22"/>
  <c r="O84" i="22"/>
  <c r="O32" i="22" l="1"/>
  <c r="P31" i="22"/>
  <c r="O85" i="22"/>
  <c r="P84" i="22"/>
  <c r="AG23" i="29"/>
  <c r="AF24" i="29"/>
  <c r="O86" i="22" l="1"/>
  <c r="P85" i="22"/>
  <c r="AF25" i="29"/>
  <c r="AG24" i="29"/>
  <c r="P32" i="22"/>
  <c r="O33" i="22"/>
  <c r="AG25" i="29" l="1"/>
  <c r="AF26" i="29"/>
  <c r="O87" i="22"/>
  <c r="P86" i="22"/>
  <c r="O34" i="22"/>
  <c r="P33" i="22"/>
  <c r="O88" i="22" l="1"/>
  <c r="P87" i="22"/>
  <c r="AF27" i="29"/>
  <c r="AG26" i="29"/>
  <c r="O35" i="22"/>
  <c r="P34" i="22"/>
  <c r="AG27" i="29" l="1"/>
  <c r="AF28" i="29"/>
  <c r="O36" i="22"/>
  <c r="P35" i="22"/>
  <c r="P88" i="22"/>
  <c r="O89" i="22"/>
  <c r="P36" i="22" l="1"/>
  <c r="O37" i="22"/>
  <c r="O90" i="22"/>
  <c r="P89" i="22"/>
  <c r="AG28" i="29"/>
  <c r="AF29" i="29"/>
  <c r="O91" i="22" l="1"/>
  <c r="P90" i="22"/>
  <c r="AF30" i="29"/>
  <c r="AG29" i="29"/>
  <c r="O38" i="22"/>
  <c r="P37" i="22"/>
  <c r="AG30" i="29" l="1"/>
  <c r="AF31" i="29"/>
  <c r="O39" i="22"/>
  <c r="P38" i="22"/>
  <c r="O92" i="22"/>
  <c r="P91" i="22"/>
  <c r="O93" i="22" l="1"/>
  <c r="P93" i="22" s="1"/>
  <c r="P92" i="22"/>
  <c r="O40" i="22"/>
  <c r="P39" i="22"/>
  <c r="AF32" i="29"/>
  <c r="AG31" i="29"/>
  <c r="O41" i="22" l="1"/>
  <c r="P40" i="22"/>
  <c r="AG32" i="29"/>
  <c r="AF33" i="29"/>
  <c r="O42" i="22" l="1"/>
  <c r="P41" i="22"/>
  <c r="AF34" i="29"/>
  <c r="AG33" i="29"/>
  <c r="AG34" i="29" l="1"/>
  <c r="AF35" i="29"/>
  <c r="O43" i="22"/>
  <c r="P42" i="22"/>
  <c r="O44" i="22" l="1"/>
  <c r="P43" i="22"/>
  <c r="AF36" i="29"/>
  <c r="AG35" i="29"/>
  <c r="AG36" i="29" l="1"/>
  <c r="AF37" i="29"/>
  <c r="O45" i="22"/>
  <c r="P44" i="22"/>
  <c r="P45" i="22" l="1"/>
  <c r="O46" i="22"/>
  <c r="AF38" i="29"/>
  <c r="AG37" i="29"/>
  <c r="AF39" i="29" l="1"/>
  <c r="AG38" i="29"/>
  <c r="O47" i="22"/>
  <c r="P46" i="22"/>
  <c r="O48" i="22" l="1"/>
  <c r="P47" i="22"/>
  <c r="AF40" i="29"/>
  <c r="AG39" i="29"/>
  <c r="AF41" i="29" l="1"/>
  <c r="AG40" i="29"/>
  <c r="O49" i="22"/>
  <c r="P48" i="22"/>
  <c r="AF42" i="29" l="1"/>
  <c r="AG41" i="29"/>
  <c r="O50" i="22"/>
  <c r="P49" i="22"/>
  <c r="P50" i="22" l="1"/>
  <c r="O51" i="22"/>
  <c r="AF43" i="29"/>
  <c r="AG42" i="29"/>
  <c r="AF44" i="29" l="1"/>
  <c r="AG43" i="29"/>
  <c r="O52" i="22"/>
  <c r="P51" i="22"/>
  <c r="O53" i="22" l="1"/>
  <c r="P52" i="22"/>
  <c r="AF45" i="29"/>
  <c r="AG44" i="29"/>
  <c r="O54" i="22" l="1"/>
  <c r="P53" i="22"/>
  <c r="AF46" i="29"/>
  <c r="AG45" i="29"/>
  <c r="AF47" i="29" l="1"/>
  <c r="AG46" i="29"/>
  <c r="O55" i="22"/>
  <c r="P54" i="22"/>
  <c r="O56" i="22" l="1"/>
  <c r="P55" i="22"/>
  <c r="AF48" i="29"/>
  <c r="AG47" i="29"/>
  <c r="AF49" i="29" l="1"/>
  <c r="AG48" i="29"/>
  <c r="O57" i="22"/>
  <c r="P56" i="22"/>
  <c r="P57" i="22" l="1"/>
  <c r="O58" i="22"/>
  <c r="AF50" i="29"/>
  <c r="AG49" i="29"/>
  <c r="AF51" i="29" l="1"/>
  <c r="AG50" i="29"/>
  <c r="O59" i="22"/>
  <c r="P58" i="22"/>
  <c r="O60" i="22" l="1"/>
  <c r="P59" i="22"/>
  <c r="AF52" i="29"/>
  <c r="AG51" i="29"/>
  <c r="AF53" i="29" l="1"/>
  <c r="AG52" i="29"/>
  <c r="O61" i="22"/>
  <c r="P60" i="22"/>
  <c r="O62" i="22" l="1"/>
  <c r="P62" i="22" s="1"/>
  <c r="P61" i="22"/>
  <c r="AF54" i="29"/>
  <c r="AG53" i="29"/>
  <c r="AF55" i="29" l="1"/>
  <c r="AG54" i="29"/>
  <c r="AF56" i="29" l="1"/>
  <c r="AG55" i="29"/>
  <c r="AG56" i="29" l="1"/>
  <c r="AF57" i="29"/>
  <c r="AF58" i="29" l="1"/>
  <c r="AG57" i="29"/>
  <c r="AF59" i="29" l="1"/>
  <c r="AG58" i="29"/>
  <c r="AG59" i="29" l="1"/>
  <c r="AF60" i="29"/>
  <c r="AF61" i="29" l="1"/>
  <c r="AG60" i="29"/>
  <c r="AG61" i="29" l="1"/>
  <c r="AF62" i="29"/>
  <c r="AG62" i="29" l="1"/>
  <c r="AF63" i="29"/>
  <c r="AF64" i="29" l="1"/>
  <c r="AG63" i="29"/>
  <c r="AF65" i="29" l="1"/>
  <c r="AG64" i="29"/>
  <c r="AF66" i="29" l="1"/>
  <c r="AG65" i="29"/>
  <c r="AF67" i="29" l="1"/>
  <c r="AG67" i="29" s="1"/>
  <c r="AG66" i="29"/>
</calcChain>
</file>

<file path=xl/comments1.xml><?xml version="1.0" encoding="utf-8"?>
<comments xmlns="http://schemas.openxmlformats.org/spreadsheetml/2006/main">
  <authors>
    <author>Fernando Vergara</author>
  </authors>
  <commentList>
    <comment ref="E6" authorId="0" shapeId="0">
      <text>
        <r>
          <rPr>
            <b/>
            <sz val="9"/>
            <rFont val="Tahoma"/>
            <family val="2"/>
          </rPr>
          <t>Fernando Vergara:</t>
        </r>
        <r>
          <rPr>
            <sz val="9"/>
            <rFont val="Tahoma"/>
            <family val="2"/>
          </rPr>
          <t xml:space="preserve">
Identificar por lo menos una de cada una (DOFA). Tener en cuenta los resultados de las evaluaciones realizadas por control interno y los entes de control (hallazgos) y los resultados de evaluaciones externas como el IDI, Informe pormenorizado, informe de control contable y demás informes que afecten el proceso. </t>
        </r>
      </text>
    </comment>
  </commentList>
</comments>
</file>

<file path=xl/comments2.xml><?xml version="1.0" encoding="utf-8"?>
<comments xmlns="http://schemas.openxmlformats.org/spreadsheetml/2006/main">
  <authors>
    <author>Nubia Stella Zubieta Vela</author>
  </authors>
  <commentList>
    <comment ref="BM63" authorId="0" shapeId="0">
      <text>
        <r>
          <rPr>
            <b/>
            <sz val="9"/>
            <rFont val="Tahoma"/>
            <family val="2"/>
          </rPr>
          <t>Nubia Stella Zubieta Vela:</t>
        </r>
        <r>
          <rPr>
            <sz val="9"/>
            <rFont val="Tahoma"/>
            <family val="2"/>
          </rPr>
          <t xml:space="preserve">
</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<sst xmlns="http://schemas.openxmlformats.org/spreadsheetml/2006/main" count="4771" uniqueCount="1604">
  <si>
    <t>Matriz Mapa de Riesgos</t>
  </si>
  <si>
    <r>
      <rPr>
        <sz val="10"/>
        <rFont val="Arial Narrow"/>
        <family val="2"/>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</si>
  <si>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</si>
  <si>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rPr>
        <sz val="11"/>
        <rFont val="Arial Narrow"/>
        <family val="2"/>
      </rP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</si>
  <si>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rPr>
        <sz val="10"/>
        <rFont val="Arial Narrow"/>
        <family val="2"/>
      </rP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</si>
  <si>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</si>
  <si>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</si>
  <si>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</si>
  <si>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</si>
  <si>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</si>
  <si>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</si>
  <si>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</si>
  <si>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</si>
  <si>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</si>
  <si>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</si>
  <si>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</si>
  <si>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</si>
  <si>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</si>
  <si>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</si>
  <si>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</si>
  <si>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</si>
  <si>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</si>
  <si>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sz val="9"/>
        <rFont val="Arial Narrow"/>
        <family val="2"/>
      </rP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</si>
  <si>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</si>
  <si>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</si>
  <si>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</si>
  <si>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</si>
  <si>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</si>
  <si>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</si>
  <si>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</si>
  <si>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</si>
  <si>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</si>
  <si>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sz val="9"/>
        <rFont val="Arial Narrow"/>
        <family val="2"/>
      </rP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</si>
  <si>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</si>
  <si>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</si>
  <si>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rPr>
        <b/>
        <sz val="9"/>
        <rFont val="Arial Narrow"/>
        <family val="2"/>
      </rPr>
      <t xml:space="preserve">ATRIBUTOS EFICIENCIA
</t>
    </r>
    <r>
      <rPr>
        <sz val="9"/>
        <rFont val="Arial Narrow"/>
        <family val="2"/>
      </rPr>
      <t>Tipo</t>
    </r>
  </si>
  <si>
    <t>Utilice la lista de despligue que se encuentra parametrizada, le aparecerán las opciones: i)Preventivo, ii)Detectivo, iii)Correctivo.</t>
  </si>
  <si>
    <r>
      <rPr>
        <b/>
        <sz val="9"/>
        <rFont val="Arial Narrow"/>
        <family val="2"/>
      </rPr>
      <t xml:space="preserve">ATRIBUTOS EFICIENCIA
</t>
    </r>
    <r>
      <rPr>
        <sz val="9"/>
        <rFont val="Arial Narrow"/>
        <family val="2"/>
      </rPr>
      <t>Implementación</t>
    </r>
  </si>
  <si>
    <t>Utilice la lista de despligue que se encuentra parametrizada, le aparecerán las opciones: i)Automático, ii)Manual.</t>
  </si>
  <si>
    <r>
      <rPr>
        <b/>
        <sz val="9"/>
        <rFont val="Arial Narrow"/>
        <family val="2"/>
      </rPr>
      <t xml:space="preserve">ATRIBUTOS EFICIENCIA
</t>
    </r>
    <r>
      <rPr>
        <sz val="9"/>
        <rFont val="Arial Narrow"/>
        <family val="2"/>
      </rPr>
      <t>Calificación</t>
    </r>
  </si>
  <si>
    <t xml:space="preserve">La matriz automáticamente hará el cálculo para el control analizado (Columna T) </t>
  </si>
  <si>
    <r>
      <rPr>
        <b/>
        <sz val="9"/>
        <rFont val="Arial Narrow"/>
        <family val="2"/>
      </rPr>
      <t xml:space="preserve">ATRIBUTOS INFORMATIVOS
</t>
    </r>
    <r>
      <rPr>
        <sz val="9"/>
        <rFont val="Arial Narrow"/>
        <family val="2"/>
      </rPr>
      <t>Documentación</t>
    </r>
  </si>
  <si>
    <t>Utilice la lista de despligue que se encuentra parametrizada, le aparecerán las opciones: i)Documentado, ii)Sin documentar.</t>
  </si>
  <si>
    <r>
      <rPr>
        <b/>
        <sz val="9"/>
        <rFont val="Arial Narrow"/>
        <family val="2"/>
      </rPr>
      <t xml:space="preserve">ATRIBUTOS INFORMATIVOS
</t>
    </r>
    <r>
      <rPr>
        <sz val="9"/>
        <rFont val="Arial Narrow"/>
        <family val="2"/>
      </rPr>
      <t>Frecuencia</t>
    </r>
  </si>
  <si>
    <t>Utilice la lista de despligue que se encuentra parametrizada, le aparecerán las opciones: i)Continua, ii)Aleatoria.</t>
  </si>
  <si>
    <r>
      <rPr>
        <b/>
        <sz val="9"/>
        <rFont val="Arial Narrow"/>
        <family val="2"/>
      </rP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</si>
  <si>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</si>
  <si>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</si>
  <si>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rPr>
        <sz val="9"/>
        <rFont val="Arial Narrow"/>
        <family val="2"/>
      </rP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</si>
  <si>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</si>
  <si>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</si>
  <si>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rPr>
        <b/>
        <sz val="9"/>
        <rFont val="Arial Narrow"/>
        <family val="2"/>
      </rP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</si>
  <si>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</si>
  <si>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</si>
  <si>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</si>
  <si>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sz val="10"/>
        <rFont val="Arial Narrow"/>
        <family val="2"/>
      </rP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</si>
  <si>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rPr>
        <sz val="10"/>
        <rFont val="Arial Narrow"/>
        <family val="2"/>
      </rP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</si>
  <si>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rPr>
        <sz val="10"/>
        <rFont val="Arial Narrow"/>
        <family val="2"/>
      </rP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</si>
  <si>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rPr>
        <sz val="10"/>
        <rFont val="Arial Narrow"/>
        <family val="2"/>
      </rP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</si>
  <si>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rPr>
        <sz val="10"/>
        <rFont val="Arial Narrow"/>
        <family val="2"/>
      </rP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</si>
  <si>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 xml:space="preserve">INSTITUTO DISTRITAL DE PATRIMONIO CULTURAL </t>
  </si>
  <si>
    <t>PROCESO FORTALECIMIENTO DEL SIG</t>
  </si>
  <si>
    <t>IDENTIFICACIÓN DE RIESGOS</t>
  </si>
  <si>
    <t>ESTABLECIMIENTO DEL CONTEXTO</t>
  </si>
  <si>
    <t>Contexto</t>
  </si>
  <si>
    <t>Factor</t>
  </si>
  <si>
    <t>Descripción del factor (causa)</t>
  </si>
  <si>
    <t>Clasificación DOFA</t>
  </si>
  <si>
    <t>Administración de Bienes e Infraestructura</t>
  </si>
  <si>
    <t>Externo</t>
  </si>
  <si>
    <t xml:space="preserve"> </t>
  </si>
  <si>
    <t>Interno</t>
  </si>
  <si>
    <t>Atención a la Ciudadanía</t>
  </si>
  <si>
    <t>Comunicación Estratégica</t>
  </si>
  <si>
    <t>Control Interno Disciplinario</t>
  </si>
  <si>
    <t>Direccionamiento Estratégico</t>
  </si>
  <si>
    <t>Divulgación y Apropiación Social del Patrimonio</t>
  </si>
  <si>
    <t>Fortalecimiento del SIG</t>
  </si>
  <si>
    <t>Gestión Contractual</t>
  </si>
  <si>
    <t>Gestión de Sistemas de Información y Tecnología</t>
  </si>
  <si>
    <t>Gestión de Talento Humano</t>
  </si>
  <si>
    <t>Gestión Documental</t>
  </si>
  <si>
    <t>Gestión Financiera</t>
  </si>
  <si>
    <t>Gestión Jurídica</t>
  </si>
  <si>
    <t>Gestión Territorial del Patrimonio</t>
  </si>
  <si>
    <t>Protección e Intervención del Patrimonio</t>
  </si>
  <si>
    <t>Seguimiento y Evaluación</t>
  </si>
  <si>
    <t xml:space="preserve">Formato Mapa Riesgos </t>
  </si>
  <si>
    <t>Identificación del riesgo</t>
  </si>
  <si>
    <t>Definición de Riesgo (Coloque una X si aplica)</t>
  </si>
  <si>
    <t>Objetivo del Proceso</t>
  </si>
  <si>
    <t>Objetivo Estratégico</t>
  </si>
  <si>
    <t>Impacto
(Qué puede pasar?)</t>
  </si>
  <si>
    <t>Causa Inmediata
(Cómo?)</t>
  </si>
  <si>
    <t>Causa Raíz
(Por qué?)</t>
  </si>
  <si>
    <t>Descripción del Riesgo
(Qué + Cómo + Por qué)</t>
  </si>
  <si>
    <t>Acción u omisión</t>
  </si>
  <si>
    <t>Uso del poder</t>
  </si>
  <si>
    <t>Desviar la gestión de lo público</t>
  </si>
  <si>
    <t>Beneficio privado</t>
  </si>
  <si>
    <t>Riesgo definido como:</t>
  </si>
  <si>
    <t>Fortalecer la capacidad administrativa para el desarrollo de la gestión institucional.</t>
  </si>
  <si>
    <t>Económico / Presupuestal</t>
  </si>
  <si>
    <t>por deterioro o siniestro de los bienes muebles e inmuebles</t>
  </si>
  <si>
    <t>Debido a la falta de mantenimiento, condiciones de seguridad deficientes, uso incorrecto o inadecuado, intención de causar daño y causas naturales.</t>
  </si>
  <si>
    <t>Posibilidad de afectación económica por deterioro o siniestro de los bienes muebles e inmuebles debido a la falta de mantenimiento, condiciones de seguridad deficientes, uso incorrecto o inadecuado, intención de causar daño y fenómenos naturales.</t>
  </si>
  <si>
    <t>X</t>
  </si>
  <si>
    <t>por pérdida, vencimiento o merma de bienes</t>
  </si>
  <si>
    <t>Debido a la falta de control en existencia, fechas de caducidad y condiciones de almacenamiento</t>
  </si>
  <si>
    <t>Posibilidad de afectación económico / presupuestal por pérdida, vencimiento o merma de bienes debido a la falta de control en existencia, fechas de caducidad y condiciones de almacenamiento.</t>
  </si>
  <si>
    <t>Destinar los bienes o recursos de la entidad a actividades no relacionadas con la misión o las funciones institucionales.</t>
  </si>
  <si>
    <t>Debido al abuso de autoridad en el cargo o deficiente control de los bienes, permitiendo que un tercero haga uso indebido de ellos.</t>
  </si>
  <si>
    <t>Posibilidad de afectación económica por destinar los bienes o recursos de la entidad a actividades no relacionadas con la misión o las funciones institucionales, debido al abuso de autoridad en el cargo o deficiente control de los bienes, permitiendo que un tercero haga uso indebido de ellos.</t>
  </si>
  <si>
    <t xml:space="preserve">Contar con el inventario completo de la colección registrado y verificado en el software de Colecciones Colombianas.  
</t>
  </si>
  <si>
    <t>Deficiencia y faltantes de información de los datos básicos de identificación de las piezas de la colección en la base de datos Colecciones Colombianas.</t>
  </si>
  <si>
    <t>Posibilidad de afectación económica  por la pérdida de piezas de la colección del Museo de Bogotá debido a la inconsistencia del inventario físico en relación al reporte emitido por el software de Colecciones Colombianas</t>
  </si>
  <si>
    <t>Falta de control y medición de las condiciones ambientales de humedad y temperatura en los espacios de exhibición de las casas Siete balcones y Sámano.</t>
  </si>
  <si>
    <t>Condiciones inadecuadas de humedad y temperatura en las salas de exhibición</t>
  </si>
  <si>
    <t>Posibilidad de afectación reputacional por daños de piezas de la colección debido a fallas en los equipos de medición ambiental que no se encuentran con la calibración apropiadas</t>
  </si>
  <si>
    <t>Reputacional</t>
  </si>
  <si>
    <t xml:space="preserve">Entrega fuera de términos de las respuestas a los requerimientos de la Ciudadanía </t>
  </si>
  <si>
    <t xml:space="preserve">Desconocimiento del procedimiento interno para el trámite de los requerimientos presentados por la ciudadanía. </t>
  </si>
  <si>
    <t xml:space="preserve">Posibilidad de afectación reputacional por la entrega fuera de términos de las respuestas a los requerimientos de la Ciudadanía debido al desconocimiento del procedimiento interno para el trámite de los requerimientos presentados por la Ciudadanía. </t>
  </si>
  <si>
    <t>Desarticulación de los actores involucrados en la implementación de la Política de Transparencia y Acceso a la Información Pública.</t>
  </si>
  <si>
    <t>Ausencia de la documentación que describe el quéhacer de la Política de Transparencia al interior del IDPC y desarticulación de los actores involucrados en la implementación de la Política de Transparencia y Acceso a la Información Pública.</t>
  </si>
  <si>
    <t>Posibilidad de incumplimiento de la Ley de Transparencia debido a la desarticulación de los actores involucrados en la implementación de la Política de Transparencia y Acceso a la Información Pública.</t>
  </si>
  <si>
    <t>Sanciones fiscales, penales o disciplinarias por actos de corrupción para el acceso a trámites y servicios en la entidad</t>
  </si>
  <si>
    <t>Falta de información clara y debilidad en canales de acceso a
la publicidad de las condiciones del trámite</t>
  </si>
  <si>
    <t xml:space="preserve">Posibilidad de solicitar o recibir  cobro indebidos durante la prestación del servicio de atención a la cíudadanía por parte de los servidores del IDPC que desvíen la gestión de lo público para el beneficio propio o de un tercero </t>
  </si>
  <si>
    <t>No lograr divulgar la información misional e institucional por tráfico de alto impacto del IDPC a través de la página web</t>
  </si>
  <si>
    <t>Caida de la página web que impida la divulgación de la información a través de la misma.
Servicios de hosting  no soportan la capacidad de alta demanda de navegación que alcanza la página en ciertos momentos estratégicos de divulgación
Bajo rendimiento de la página web por el uso de recursos (imágenes, documentos, códigos, entre otros) no optimizados.</t>
  </si>
  <si>
    <t>Probabilidad de afectación reputacional debido a la no divulgación de la información misional e institucional del IDPC a través de la página web, debido a que  la capacidad  del hosting no soporta la navegación en momentos de alta demanda y el bajo rendimiento de la página web por el uso de recursos no optimizados (imágenes, documentos, códigos, entre otros) .</t>
  </si>
  <si>
    <t>La información publicada en la página web no cumpla con los criterios de accesibilidad y usabilidad (Anexos 1 y 2 Resolución 1519 de 2020)</t>
  </si>
  <si>
    <t>La entidad no destina los recursos necesarios para garantizar la aplicación de los criterios de accesibilidad y usabilidad en la información publicada en página web.
Desarticulación entre las dependencias involucradas para la implementación de los criterios de accesibiliad y usabilidad.</t>
  </si>
  <si>
    <t xml:space="preserve">Posibilidad de afectación reputacional debido a que la información publicada en la página web no cumple con los criterios de accesibilidad y usabilidad establecidos por el MINTIC y por el IDPC porque existe desarticulación entre las dependencias involucradas y/o la entidad no destina los recursos necesarios </t>
  </si>
  <si>
    <t>por la pérdida de piezas procesales o expedientes</t>
  </si>
  <si>
    <t>debido a violación de la seguridad de los expedientes</t>
  </si>
  <si>
    <t>Posibilidad de afectación reputacional por pérdida de piezas procesales o expedientes debido a violación de la seguridad de los expedientes</t>
  </si>
  <si>
    <t>por actuaciones administrativas y/o fallos o decisiones no ajustadas a los lineamientos legales</t>
  </si>
  <si>
    <t>debido al interés de obtener un beneficio particular.</t>
  </si>
  <si>
    <t>Posibilidad de promover, inducir y /o provocar actuaciones administrativas y/o fallos o decisiones no ajustadas a los lineamientos legales, por abuso de poder del servidor, desviando la gestión de lo público y atendiendo intereses particulares a cambio de obtener un beneficio personal.</t>
  </si>
  <si>
    <t xml:space="preserve">Incumplimiento de metas Plan de Desarrollo </t>
  </si>
  <si>
    <t>Debido a desarticulación entre los actores que participan en la formulación, ejecución y seguimiento de las metas institucionales.
Desconocimiento por parte de los líderes de proceso y servidores públicos sobre temas de planeación (operativa, táctica y estratégica) y del proceso Direccionamiento Estratégico.
Reporte incompleto e incoherente por parte de las áreas.
Falta de compromiso y desconocimiento de las áreas sobre la importancia del reporte y seguimiento de los proyectos de inversión. 
No ejecución de las actividades programadas</t>
  </si>
  <si>
    <t xml:space="preserve">Posible afectación reputacional por cumplimiento menor al 70% de las metas plan de desarrollo debido a no ejecución de las actividades programadas </t>
  </si>
  <si>
    <t>Inconsistencias en la formulación del PAA</t>
  </si>
  <si>
    <t xml:space="preserve">Debido a debilidades en la identificación de necesidades alineadas a las metas institucionales y/o inconsistencias en la formulación de la cadena presupuestal e información jurídica y contractuales de los procesos  
</t>
  </si>
  <si>
    <t xml:space="preserve">Posible afectación económica/presupuestal por la ejecución de recursos de inversión que no correspondan al cumplimiento de una meta debido a inconsistencias en la formulación del Plan anual de Adquisiciones -PAA relacionadas con debilidades en la identificación de necesidades y la información presupuestal, jurídica y contractual de los procesos  </t>
  </si>
  <si>
    <t>Incumplimiento en la implementación de los ámbitos de participación ciudadana definidos para la vigencia</t>
  </si>
  <si>
    <t>Fallas en la convocatoria de los grupos de valor a cada ámbito 
Fallas en la metodología establecida para garantizar la participación ciudadana e incidente</t>
  </si>
  <si>
    <t>Posible afectación reputacional por incumplimiento en la implementación de los ámbitos de participación ciudadana definidos para la vigencia, debido a fallas en la convocatoria y en la metodología establecida</t>
  </si>
  <si>
    <t>Consolidar un referente simbólico, histórico y patrimonial, que reconozca las múltiples memorias, el valor los ritos funerarios, dignifique a las víctimas del conflicto, interpele a la sociedad sobre el pasado violento y la construcción de la paz.</t>
  </si>
  <si>
    <t xml:space="preserve">Retraso en las exposiciones  que hacen parte de la programación del Museo de Bogotá </t>
  </si>
  <si>
    <t xml:space="preserve">Retrasos en la entrega de los guiones de las exposiciones
Retrasos en la entrega de la museografía
Retrasos en los trámites de préstamo de piezas museográficas
</t>
  </si>
  <si>
    <t>Posibilidad de afectación reputacional por retrasos en las exposiciones dedido a debilidades en la contratación y supervisión de los elementos museográficos</t>
  </si>
  <si>
    <t>Posible pérdida o alteración de la integridad, confidencialidad y disponibilidad de los activos de información digital del Museo de Bogotá</t>
  </si>
  <si>
    <t>Pérdida o daño total o parcial de los dispositivos de almacenamiento externos digital del Museo.
Incumplimiento de la obligación contractual, por parte de los profesionales del equipo, de la entrega de los soportes documentales de su gestión. 
Malas prácticas documentales para la organización y conservación de los activos de información digital por parte de los profesionales del equipo.</t>
  </si>
  <si>
    <t>Posibilidad de afectación reputacional por fallas o alteraciones en la disponibilidad de la información del Museo de Bogotá debido imprecisiones en el almacenamiento y ubicación final de la información digital por parte de las áreas de trabajo del Museo de Bogotá.</t>
  </si>
  <si>
    <t xml:space="preserve">
Retraso en el cumplimiento del cronograma de impresión</t>
  </si>
  <si>
    <t>Retrasos en la entrega de los insumos para las publicaciones (investigación, material fotográfico, derechos)</t>
  </si>
  <si>
    <t>Posibilidad de afectación reputacional por retrasos en plan editorial dedido a debilidades en la contratación o al incumplimiento en la entrega de textos o insumos fotográficos.</t>
  </si>
  <si>
    <t xml:space="preserve">Pérdida de documentos de la colección del centro de documentación
</t>
  </si>
  <si>
    <t>Deficiencia en los controles de préstamo del material bibliográfico del Centro de Documentación.</t>
  </si>
  <si>
    <t>Posible afectación económica por pérdida de material de las colecciones del Centro de Documentación debido a falencias en el proceso de devolución de material bibliográfico del centro de documentación.</t>
  </si>
  <si>
    <t>Fallas en la implementación de los procesos de formación</t>
  </si>
  <si>
    <t>Deficiencias en el reporte de fallas de la plataforma externa utilizada para los procesos de formación a formadores.</t>
  </si>
  <si>
    <t>Posibilidad de afectación reputacional por incumpIimiento al cronograma de formación a formadores debido a debilidades en seguimiento y reporte oportuno de fallas de la plataforma utilizada para los procesos de formación a formadores</t>
  </si>
  <si>
    <t xml:space="preserve">Errores o inconsistencias en los estudios y documentos previos </t>
  </si>
  <si>
    <t>Debilidad en la estructuración de los estudios y documentos previos por la no aplicación de la normativa del estatuto de contratación y de los procedimientos internos.</t>
  </si>
  <si>
    <t>Posibilidad de afectación económica por errores o inconsistencias en los estudios y documentos previos debido a debilidades en su estructuración por parte de los responsables por la no aplicación de la normativa del estatuto de contratación y de los procedimientos internos.</t>
  </si>
  <si>
    <t>Incumplimiento, inoportunidad o errores en la publicación de documentos contractuales en SECOP tomados del sistema de gestión documental ORFEO.</t>
  </si>
  <si>
    <t xml:space="preserve">Debilidad en el control de verificación de la información precontratcual, contractual, poscontractual publicada en SECOP de acuerdo a lo establecido en las listas de chequeo
Debilidad en el cargue y control de verificación de la información  precontratcual, contractual, poscontractual del expediente ORFEO. </t>
  </si>
  <si>
    <t xml:space="preserve">Posibilidad de afectación económica por incumplimiento, inoportunidad y errores de la publicación de los documentos de las etapas  precontratcual, contractual, poscontractual publicada en SECOP, debido a debilidad en el control de verificación de la información precontractual, contractual, poscontractual publicada en SECOP de acuerdo a la información que reposa en el expediente  expediente ORFEO. </t>
  </si>
  <si>
    <t xml:space="preserve">
Bases de datos de contratación con información incompleta e incorrecta. </t>
  </si>
  <si>
    <t xml:space="preserve">Debilidad en el diligenciamiento de información de las bases de datos, debido a que el registro de información se realiza de manera manual.
Debilidad en el cruce de información de la base de datos de gestión contractual y la información presupuestal
</t>
  </si>
  <si>
    <t>Posibilidad de afectación reputacional por bases de datos de contratación con información incompleta e incorrecta, debido a que el registro de información se realiza de manera manual y hay 
debilidad en la conciliación de información presupuestal.</t>
  </si>
  <si>
    <t>Contratos sin liquidar dentro del término señalado en la ley</t>
  </si>
  <si>
    <t>Debilidad en los controles de supervisión de contratos en la etapa poscontractual
Debilidad en el seguimiento a la totalidad de los contratos que requieren liquidación</t>
  </si>
  <si>
    <t>Posibilidad de afectación económica por contratos sin liquidar dentro de los términos señalados en la Ley, debido a la debilidad en los controles de supervisión de contratos en la etapa poscontractual y el el seguimiento a la totalidad de los contratos que requieren liquidación.</t>
  </si>
  <si>
    <t>Incumplimiento de las condiciones del contrato sin que el supervisor realice la gestión requerida</t>
  </si>
  <si>
    <t xml:space="preserve">Debilidad en el seguimiento adecuado a la ejecucion contractual.
Debilidad en la estructuración de los informes para actuar de conformidad con lo establecido en el articulo 86 de la Ley 1474 de 2011
</t>
  </si>
  <si>
    <t>Posibilidad de afectación económica por incumplimiento de las condiciones del contrato sin que el supervisor realice la gestión requerida,  debido a debilidades seguimiento adecuado a la ejecución contractual y la estructuración de los informes para actuar de conformidad con lo establecido en el articulo 86 de la Ley 1474 de 2011.</t>
  </si>
  <si>
    <t>Interés indebido en la celebración de contratos para beneficio propio o de un tercero</t>
  </si>
  <si>
    <t>Debido a que el funcionario o contratista de la entidad incumpla sus funciones u oblligaciones  contractuales afectando  la moralidad administrativa buscando un favorecimiento propio o de un tercero.</t>
  </si>
  <si>
    <t xml:space="preserve">Posibilidad de que un funcionario o contratista omita el ejercicio de sus funciones u obligaciones en abuso de su poder para favorecimiento propio o de un tercero. </t>
  </si>
  <si>
    <t xml:space="preserve">Posible declaratoria de contrato realidad </t>
  </si>
  <si>
    <t xml:space="preserve">Debilidades en la estructuración y planeación de las necesidades en los estudios previos relacionada con el caracter excepcional, objeto, obligaciones específicas, plazo y honorarios.
Debilidades en la supervisión de los contratos relacionada con la coordinación en el marco del respeto por la autonomia de la ejecución del objeto y obligaciones contractuales. </t>
  </si>
  <si>
    <t xml:space="preserve">Posibilidad de afectación económica por configuración de un contrato realidad  por relaciones laborales encubiertas en los contratos de prestación de servicios con personas naturales debido a debilidades en la estructuración, planeación, contratación y supervisión contractual </t>
  </si>
  <si>
    <t>por la designación de un aspirante que no cumple con los requisitos mínimos establecidos en el manual de funciones y/o en las demás disposiciones que reglamentan estas actuaciones</t>
  </si>
  <si>
    <t>Debido a tráfico de influencias y/o clientelismo.</t>
  </si>
  <si>
    <t>Posibilidad de afectación legal, económica y/o reputacional por tráfico de influencias y/o clientelismo en el nombramiento de un aspirante que no cumple con los requisitos mínimos establecidos por abuso de poder de los servidores públicos involucrados desviando la gestión de lo público para beneficio propio o de un tercero.</t>
  </si>
  <si>
    <t>por Inconsistencias  e inoportunidad en el pago de la nómina</t>
  </si>
  <si>
    <t xml:space="preserve"> debido a la falta de parametrización del sistema,  desconocimiento de la normatividad aplicable y/o debilidades en la revisión de la nómina.</t>
  </si>
  <si>
    <t>Posibilidad de afectación legal, reputacional y/o económica por inconsistencias e inoportunidad en el pago de la nómina debido a la falta de parametrización del sistema, desconocimiento de la normatividad aplicable y/o debilidades en la revisión de la nómina.</t>
  </si>
  <si>
    <t xml:space="preserve">Expedientes incompletos o perdida de documentos que generan expedientes  desmembrados.
</t>
  </si>
  <si>
    <t>Debilidades en los controles de prestamo y las dependencias no  anexan la información en los expedientes.</t>
  </si>
  <si>
    <t>Posibilidad de afectación reputacional por expedientes incompletos y perdida de documentos debido a debilidades en los controles de prestamo y a que las dependencias no anexan la información en los expedientes.</t>
  </si>
  <si>
    <t>x</t>
  </si>
  <si>
    <t>Deterioro físico de la documentación que alberga el insitituto</t>
  </si>
  <si>
    <t>Manipulación inadecuada de los documentos o factores ambientales y biologicos en las áreas de mobiliario y unidades de almacenamiento de archivo.</t>
  </si>
  <si>
    <t>Posibilidad de afectación reputacional por deterioro físico de la documentación que alberga el instituto debido a manipulación inadecuada de los documentos o por factores ambientales y biológicos en las áreas de mobiliario y unidades de almacenamiento.</t>
  </si>
  <si>
    <t>Eliminiación de documentos por parte de los servidores y contratistas, desviando la gestión de lo público para beneficio propio o de un tercero</t>
  </si>
  <si>
    <t>Debilidad en la aplicación de lineamientos archivisticos</t>
  </si>
  <si>
    <t>Posibilidad de uso o eliminiación de documentos por parte de los servidores y contratistas, desviando la gestión de lo público para beneficio propio o de un tercero, debido a la debilidad en la aplicación de los lineamientos archivisticos.</t>
  </si>
  <si>
    <t>Asignación y descripción de forma inadecuada de los radicados de entrada y de salida por parte de correspondencia.</t>
  </si>
  <si>
    <t xml:space="preserve">Debilidad en la aplicación de lineamientos archivisticos por parte de los colaboradores del area de correspondencia </t>
  </si>
  <si>
    <t>Posibilidad de afectación reputacional debido a la asignación y descripción de radicados de entrada y de salida de forma erronea por parte de la oficina de correspondencia.</t>
  </si>
  <si>
    <t>Subvaluación y/o  sobrevaluación de los estados financieros</t>
  </si>
  <si>
    <t xml:space="preserve">Debido a soportes con información errada, interpretación del analista de los datos o digitalización errada en el aplicativo. </t>
  </si>
  <si>
    <t xml:space="preserve">Posibilidad de afectación reputacional por subvaluación y/o  sobrevaluación de los estados financieros debido a soportes con información errada, interpretación del analista de los datos o digitalización errada en el aplicativo. </t>
  </si>
  <si>
    <t>Expedición del Certificado de Disponibilidad Presupuestal (CDP) y Certificados de Resgitro Presupuestal (CRP) con errores en la información registrada</t>
  </si>
  <si>
    <t xml:space="preserve">Equivocación involuntaria en el registro de datos en la expedición del Certificado de Disponibilidad Presupuestal
Errores en los datos presupuestales registrados en el certificado de viabilidad para ejecución de recursos de inversión
Debilidades en el control de verificación de los datos financieros registrados en el Certificados de Registros Presupuestal (CRP) expedidos </t>
  </si>
  <si>
    <t>Posibilidad de afectación económica por errores de los datos relacionados en los Certificados de Disponibilidad Presupuestal-CDP o Certificados de Registro Presupuestal expedidos,  debido a equivocación involuntaria en el registro de los datos, errores en el certificado de viabilidad para ejecución de recursos de inversión, en la solicitud de Certificado de registro Presupuestal, así como debilidades en la verificación de los datos financieros registrados en el CDP y CRP.</t>
  </si>
  <si>
    <t xml:space="preserve">Duplicidad y/o errores en los pagos </t>
  </si>
  <si>
    <t xml:space="preserve">Error en el registro de información en el portal de pagos. 
Inconsistencias en la información contenida en la planilla de pagos. </t>
  </si>
  <si>
    <t xml:space="preserve">Posibilidad de afectación económica/presupuestal por duplicidad y/o error en los pagos, debido a inconsitencias en el registro de información en el portal y a la información contenida en la planilla de pagos. </t>
  </si>
  <si>
    <t xml:space="preserve">Por abuso de poder se realicen pagos sin soportes a un tercero o a nombre propio </t>
  </si>
  <si>
    <t>Orden del jefe inmediato y los servidores involucrados para realizar el pago sin soportes
Debilidad en la aplicación de los controles del proceso
Falta de integridad de los servidores que participan en el proceso de pagos</t>
  </si>
  <si>
    <t>Posibilidad de que se realicen pagos sin soportes por abuso de poder de los servidores públicos involucrados en el proceso, desviando la gestión de lo público para beneficio propio o de un tercero.</t>
  </si>
  <si>
    <t>por incumplimiento en los términos de las etapas o actividades para los procesos administrativos y/o judiciales que se adelantan en el IDPC</t>
  </si>
  <si>
    <t>debido a debilidades en los controles de verificación del trámite para la sustentación de los procesos judiciales.</t>
  </si>
  <si>
    <t>Posibilidad de afectación económica y/o disciplinaria por incumplimiento en los términos de las etapas o actividades para los procesos administrativos y/o judiciales que se adelantan para el IDPC, debido a debilidades en los controles de verificación del trámite para la sustentación y/o respuesta de los procesos judiciales.</t>
  </si>
  <si>
    <t>por la omisión en la alimentación del Sistema de Procesos Judiciales (SIPROJ) por parte del abogado encargado de la defensa judicial</t>
  </si>
  <si>
    <t>debido a la falta de una obligación específica del profesional designado para realizar la actualización, al incumplimiento de las obligaciones específicas del abogado encargado de la actualización o a la falta de capacitación en el manejo del aplicativo.</t>
  </si>
  <si>
    <t>Posibilidad de afectación reputacional por la omisión en la alimentación del Sistema de Procesos Judiciales (SIPROJ) por parte del abogado encargado de la defensa judicial, debido a la falta de una obligación específica del profesional designado para realizar la actualización, al incumplimiento de las obligaciones específicas del abogado encargado de la actualización o a la falta de capacitación en el manejo del aplicativo.</t>
  </si>
  <si>
    <t>daño antijurídico por injerencia negativa</t>
  </si>
  <si>
    <t>Un interés particular en el resultado del proceso administrativo y/o judicial.</t>
  </si>
  <si>
    <t>Posibilidad de materializar un daño antijurídico a un proceso administrativo y/o judicial por la injerencia negativa de un funcionario y/o contratista del Instituto fundado en un interés particular.</t>
  </si>
  <si>
    <t>Consolidar los patrimonios de Bogotá-región como referente de significados sociales y determinante de las dinámicas del ordenamiento territorial.</t>
  </si>
  <si>
    <t xml:space="preserve">Incumplimiento en la ejecución de las metas,planes, programas, proyectos </t>
  </si>
  <si>
    <t>Debilidad en el seguimiento en los cambio en los instrumentos,  normas y la regulación de patrimonio cultural del Distrital o Nacional.</t>
  </si>
  <si>
    <t>Posibilidad de afectación reputacional por incumplimiento en la ejecución funciones responsabilidades de la Subdirección de Gestión de Territorial de Patrimonio debido a debilidades en el seguimiento en los cambio en los instrumentos,  normas y la regulación de patrimonio cultural del Distrital o Nacional relaciondas con su misionalidad .</t>
  </si>
  <si>
    <t xml:space="preserve">La no realización de las actividades programada en desarrollo de la ejecución del proyecto 7649 </t>
  </si>
  <si>
    <t>Incumplimiento en el programa de actividades presenciales en los territorios por las limitaciones logísticas y operativas para los desplazamientos del equipo de trabajo.</t>
  </si>
  <si>
    <t xml:space="preserve">Posibilidad de afectación reputacional por la falta de condiciones logisticas para la participación de la comunidad en el desarrollo y ejecución de metas de la Subdirección de Gestión Territorial , debido al incumplimiento en el programa de actividades presenciales en el territorio por las limitaciones logísticas y operativas para los desplazamientos del equipo de trabajo.
</t>
  </si>
  <si>
    <t>Desactualización del inventario del Patrimonio Cultural por no cumplir con los criterios de estandarización para que sea información pública</t>
  </si>
  <si>
    <t>Incumplimiento en la entrega de los actos administrativos que modifican la información del inventario y las equiparaciones aprobadas en los BIC por el equipo responsable</t>
  </si>
  <si>
    <t>Posibilidad de afectación reputacional por información desactualizada del inventario del Patrimonio Cultural por no cumplir con los criterios de estandarización debido al incumplimiento en la actualizacion del reporte de los actos administrativos que modifican la información del inventario y las equiparaciones aprobadas en los BIC por el equipo responsable</t>
  </si>
  <si>
    <t xml:space="preserve">Incumplimiento del reporte de monitoreo o inoportunidad de las herramientas gestión  </t>
  </si>
  <si>
    <t xml:space="preserve">Debido a la inoportunidad del reporte de monitoreo de las herramientas de gestión  por parte del proceso
Los reportes no son entregados en debida forma 
Debido a la rotación del personal, el proceso no tiene presente las fechas de reporte de los diferentes instrumentos de gestión
</t>
  </si>
  <si>
    <t>Posibilidad de afectación reputacional por incumplimiento o inoportunidad del reporte de monitoreo de las herramientas de gestión, debido a la no entrega, entrega tardía o en debida forma de los reportes del monitoreo por parte de la primera línea de defensa.</t>
  </si>
  <si>
    <t xml:space="preserve">
Baja calificación en el Índice de Desempeño Institucional</t>
  </si>
  <si>
    <t>Debido a incumplimiento de los requisitos de las políticas de gestión y desempeño por parte de los procesos
No aplicar acciones para subsanar las debilidades identificadas</t>
  </si>
  <si>
    <t>Posibilidad de afectación reputacional por baja calificación en el Índice de Desempeño Institucional, debido al incumplimiento de los requisitos de las políticas de gestión y desempeño por parte de los procesos.</t>
  </si>
  <si>
    <t>Disposición final inadecuada de residuos peligros</t>
  </si>
  <si>
    <t>Entrega errorea de los residuos peligrosos al gestor de residuos convencionales por desconocimiento de quien entrega los residuos</t>
  </si>
  <si>
    <t>Posibilidad de afectación económica por disposición final inadecuada de residuos peligrosos, debido a errores o desconocimiento de quien  entrega los residuos peligrosos al gestor de residuos convencionales.</t>
  </si>
  <si>
    <t>Uso inadecuado o mala manipulación de productos químicos</t>
  </si>
  <si>
    <t>Desconocimiento de la hoja de datos de seguridad y ficha técnica del producto químico</t>
  </si>
  <si>
    <t>Posibilidad de afectación económica por uso inadecuado o mala manipulación de productos químicos que puede causar un impacto ambiental negativo y/o un accidente laboral debido al desconocimiento de la hoja de datos de seguridad y ficha técnica del producto químico.</t>
  </si>
  <si>
    <t>Incumplimiento de requisitos legales ambientales vigentes</t>
  </si>
  <si>
    <t>Expedición constante de la normatividad ambiental
Falta de capacidad económica y de la entidad para cumplir con los requerimientos legales 
Normas de austeridad del gasto con superioridad jerárquica frente al  requisito ambiental que con llevan al cumplimiento de los mismos  de manera progresiva</t>
  </si>
  <si>
    <t xml:space="preserve">Posibilidad de afectación económica por incumplimiento de requisitos legales ambientales vigentes debido a la expedición constante de la normatividad ambiental, falta de capacidad económica de la entidad y  superioridad jerárquica de las normas al requisito ambiental.
</t>
  </si>
  <si>
    <t>Generar acciones de protección y recuperación del patrimonio cultural del distrito y de su significado histórico, urbano, arquitectónico, cultural y simbólico a diferentes escalas desde una perspectiva de integralidad.</t>
  </si>
  <si>
    <t>Deficiencias en la orientación a quienes requieren los servicios que brinda la Subdirección de Protección e Intervención del Patrimonio-SPIP</t>
  </si>
  <si>
    <t>Imprecisiones en la comunicación e información de los requisitos y alcance de los trámites y servicios frente a quien presenta una solicitud, tanto al inicio del trámite, como a lo largo de su solución.</t>
  </si>
  <si>
    <t>Posibilidad de afectación reputacional por deficiencias en la orientación a quienes requieren los servicios que brinda la SPIP debido a imprecisiones en la comunicación e información de los requisitos  y alcance de los támites frente a quien presenta una solicitud, tanto al inicio del trámite, como a lo largo de su solución.</t>
  </si>
  <si>
    <t>Intervención inadecuada sobre el patrimonio o su desaparición.</t>
  </si>
  <si>
    <t>Imposibilidad de monitorear las intervenciones asociadas a las consultas en patrimonio realizadas por la ciudadanía 
Debilidades en el control ejercido por el sector cultura frente a las intervenciones al patrimonio mueble de la ciudad
Dificultades propias de los trámites y su duración.</t>
  </si>
  <si>
    <t>Posibilidad de afectación reputacional por intervención inadecuada sobre el patrimonio o de su desaparición, debido a las dificultades propias de los trámites y su duración.</t>
  </si>
  <si>
    <t>Respuesta inoportuna a las solicitudes que se reciben.</t>
  </si>
  <si>
    <t xml:space="preserve">
Deficiencias en los controles y seguimientos al avance de los trámites </t>
  </si>
  <si>
    <t xml:space="preserve">Posibilidad de afectación reputacional por responder de manera inoportuna las solicitudes que se reciben, debido a deficiencias en los controles y seguimientos al avance de los trámites </t>
  </si>
  <si>
    <t>Aprobación inadecuada de solicitudes.</t>
  </si>
  <si>
    <t>Desactualización en la normativa vigente de los servidores responsable del proceso y aplicable o a interpretaciones erróneas.</t>
  </si>
  <si>
    <t>Posibilidad de afectación reputacional por aprobación inadecuada de solicitudes debido a la desactualización de los servidores responsable del proceso en la normativa vigente aplicable o a interpretaciones erróneas</t>
  </si>
  <si>
    <t>Inconsistencias en la estructuración de los estudios previos y documentos anexos.</t>
  </si>
  <si>
    <t>Formulación de pliegos desarticulada de los equipos técnicos que realizan el seguimiento a las obras.</t>
  </si>
  <si>
    <t>Posibilidad de afectación reputacional por inconsistencias en la estructuración de los estudios previos y documentos anexos debido a la formulación de pliegos desarticulada de los equipos técnicos que realizan el seguimiento a las obras.</t>
  </si>
  <si>
    <t xml:space="preserve">Falta de información y transparencia sobre los trámites </t>
  </si>
  <si>
    <t>Desconocimiento por parte de los ciudadanos de cómo se realizan los trámites en el IDPC y falta de transparencia frente a como se desarrolla el proceso y en que etapa se encuentra</t>
  </si>
  <si>
    <t>Posibilidad de solicitar o recibir cobro indebidos durante la atención de trámite de "SOLICITUD DE AUTORIZACIÓN DE ANTEPROYECTOS EN BIENES DE INTERÉS CULTURAL DEL DISTRITO CAPITAL" por parte de los servidores del IDPC que desvíen la gestión de lo público para el beneficio propio o de un tercero</t>
  </si>
  <si>
    <t xml:space="preserve">Posibilidad de solicitar o recibir cobro indebidos durante la atención de trámite de "EQUIPARACIÓN DE TARIFAS DE SERVICIOS PÚBLICOS A ESTRATO UNO (1) EN INMUEBLES DE INTERÉS CULTURAL" por parte de los servidores del IDPC que desvíen la gestión de lo público para el beneficio propio o de un tercero </t>
  </si>
  <si>
    <t xml:space="preserve">Posibilidad de solicitar o recibir cobro indebidos durante la atención de trámite de "SOLICITUD DE AUTORIZACIÓN DE INTERVENCIÓN DE ESPACIOS PÚBLICOS PATRIMONIALES DEL DISTRITO CAPITAL " por parte de los servidores del IDPC que desvíen la gestión de lo público para el beneficio propio o de un tercero </t>
  </si>
  <si>
    <t xml:space="preserve">Posibilidad de solicitar o recibir cobro indebidos durante la atención de trámite de "ESTUDIO DE SOLICITUDES DE INTERVENCIÓN DE BIENES MUEBLES Y MONUMENTOS EN ESPACIO PÚBLICO" por parte de los servidores del IDPC que desvíen la gestión de lo público para el beneficio propio o de un tercero </t>
  </si>
  <si>
    <t xml:space="preserve">Posibilidad de solicitar o recibir cobro indebidos durante la atención de trámite de "EXPEDICIÓN DE LICENCIAS DE OCUPACIÓN E INTERVENCIÓN DE ESPACIOS PÚBLICOS PATRIMONIALES DEL DISTRITO CAPITAL”. por parte de los servidores del IDPC que desvíen la gestión de lo público para el beneficio propio o de un tercero </t>
  </si>
  <si>
    <t>Insuficiente cobertura de evaluación y/o seguimiento a los procesos del IDPC</t>
  </si>
  <si>
    <t>Escaso personal
Sistemas de información obsoletos y/o insuficiente</t>
  </si>
  <si>
    <t>Posibilidad de afectación económica por insuficiente cobertura de evaluación y/o seguimiento a los procesos del IDPC, debido al escaso personal de Control Interno y sistemas de información obsoletos y/o insuficientes que permitan agilizar el trabajo.</t>
  </si>
  <si>
    <t>Ocultar o modificar información del desempeño de los procesos o de la Entidad en favorecimiento propio o de un servidor en particular</t>
  </si>
  <si>
    <t>Desconocimiento del estatuto de auditoría interna  y código de ética del auditor
Ausencia o debilidad de procesos y procedimientos para la gestión</t>
  </si>
  <si>
    <t>Posibilidad de ocultar o modificar información del desempeño de los procesos o de la Entidad por abuso del poder del equipo auditor, desviando la gestión de lo público en favorecimiento propio o de un servidor en particular.</t>
  </si>
  <si>
    <t>Errores en los informes de seguimiento o auditorías</t>
  </si>
  <si>
    <t>Errores de muestreo de la información de la auditoría
El auditor no cuente con las competencias de auditoría
Desconocimiento de las actividades o temáticas a evaluar
Información insuficiente, desordenada o que excede la capacidad para su análisis
El alcance de la auditoría excede la capacidad del equipo</t>
  </si>
  <si>
    <t>Posibilidad de afectación reputacional por errores en los informes de seguimiento o auditorías debido a que el alcance de la auditoría excede la capacidad del equipo, desconocimiento de las actividades o temáticas a evaluar por parte del auditor o ausencia de las competencias necesarias, errores de muestreo, información insuficiente, desordenada o que excede la capacidad para su análisis.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</si>
  <si>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</si>
  <si>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</si>
  <si>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Formato Mapa Riesgos - Controles Riesgos de Gestión</t>
  </si>
  <si>
    <t>Análisis de riesgo inherente</t>
  </si>
  <si>
    <t>Evaluación del riesgo - Valoración de los controles</t>
  </si>
  <si>
    <t>Evaluación del riesgo - Nivel del riesgo residual</t>
  </si>
  <si>
    <t>Controles</t>
  </si>
  <si>
    <t>Acciones de Mitigación</t>
  </si>
  <si>
    <t>Plan de Contingencia</t>
  </si>
  <si>
    <t>Seguimiento Primer Cuatrimestre</t>
  </si>
  <si>
    <t>Seguimiento Segundo Cuatrimestre</t>
  </si>
  <si>
    <t>Seguimiento Tercer Cuatrimestre</t>
  </si>
  <si>
    <t>Atributos</t>
  </si>
  <si>
    <t>Primera Línea de Defensa - Líderes de Proceso</t>
  </si>
  <si>
    <t>Segunda Línea de Defensa - OAP</t>
  </si>
  <si>
    <t>Tercera Línea de Defensa C.I.</t>
  </si>
  <si>
    <t>Materialización</t>
  </si>
  <si>
    <t>1. Observaciones C.I.</t>
  </si>
  <si>
    <t>1. Calificación C.I.</t>
  </si>
  <si>
    <t>1. Materialización del riesgo</t>
  </si>
  <si>
    <t>2. Observaciones C.I.</t>
  </si>
  <si>
    <t>2. Calificación C.I.</t>
  </si>
  <si>
    <t>2. Materialización del riesgo</t>
  </si>
  <si>
    <t>3. Observaciones C.I.</t>
  </si>
  <si>
    <t>3. Calificación C.I.</t>
  </si>
  <si>
    <t>3. Materialización del riesgo</t>
  </si>
  <si>
    <t>Frecuencia con la cual se realiza la actividad</t>
  </si>
  <si>
    <t>Probabilidad Inherente</t>
  </si>
  <si>
    <t>% Probabilidad Inherente</t>
  </si>
  <si>
    <t>Criterios de impacto</t>
  </si>
  <si>
    <t>Observación de criterio</t>
  </si>
  <si>
    <t>Impacto 
Inherente</t>
  </si>
  <si>
    <t>% Impacto Inherente</t>
  </si>
  <si>
    <t>Letra Control</t>
  </si>
  <si>
    <t>No. Control</t>
  </si>
  <si>
    <t>Cod. Control</t>
  </si>
  <si>
    <t>Tipo</t>
  </si>
  <si>
    <t>Implementación</t>
  </si>
  <si>
    <t>Calificación</t>
  </si>
  <si>
    <t>Documentación</t>
  </si>
  <si>
    <t>Frecuencia</t>
  </si>
  <si>
    <t>Evidencia</t>
  </si>
  <si>
    <t>Probabilidad Residual</t>
  </si>
  <si>
    <t>Probabilidad Residual Final</t>
  </si>
  <si>
    <t>%</t>
  </si>
  <si>
    <t>Impacto Residual Final</t>
  </si>
  <si>
    <t>Zona de Riesgo Final</t>
  </si>
  <si>
    <t>Evidencia del Control</t>
  </si>
  <si>
    <t>Periodicidad de la aplicación del Control</t>
  </si>
  <si>
    <t>Responsable de la aplicación del control</t>
  </si>
  <si>
    <t>Plan de Acción</t>
  </si>
  <si>
    <t>Entregable</t>
  </si>
  <si>
    <t>Responsable</t>
  </si>
  <si>
    <t>Fecha Inicio</t>
  </si>
  <si>
    <t>Fecha Fin</t>
  </si>
  <si>
    <t>Actividad</t>
  </si>
  <si>
    <t>Recursos</t>
  </si>
  <si>
    <t>Qué hacer durante?</t>
  </si>
  <si>
    <t>Qué hacer después?</t>
  </si>
  <si>
    <t xml:space="preserve">Resultados del plan de contingencia y evidencias </t>
  </si>
  <si>
    <t>1. Descripción Cualitativa Controles</t>
  </si>
  <si>
    <t>1. Evidencia Controles</t>
  </si>
  <si>
    <t>Programado</t>
  </si>
  <si>
    <t>Ejecutado</t>
  </si>
  <si>
    <t>1. Descripción Cualitativa Acciones</t>
  </si>
  <si>
    <t>1. Evidencia de las acciones</t>
  </si>
  <si>
    <t>¿El Riesgo se materializó durante el periodo?</t>
  </si>
  <si>
    <t>1. Aplicación del Plan de Contingencias</t>
  </si>
  <si>
    <t>1. Evidencias Aplicación Plan de Contingencias</t>
  </si>
  <si>
    <t>1. Observaciones Controles</t>
  </si>
  <si>
    <t>1. Estado Controles</t>
  </si>
  <si>
    <t>1. Observaciones Estados de Mitigación</t>
  </si>
  <si>
    <t>1. Estado Acciones de Mitigación</t>
  </si>
  <si>
    <t>¿Se presentó Plan de Mejoramiento durante el periodo?</t>
  </si>
  <si>
    <t>2. Descripción Cualitativa Controles</t>
  </si>
  <si>
    <t>2. Evidencia Controles</t>
  </si>
  <si>
    <t>2. Descripción Cualitativa Acciones</t>
  </si>
  <si>
    <t>2. Evidencia de las acciones</t>
  </si>
  <si>
    <t>2. Aplicación del Plan de Contingencias</t>
  </si>
  <si>
    <t>2. Evidencias Aplicación Plan de Contingencias</t>
  </si>
  <si>
    <t>2. Observaciones Controles</t>
  </si>
  <si>
    <t>2. Estado Controles</t>
  </si>
  <si>
    <t>2. Observaciones Estados de Mitigación</t>
  </si>
  <si>
    <t>2. Estado Acciones de Mitigación</t>
  </si>
  <si>
    <t>3. Descripción Cualitativa Controles</t>
  </si>
  <si>
    <t>3. Evidencia Controles</t>
  </si>
  <si>
    <t>3. Descripción Cualitativa Acciones</t>
  </si>
  <si>
    <t>3. Evidencia de las acciones</t>
  </si>
  <si>
    <t>3. Aplicación del Plan de Contingencias</t>
  </si>
  <si>
    <t>3. Evidencias Aplicación Plan de Contingencias</t>
  </si>
  <si>
    <t>3. Observaciones Controles</t>
  </si>
  <si>
    <t>3. Estado Controles</t>
  </si>
  <si>
    <t>3. Observaciones Estados de Mitigación</t>
  </si>
  <si>
    <t>3. Estado Acciones de Mitigación</t>
  </si>
  <si>
    <t>Daños Activos Fisicos</t>
  </si>
  <si>
    <t xml:space="preserve">     Afectación menor a 10 SMLMV .</t>
  </si>
  <si>
    <t>Programar y ejecutar el cronograma de mantenimiento anual.</t>
  </si>
  <si>
    <t>Preventivo</t>
  </si>
  <si>
    <t>Manual</t>
  </si>
  <si>
    <t>Documentado</t>
  </si>
  <si>
    <t>Continua</t>
  </si>
  <si>
    <t>Con Registro</t>
  </si>
  <si>
    <t>Reducir (mitigar)</t>
  </si>
  <si>
    <t>Un Cronograma que se elabora en el mes de febrero
once Informes (un informe por mes) de ejecución de actividades de mantenimiento articulados con las inspecciones realizadas por SST y Gestión Ambiental</t>
  </si>
  <si>
    <t>Mensual</t>
  </si>
  <si>
    <t>Profesional universitario responsable de Administración de Bienes.</t>
  </si>
  <si>
    <t>Articular con Talento Humano una sensibilización sobre el cuidado de los bienes muebles e inmuebles.</t>
  </si>
  <si>
    <t xml:space="preserve">Presentación, lista de asistencia o relatoria del espacio de sensibilización. </t>
  </si>
  <si>
    <t xml:space="preserve">Ejecutar las actividades del Manual de Procedimientos Administrativos y Contables para el Manejo y Control de los Bienes en las Entidades de Gobierno Distritales. </t>
  </si>
  <si>
    <t>Para riesgos menores se usan los recursos que se encuentran disponibles en el contrato de ferreteria y para riesgos mayores se hace afectación de la póliza de seguro.</t>
  </si>
  <si>
    <t>Líder del Proceso de Bienes e Infraestructura</t>
  </si>
  <si>
    <t>Elaboración del informe del hecho para presentar a la entidad competente de acuerdo con el tipo de afectación que se presente.</t>
  </si>
  <si>
    <t>Seguimiento al caso hasta que se de el cierre del mismo.</t>
  </si>
  <si>
    <t>Carta a la aseguradora, a Control Interno o al supervisor del contratista responsable.</t>
  </si>
  <si>
    <t>Frente al control del riesgo se elaboro el plan de mantenimiento de la vigencia 2023 en el cual se planifican las actividades del proceso, que incluyen el mantenimiento a la infraestructura, muebles y enseres y mantenimiento especializado de activos y se elaboraron los informes mensuales de las acciones realizadas en cada mes, de acuerdo a la programación del plan de mantenimiento.</t>
  </si>
  <si>
    <t xml:space="preserve">Informe de actividades del plan de mantenimiento, informe de mantenimiento jardin, planificador de actividades, para cada mes (febrero-abril). </t>
  </si>
  <si>
    <t>Frente a la acción de mitigación del riesgo y de acuerdo a la programacion no se reportan actividades para el periodo.</t>
  </si>
  <si>
    <t>N/A</t>
  </si>
  <si>
    <t>No</t>
  </si>
  <si>
    <t>El proceso aporta los registros de los mantenimientos efectuados en los meses de febrero a abril de 2023</t>
  </si>
  <si>
    <t>Evidencia aplicación de controles</t>
  </si>
  <si>
    <t>La acción está programada para ejecutarse entre los meses de mayo y junio</t>
  </si>
  <si>
    <t>Aún no inicia ejecución</t>
  </si>
  <si>
    <t>Se evidencia la ejecución del control, con el plan de mantenimiento y la ejecución del mismo. Se resalta que la revisión no evalúa el contenido del plan.
Frente a la acción de mitigación, la misma no se encuentra programada para el período evaluado.</t>
  </si>
  <si>
    <t>En ejecución</t>
  </si>
  <si>
    <t>Aplicar el sistema de control de entradas y salidas y se deja registro de ingreso de bienes muebles e inmuebles.</t>
  </si>
  <si>
    <t xml:space="preserve">Tres reportes de autorización de entradas y salidas del periodo (Mayo, Septiembre y Diciembre). Soporte de registro en SIIGO de entradas de bienes muebles e inmuebles (sujeto a ocurrencia). </t>
  </si>
  <si>
    <t>Cuatrimestral</t>
  </si>
  <si>
    <t>Frente al control del riesgo y de acuerdo a la programacion no se reportan actividades para el periodo.</t>
  </si>
  <si>
    <t>El proceso indica que no se presentaron actividades relacionadas con el control</t>
  </si>
  <si>
    <t>No evidencia aplicación de controles</t>
  </si>
  <si>
    <t>Frente a este control, no se encuentra programado para el período evaluado.</t>
  </si>
  <si>
    <t>Realizar cuatrimestralmente la inspección y verificación de los bienes para determinar las condiciones de existencia y conservación.</t>
  </si>
  <si>
    <t>Detectivo</t>
  </si>
  <si>
    <t>Tres planillas de revisión de verificación de saldos de bienes de consumo (Mayo, Septiembre y Diciembre) que incluya el saldo en el sistema vs saldo físico</t>
  </si>
  <si>
    <t>Un acta de verificación de espacios de almacenamiento y bodegaje.</t>
  </si>
  <si>
    <t>La acción está programada para el siguiente periodo</t>
  </si>
  <si>
    <t>El control no se encuentra programado para el período evaluado.
Frente a la acción de mitigación, la misma no se encuentra programada para el período evaluado.</t>
  </si>
  <si>
    <t>Sí</t>
  </si>
  <si>
    <t xml:space="preserve">     El riesgo afecta la imagen de la entidad con algunos usuarios de relevancia frente al logro de los objetivos</t>
  </si>
  <si>
    <t>Verificación y actualización de los datos de identificación de las piezas de la colección en Colecciones Colombianas, en conjunto con los responsables de Museo de Bogotá</t>
  </si>
  <si>
    <t>Aceptar</t>
  </si>
  <si>
    <t>Reporte de objetos registrados, verificados y actualizados en Colecciones Colombianas</t>
  </si>
  <si>
    <t>Profesional universitario responsable de Administración de Bienes. - Gerente del Museo</t>
  </si>
  <si>
    <t>Verificar fisicamente las piezas de la colección y consignar la información en Colecciones Colombianas, en conjunto con los responsables del Museo de Bogotá</t>
  </si>
  <si>
    <t>Base de datos en relacion de piezas registradas de la colección del Museo de Bogotá con datos de identificación actualizados en Colecciones Colombianas, verificados por el profesional del museo de Bogotá</t>
  </si>
  <si>
    <t>Frente al control del riesgo se realizo la verificación y actualización de los datos de identificación de las piezas de la colección en Colecciones Colombianas, en conjunto con los responsables de Museo de Bogotá</t>
  </si>
  <si>
    <t>Frente a la acción de mitigación del riesgo se realizo la verificación fisica de las piezas de la colección y consignar la información en Colecciones Colombianas, en conjunto con los responsables del Museo de Bogotá</t>
  </si>
  <si>
    <t>El proceso aporta la matriz con el reporte de objetos registrados, verificados y actualizados en Colecciones Colombianas</t>
  </si>
  <si>
    <t>El proceso presenta la base de datos con la relacion de piezas registradas de la colección del Museo de Bogotá</t>
  </si>
  <si>
    <t>Evidencia ejecución de acciones</t>
  </si>
  <si>
    <t>Se evidencia la ejecución del control, con la base de datos de registro de las piezas de colecciones colombianas
Frente a la acción de mitigación, si bien esta no se encuentra programada para el período evaluado, se evidencia base de datos en la cual se incluye la verificación física de las piezas de colecciones colombianas.</t>
  </si>
  <si>
    <t>Fallas Tecnologicas</t>
  </si>
  <si>
    <t>Mantenimiento y calibración oportuna de los equipos de medición</t>
  </si>
  <si>
    <t>Certificados vigentes de mantenimiento y calibración de equipos</t>
  </si>
  <si>
    <t>Anual</t>
  </si>
  <si>
    <t>informes de ejecución del plan de mantenimiento y calibración de equipos</t>
  </si>
  <si>
    <t xml:space="preserve">Tabla de Seguimiento fechas de mantenimiento y calibración de equipos.
</t>
  </si>
  <si>
    <t>Frente al control del riego se realizo el mantenimiento y calibración oportuna de los equipos de medición</t>
  </si>
  <si>
    <t>Frente a la acción de mitigación se elaboraron informes de ejecución del plan de mantenimiento y calibración de equipos</t>
  </si>
  <si>
    <t>Se aportan los certificados respectivos de la calibración y mantenimiento de los equipos</t>
  </si>
  <si>
    <t>Se presenta el informe de seguimiento al plan de calibración de equipos</t>
  </si>
  <si>
    <t>Como evidencia del control se hace entrega de certificados de calibración de los equipos que corresponden a la vigencia 2020, que de acuerdo con lo manifestado por el proceso, la calibración de estos equipos recomendada por el proveedor se debe realizar cada 3 años, indicando que se encuentra programada para agosto de 2023, sin embargo, esta programación no se encuentra en el Plan de Mantenimiento Anual.
Frente a la acción de mitigación, se hace entrega de matriz que contiene los datos de los mantenimientos realizados a cada uno de los equipos, sin embargo, es importante mencionar que no se da mayor detalle del mantenimiento realizado, ni se aportan las hojas de vida de los equipos en los cuales se determine los tiempos de calibración de mantenimientos preventivos y qué se ha hecho en cada uno de ellos.</t>
  </si>
  <si>
    <t>Control de condiciones ambientales de los espacios.</t>
  </si>
  <si>
    <t>Tomar lectura de condiciones ambientales del espacio con equipos de monitoreo ambiental y verificación de equipos (registro de condiciones ambientales)</t>
  </si>
  <si>
    <t>Frente al control del riesgo se realizo el control de las condiciones ambientales de los espacios.</t>
  </si>
  <si>
    <t>Tomas de lectura de condiciones ambientales del espacio con equipos de monitoreo ambiental y verificación de equipos (registro de condiciones ambientales)</t>
  </si>
  <si>
    <t>El proceso aporta el registro de las condiciones ambientales</t>
  </si>
  <si>
    <t>Se hace entrega de las mediciones de condiciones ambientales de cada una de las salas del museo, sin embargo, se resalta que si los equipos no están correctamente calibrados, los resultados de la medición pueden estar alterados, lo cual podría generar la materialización del riesgo.</t>
  </si>
  <si>
    <t>Usuarios, productos y practicas , organizacionales</t>
  </si>
  <si>
    <t xml:space="preserve">Diaria </t>
  </si>
  <si>
    <t xml:space="preserve">El administrador central del SDQS realiza seguimiento a la gestión de las PQRS a través del envío de correos electrónicos semanales que contienen el estado de las PQRS por cada dependencia que contiene el número del radicado, el responsable de responder la solicitud, el tipo de petición, la fecha de vencimiento, si solicitó ampliación de términos, si se encuentra próxima a vencerse y si se encuentra en término o próxima a vencerse, el correo se remite con copia a los Subdirectores y operadores laterales. </t>
  </si>
  <si>
    <t xml:space="preserve">Correos electrónicos semanales de seguimiento al SDQS </t>
  </si>
  <si>
    <t>Semanal</t>
  </si>
  <si>
    <t>Profesional de Atención a la Ciudadanía</t>
  </si>
  <si>
    <t>1.- Divulgar periódicamente los términos de ley para dar respuesta a las PQRS en el marco de la Ley 1755 de 2015 y sus respectivas sanciones disciplinarias en caso de incumplimiento de los mismos.
2.- Realizar un seguimiento mensual con los operadores laterales del sistema "Bogotá te escucha"  y el defensor del ciudadano.</t>
  </si>
  <si>
    <t>6 Correos electronicos de socialización.
6 publicaciones de socialización en la intranet 
11 reuniones o encuentros de seguimiento realizados (acta de reunión)</t>
  </si>
  <si>
    <t xml:space="preserve">Equipo atención a la ciudadanía- Administrador central SDQS </t>
  </si>
  <si>
    <t>Informar a la Oficina de Control Interno Disciplinario</t>
  </si>
  <si>
    <t>Personal con conocimientos en el manejo de SDQS</t>
  </si>
  <si>
    <t>Responsable del Bogotá Te Escucha</t>
  </si>
  <si>
    <t>Aportar las evidencias que demuestren el incumplimiento</t>
  </si>
  <si>
    <t>Correos de remisión de información de PQRSD a la Oficina de Control Interno Disciplinario</t>
  </si>
  <si>
    <t xml:space="preserve">En la carpeta G7 se encuentra la evidencia de los controles de las PQRSFD de los tiempos de respuesta de cada tipología. 
</t>
  </si>
  <si>
    <t>Correos de los meses de enero, febrero, marzo y abril.</t>
  </si>
  <si>
    <t>En la carpeta plan de mitigación se incorpora los seguimientos semanales en el que se divulga los terminos de respuesta definidos en la normatividad vigente:
Ley 2207 del 2022,
artículo 14 de la ley 1437 de 2011
artículo 21 de la Ley 1755 de 2015,</t>
  </si>
  <si>
    <t xml:space="preserve">Correos de divulgación </t>
  </si>
  <si>
    <t>Correo de Bogotá es TIC - Petición fuera de términos por falta de respuesta
Lista de asistencia SPIP
Acta SPIP y ACyT</t>
  </si>
  <si>
    <t xml:space="preserve">Se observa evidencia de la ejecución del control </t>
  </si>
  <si>
    <t xml:space="preserve">Se observa correos de divulgación de los tiempos de respuesta.
Respecto a los seguimientos mensuales con los operadores laterales del sistema "Bogotá te escucha"  y el defensor del ciudadano, no se observa evidencia de su ejecución </t>
  </si>
  <si>
    <t>Acciones ejecutadas parcialmente y adjunta evidencias</t>
  </si>
  <si>
    <t xml:space="preserve">Se observa evidencia de la aplicación del plan de contingencia </t>
  </si>
  <si>
    <t>Se evidencia la ejecución del control, con los correos semanales de seguimiento.
En cuanto a la primera acción de mitigación, se observa que en los correos de seguimiento se incluye la socialización de los tiempos de respuesta. De acuerdo con lo manifestado por el proceso, lo concerniente a las sanciones disciplinarias a las que se encuentran expuestos por incumplimiento de términos, será presentada en la segunda jornada de divulgación.
Para la segunda acción de mitigación, se evidencian 3 actas de reunión en las cuales se realiza seguimiento a las PQRS.
Teniendo en cuenta que el riesgo se materializó, se activó plan de contingencia, contando con las evidencias de su ejecución.</t>
  </si>
  <si>
    <t>Seguimientos realizados por parte del Equipo de Transparencia a la ejecución de actividades relacionadas con el cumplimiento de la Ley de Transparencia</t>
  </si>
  <si>
    <t>Actas de reunión del Equipo de Transparencia</t>
  </si>
  <si>
    <t>Trimestral</t>
  </si>
  <si>
    <t>1. Divulgar los resultados de Control Interno y del ITA.
2.- Adecuar el proceso incorporando los componentes asociados a la Política de Transparencia.
3. Hacer un plan de trabajo de articulación para el cumplimiento de la Ley de Transparencia a partir de la estructura del ITA y los informes de Control Interno</t>
  </si>
  <si>
    <t xml:space="preserve">1. Actas de reunión y/o lista de Asistencia de divulgación de los resultados de los informes de Control Interno y del ITA.
2. Documento(s) asociado(s) a la Política de Transparencia y Acceso a la Información Pública.
3. Plan de trabajo. </t>
  </si>
  <si>
    <t>Equipo atención a la ciudadanía - Responsables Política de Transparencia</t>
  </si>
  <si>
    <t xml:space="preserve">1. En el marco del trabajo articulado del Equipo de Transparencia se llevó a cabo la reunión de seguimiento la cual se convocó para revisar los avances y/o pendientes, así como coordinar el reporte de actividades. Para esto la agenda propuesta fue la siguiente:
- Seguimiento al Plan de trabajo y reporte del Plan de Mejoramiento
- Seguimiento a la actualización del Esquema de Publicación
- Preparación para reporte del informe de seguimiento de Control Interno de la Ley de Transparencia
- Unificación información de trámites y servicios Sitio Web y A un clic del patrimonio
- Diligenciamiento del ITB
</t>
  </si>
  <si>
    <t>1a. Acta de reunión del Equipo de Transparencia, lista de asistencia y correo de convocatoria con la agenda propuesta</t>
  </si>
  <si>
    <t xml:space="preserve">1. Durante el periodo no se ha realizado la divulgación de resultados de la presente vigencia y se estima realizar la socialización de los resultados de auditoria interna de le y de transparencia en el próximo periodo
2. En el Comité Institucional de Gestión y Desempeño del 28 de abril se presentó la propuesta de modificación del mapa de procesos en el que se incorporó el ajuste del Proceso de atención a la ciudadanía, el cual consiste en la ampliación del alcance respecto a la ley de transparencia 
3.Se definió el plan de trabajo y se realizó el seguimiento de su ejecución </t>
  </si>
  <si>
    <t xml:space="preserve">Correo cierre y presentación Comité Institucional de Gestión y Desempeño 
Plan de trabajo y acta de seguimiento </t>
  </si>
  <si>
    <t xml:space="preserve">Se observa evidencia de la ejecución de la actividad, sin embargo, su ejecución no corresponde a la frecuencia establecida </t>
  </si>
  <si>
    <t xml:space="preserve">Se observa evidencia en el avance en la ejecución del plan de mitigación, respecto a la propuesta de ajjuste del mapa de procesos y el seguimiento del plan de trabajo </t>
  </si>
  <si>
    <t>Se evidencia la ejecución del control con el acta de reunión del primer trimestre del equipo de transparencia.
La primera acción de mitigación de acuerdo con lo informado por el proceso, inicia en un período diferente al evaluado.
Para la segunda acción de mitigación, se hace entrega de la propuesta de actualización del mapa de procesos presentada en Comité de Gestión y Desempeño para aprobación.
En cuanto a la tercera acción de mitigación se presenta el plan de trabajo de transparencia y los seguimientos realizados al mismo.</t>
  </si>
  <si>
    <t>La webmaster, verificar y realiza un proceso de compresión para reducir el tamaño de los archivos (imágenes, videos o documentos) con el fin de optimizar el rendimiento de la página web cada vez que se requiere llevar a cabo una publicación.</t>
  </si>
  <si>
    <t>Sin Documentar</t>
  </si>
  <si>
    <t>Enlace de la página web, con los documentos comprimidos y cargados en la página web</t>
  </si>
  <si>
    <t>Cada vez que se requiere llevar a cabo una publicación</t>
  </si>
  <si>
    <t>Web Master</t>
  </si>
  <si>
    <t>Analizar la capacidad del servicio de hosting de la página web y determinar el rendimiento adecuado para los eventos de divulgación masiva que programe la entidad.</t>
  </si>
  <si>
    <t>3 Informes de los análisis y reportes de monitoreo.</t>
  </si>
  <si>
    <t xml:space="preserve">Proceso de Sistemas de Información y Tecnología </t>
  </si>
  <si>
    <t>La webmaster informa la caida de la página web al proceso de Sistemas para que le informe al proveedor del servicio de hosting y se tomen las acciones para solucionarlo y evitar que esto vuelva a suceder</t>
  </si>
  <si>
    <t>*Webmaster
*Página web
*Profesional designado de la Subdirección de Gestión Corporativa - Sistemas
*Proveedor de Hosting</t>
  </si>
  <si>
    <t>*Webmaster
*Profesional designado de la Subdirección de Gestión Corporativa - Sistemas</t>
  </si>
  <si>
    <t>Divulgar a través de otros medios alternos (redes sociales, correo electrónico) los contenidos de alto impacto que no pudieron ser divulgados por la página web</t>
  </si>
  <si>
    <t>Solicitar informe al servicio de hosting y determinar acciones conjuntas para prevenir que la situación se repita</t>
  </si>
  <si>
    <t>Correos electrónicos y/o actas de reuniones con los compromisos de las partes</t>
  </si>
  <si>
    <t xml:space="preserve">Durante el primer cuatrimestre se realizaron las actividades de compresión y optimización de imágenes y documentos para evitar la eventual saturación de la página web y el riesgo que no divulgar la información misional. 
</t>
  </si>
  <si>
    <t xml:space="preserve">1. Muestra compresion de imagenes.pdf
2. Enlace página web IDPC
</t>
  </si>
  <si>
    <t>1 Informe de los análisis y reportes de monitoreo.</t>
  </si>
  <si>
    <t>1 Informe_Monitoreo_TraficoWeb_primer_Cuatrimestre.pdf</t>
  </si>
  <si>
    <t xml:space="preserve">Durante el primer cuatrimestre de la presente vigencia, la webmaster no realizó ningún reporte o novedad de intermitencia o falla de la página web, su comportamiento fue normal. 
Tal como lo muestra el informe Metricool, se destaca que en el periodo reportado no se han presentado picos de visitas que saturen el servidor, razón por la cual la plataforma ha funcionado correctamente y no se ha necesitado ninguna acción extraordinaria de control. 
</t>
  </si>
  <si>
    <t xml:space="preserve">
Informe_Monitoreo_TraficoWeb_primer_Cuatrimestre.pdf
</t>
  </si>
  <si>
    <t>No hubo materialización del riesgo  en el periodo evaluado</t>
  </si>
  <si>
    <t xml:space="preserve">De acuerdo con los soportes aportados, se evidencia el cumplimiento del control. </t>
  </si>
  <si>
    <t xml:space="preserve">De acuerdo con los soportes aportados, se evidencia la ejecución de la acción de mitigación. </t>
  </si>
  <si>
    <t>Se evidencia la ejecución del control con una muestra de archivos comprimidos.
La acción de mitigación se ha venido ejecutando, para lo cual se evidencia el informe de monitoreo de tráfico Web.</t>
  </si>
  <si>
    <t>Realizar la provisión adicional de los recursos del servicio de la página web en los eventos que se tenga comtemplados una alta demanda de consulta de la página web</t>
  </si>
  <si>
    <t xml:space="preserve">3 Reportes del monitoreo de los recursos consumidos por el servicio de la paginá web. </t>
  </si>
  <si>
    <t xml:space="preserve">1 Reporte del monitoreo de los recursos consumidos por el servicio de la paginá web. </t>
  </si>
  <si>
    <t>1 Reporte_recursos_web_Monitoreo_SanJuan.pdf</t>
  </si>
  <si>
    <t>Teniendo en cuenta el lanzamiento del sitio web del Hospital San Juan de Dios, se realizó el envío de un correo electrónico a la ETB con el fin de realizar el monitoreo correspondiente al servidor IRIS donde se encuentra alojada la Pagina Web Institucional, el lanzamiento del sitio https://idpc.gov.co/sanjuandedios  y monitoreo del mismo se realizó  el día Miércoles 19 de abril. Una vez realizo el lanzamiento la página web del instituto no presentó ninguna caída de servicio ni intermitencia.</t>
  </si>
  <si>
    <t xml:space="preserve">Correo electrónico enviado a la ETB.pef
Correo electrónico de monitoreo de ETB.pdf
Reporte_recursos_web_Monitoreo_SanJuan.pdf
</t>
  </si>
  <si>
    <t>Se observa el avance en la ejecución de la acción de mitigación con el reporte de recursos Web consumidos.</t>
  </si>
  <si>
    <t>Establecer un modelo de capacidad que contemple los recursos que se requiren para atender los eventos de comunicación masiva de la entidad.</t>
  </si>
  <si>
    <t>1 Modelo de funcionamiento del servicio de la pagina web, para eventos de comunicacion masiva.</t>
  </si>
  <si>
    <t xml:space="preserve">Proceso de Sistemas de Información y Tecnología y Comunicación Estratégica </t>
  </si>
  <si>
    <t>La acción de mitigación inicia en el mes de mayo</t>
  </si>
  <si>
    <t>No aplica para el periodo</t>
  </si>
  <si>
    <t>La acción de mitigación no se encuentra programada para el período evaluado.</t>
  </si>
  <si>
    <t>Realizar un seguimiento semestral del servicio de forma conjunta con el proveedor del hosting virtual, determinará la línea base del servicio y las desviaciones de demanda durante los eventos de divulgación masiva de la entidad.</t>
  </si>
  <si>
    <t>3 Informes de seguimiento, análisis y estudio de la capacidad del servicio.</t>
  </si>
  <si>
    <t>1 Informe de seguimiento, análisis y estudio de la capacidad del servicio.</t>
  </si>
  <si>
    <t xml:space="preserve">Teniendo en cuenta el comportamiento normal de la página web en este periodo, en el cual solo se realizó el lanzamiento de la página "En el corazón del San Juan", se realizó el seguimiento, análisis y estudio del servicio para el día de este evento. </t>
  </si>
  <si>
    <t>Reporte_recursos_web_Monitoreo_SanJuan.pdf</t>
  </si>
  <si>
    <t>El equipo técnico de Transparencia y Acceso a la Información Pública revisa de manera cuatrimestral el avance a la aplicación de los criterios de accesibilidad y usabilidad establecidos por MINTIC</t>
  </si>
  <si>
    <t>Listado de verificación del cumplimiento de los criterios de accesibilidad y usabilidad establecidos por MINTIC</t>
  </si>
  <si>
    <t>Equipo Técnico de Transparencia</t>
  </si>
  <si>
    <t>Realizar reuniones del Equipo Técnico de Transparencia y Acceso a la Información Pública para hacer la articulación correspondiente para el cumplimiento de los criterios de Accesibilidad y Usabilidad de los Anexos de la Resolución 1519 de 2020.</t>
  </si>
  <si>
    <t>3 Actas de reunión del  Equipo Técnico de Transparencia y Acceso a la Información Pública</t>
  </si>
  <si>
    <t>Equipo Técnico de Transparencia y Acceso a la Información Pública</t>
  </si>
  <si>
    <t>Revisar los criterios de accesibilidad y usabilidad incumplidos y establecer un plan de trabajo para subsanar las desviaciones encontradas</t>
  </si>
  <si>
    <t>* Recursos tecnológicos requeridos para dar cumplimiento a los criterios
* Equipo técnico de Transparencia y Acceso a la Información Pública</t>
  </si>
  <si>
    <t>* Equipo técnico de Transparencia y Acceso a la Información Pública</t>
  </si>
  <si>
    <t>Generar el plan de trabajo o plan de mejoramiento correspondiente</t>
  </si>
  <si>
    <t>Realizar el seguimiento periodico al cumplimiento de los criterios de accesibilidad y usabilidad</t>
  </si>
  <si>
    <t xml:space="preserve">
*Plan de mejoramiento
* Un documento con el seguimiento de la aplicación de los criterios de accesibilidad, plan de trabajo que incluya el seguimiento correspondiente</t>
  </si>
  <si>
    <t xml:space="preserve">En este primer cuatrimestre se continúa avanzando en las actividades del plan de trabajo de transparencia para subsanar las desviaciones encontradas en el 2022. Así mismo se continua con el seguimiento al cumplimiento de los lineamientos de accesibilidad y usabilidad. </t>
  </si>
  <si>
    <t xml:space="preserve">
PLAN DE TRABAJO TRANSPARENCIA - En el que se verifica el cumplimiento de los lineamientos</t>
  </si>
  <si>
    <t>1 Acta de reunión del  Equipo Técnico de Transparencia y Acceso a la Información Pública</t>
  </si>
  <si>
    <t>En el marco del seguimiento de la Política de Transparencia y del cumplimiento de las actividades del Plan de Trabajo del Equipo de Transparencia, se convocó a reunión el jueves 20 de abril para revisar los avances del Plan de trabajo y reporte del Plan de Mejoramiento, así como realizar el seguimiento a la actualización del Esquema de Publicación y planear la unificación de la información de trámites y servicios en el sitio web.</t>
  </si>
  <si>
    <r>
      <rPr>
        <sz val="11"/>
        <color rgb="FF000000"/>
        <rFont val="Arial Narrow"/>
        <family val="2"/>
      </rPr>
      <t xml:space="preserve">Acta de reunión del  Equipo Técnico de Transparencia y Acceso a la Información Pública: 
</t>
    </r>
    <r>
      <rPr>
        <sz val="11"/>
        <color rgb="FF000000"/>
        <rFont val="Arial Narrow"/>
        <family val="2"/>
      </rPr>
      <t>20230420 Acta reunión EquipoTransparencia.pdf</t>
    </r>
  </si>
  <si>
    <t>Teniendo en cuenta la materializacón del riesgo, se formuló un plan de mejoramiento y un plan de trabajo para el cumplimiento de la Ley de Transparencia. Se adjunta el Plan de Trabajo de Transparencia y el Plan de Mejoramiento de transparencia con sus respectivos seguimientos para el primer cuatrimestre de la vigencia 2023</t>
  </si>
  <si>
    <t>Se evidencia la ejecución del control con una revisión del listado de cumplimiento de requisitos.
La acción de mitigación se ha venido ejecutando, para lo cual se evidencia el acta de reunión del equipo de transparencia.</t>
  </si>
  <si>
    <t>Formular el documento con los lineamientos para la creación de documentos de texto accesibles.</t>
  </si>
  <si>
    <t>1 documento con los lineamientos para la creación de documentos de texto accesibles y usables.</t>
  </si>
  <si>
    <t>Esta acción de mitigación tuvo cumplimiento en tercer cuatrimestre de la vigencia 2022</t>
  </si>
  <si>
    <t>No aplica</t>
  </si>
  <si>
    <t>La acción fue ejeuctda en el cuatrimestre anterior.</t>
  </si>
  <si>
    <t>Acción finalizada</t>
  </si>
  <si>
    <t>La acción de mitigación no se encuentra programada para el período evaluado. Fue cumplida en la vigencia anterior.</t>
  </si>
  <si>
    <t>Acción ejecutada</t>
  </si>
  <si>
    <t>Verificar previo a su publicación que los documentos cumplan con los criterios de accesibilidad de acuerdo con los lineamientos internos.</t>
  </si>
  <si>
    <t>2 Reportes de seguimiento con la relación de los documentos publicados en la Página web que cumplen con los criterios de accesibilidad.</t>
  </si>
  <si>
    <t>Los o las profesionales designados de publicar en la página web de los procesos de Atención a la Ciudadanía y Comunicaciones</t>
  </si>
  <si>
    <t>1 Reporte de seguimiento con la relación de los documentos publicados en la Página web que cumplen con los criterios de accesibilidad.</t>
  </si>
  <si>
    <t xml:space="preserve">Se realiza la revisión de los documentos antes de ser publicados a la página web para garantizar que los estos cumplan con los lineamientos de accesibilidad y usabilidad. En los casos en los que los documentos no cumplan con los lineamientos, se solicita al equipo responsable la corrección del archivo. </t>
  </si>
  <si>
    <t xml:space="preserve">1. Reporte de seguimiento con la relación de los documentos publicados en la Página web que cumplen con los criterios de accesibilidad
2. Pantallazos solicitud ajustes a documentos
</t>
  </si>
  <si>
    <t>Se observa el avance en la ejecución de la acción de mitigación con el reporte de solicitudes de publicación en página Web y muestra de los requerimientos realizados para dar cumplimiento a los criterios de accesibilidad.</t>
  </si>
  <si>
    <t>Realizar seguimiento a la ejecucion del plan de trabajo</t>
  </si>
  <si>
    <t>2 Reporte de seguimiento al plan de trabajo</t>
  </si>
  <si>
    <t>Equipo de Transparencia y Acceso a la Información Pública</t>
  </si>
  <si>
    <t>1 Reporte de seguimiento al plan de trabajo</t>
  </si>
  <si>
    <t>1 Plan de trabajo transparencia seguimiento corte 28 de abril de 2023:</t>
  </si>
  <si>
    <t xml:space="preserve">En este primer cuatrimestre se continúa avanzando en las actividades del plan de trabajo de transparencia para subsanar las desviaciones encontradas en el 2022. </t>
  </si>
  <si>
    <t>Plan de trabajo transparencia seguimiento corte 28 de abril de 2023: 
PLAN DE TRABAJO TRANSPARENCIA-reporte 28_04_2023</t>
  </si>
  <si>
    <t>Se observa el avance en la ejecución de la acción de mitigación con el plan de trabajo de transparencia que cuenta con seguimiento.</t>
  </si>
  <si>
    <t>Ejecucion y Administracion de procesos</t>
  </si>
  <si>
    <t>Guardar los expedientes procesales en un mueble exclusivo para este propósito y que cuente con llave.</t>
  </si>
  <si>
    <t>Fotografía del mueble de uso exclusivo para los expedientes.</t>
  </si>
  <si>
    <t>Diaria</t>
  </si>
  <si>
    <t>Jefe Oficina Control Interno Disciplinario</t>
  </si>
  <si>
    <t xml:space="preserve">Elaborar Informe trimestral de gestión, del proceso de control Disciplinario Interno. </t>
  </si>
  <si>
    <t>Informe trimestral</t>
  </si>
  <si>
    <t xml:space="preserve">Profesional del área </t>
  </si>
  <si>
    <t xml:space="preserve">Se tomo fotografia del mueble donde se guardan los expedientes el cual cuenta con llave </t>
  </si>
  <si>
    <t xml:space="preserve">Fotografia del mueble </t>
  </si>
  <si>
    <t xml:space="preserve">Para el primer cuatrimestre se realizo el informe ejecutivo de gestión donde se reporto los procesos activos, los procesos tramitados y terminados. </t>
  </si>
  <si>
    <t>Adjunto el Informe ejecutivo de Gestión correspondente al primer trimestre de 2023</t>
  </si>
  <si>
    <t>El proceso aporta la fotogorafía del mueble de archivo de los expedientes con la llave respectiva</t>
  </si>
  <si>
    <t>Se presenta el informe trimestral de la gestión realizada por parte de la Oficina de Control Disciplinario Interno, junto con sus respectivas evidencias</t>
  </si>
  <si>
    <t>Se evidencia la ejecución del control con una fotografía del mueble dónde se almacenan los expedientes. Sin embargo, es importante revisar que este realmente eliminen las causas que pueden generar la materialización del riesgo.
La acción de mitigación se ha venido ejecutando, para lo cual se evidencia informe de gestión correspondiente al primer trimestre. Sin embargo, es importante revisar que esta acción realmente eliminen las causas que pueden generar la materialización del riesgo.</t>
  </si>
  <si>
    <t xml:space="preserve">Seguimiento mensual al reporte de avance de cumplimiento de metas proyectos de inversión </t>
  </si>
  <si>
    <t>Correo de revisión al  reporte de monitoreo al avance de metas</t>
  </si>
  <si>
    <t>Profesional designado OAP</t>
  </si>
  <si>
    <t>Se realiza seguimiento al reporte de avance de cumplimiento de los planes operativos de acción de los procesos , que contienen el seguimiento a las metas proyectos de inversión, correspondiente a los periodos de enero, febrero y marzo de 2023.</t>
  </si>
  <si>
    <t>Correos electrónicos de respuesta al monitoreo a los POA enviado por las depedencias.
Archivo Excel con el monitoreo y seguimiento efectuado a los POA.
Radicados de monitoreo al POA de las depedencias.</t>
  </si>
  <si>
    <t>Se evidencian los registros relacionados con los correos de validación de los POA relacionados con los proyectos de inversión así como el seguimiento consolidado para el periodo de enero a marzo</t>
  </si>
  <si>
    <t>Se evidencia la ejecución del control con los correos de revisión de los POA de los meses de enero a marzo de 2023.</t>
  </si>
  <si>
    <t xml:space="preserve">Monitoreo y reporte  de avance de cumplimiento de metas proyectos de inversión mensual y trimestral </t>
  </si>
  <si>
    <t xml:space="preserve">Registro de reporte trimestral en SEGPLAN 
Registro de reporte mensual para PMR </t>
  </si>
  <si>
    <t>Presentar del estado de avance de metas de proyectos de inversión a los integrantes Comité Institucional de Gestión y Desempeño en una de las sesiones del año</t>
  </si>
  <si>
    <t>Acta de Comité Institucional de Gestón y Desempeño</t>
  </si>
  <si>
    <t>Jefe Oficina Asesora de Planeación</t>
  </si>
  <si>
    <t>Se realiza reporte de los indicadores PMR correspondientes al periodo de febrero, marzo, que incluye el reporte de territorialización, así como el reporte de ejecución de trazadores presupuestales.
Por otra parte, se realiza reporte del cumplimiento de avance de las metas producto y proyecto, que contiene el reporte de territorialización y de actividades (SEGPLAN), correspondiente al primer trimestre de 2023.</t>
  </si>
  <si>
    <t xml:space="preserve">Reporte de indicadores PMR y el reporte de ejecución de trazadores presupuestales
Registro de reporte trimestral en SEGPLAN 
</t>
  </si>
  <si>
    <t>Se evidencian los reportes realizado a SEGPLAN y PMR con la periodicidad establecida</t>
  </si>
  <si>
    <t>De acuerdo con la programación de la acción de mitigación ésta aún no inicia su ejecución</t>
  </si>
  <si>
    <t>Se evidencia la ejecución del control con los reportes PMR de los meses de enero a marzo de 2023, así como, el reporte SEGPLAN del primer trimestre de la vigencia.
Frente a la acción de mitigación, esta no se encuentra programada para el período evaluado.</t>
  </si>
  <si>
    <t xml:space="preserve">Revisión de los parámetros jurídicos y presupuestales de cada necesidad registrada en el PAA por parte de OAJ y OAP </t>
  </si>
  <si>
    <t>Correos de revisión PAA</t>
  </si>
  <si>
    <t>OAP</t>
  </si>
  <si>
    <t>Sensibilización al personal sobre la importancia del PAA</t>
  </si>
  <si>
    <t>Listas de asistencia</t>
  </si>
  <si>
    <t>Oficina Asesora de Planeación
Oficina Jurídica</t>
  </si>
  <si>
    <t>Se realiza la revisión de la formulación y ajustes del Plan Anual de Adquisiciones en el comité de contratación para las 11 versiones del PAA que han sido publicadas en SECOP.</t>
  </si>
  <si>
    <t>Se adjuntan los correos en donde se informa la aprobación en el comité de contratación de las 11 versiones del PAA.</t>
  </si>
  <si>
    <t>Se evidencian los correos de comunicación relacionados con el PAA</t>
  </si>
  <si>
    <t>Se evidencia la ejecución del control con los correos de la modificaciones aprobadas al Plan Anual de Adquisiciones enviados por la Oficina Asesora de Planeación, sin embargo, la evidencia del control hace mención a correos de revisión del PAA.
Frente a la acción de mitigación, esta no se encuentra programada para el período evaluado.</t>
  </si>
  <si>
    <t xml:space="preserve">Aprobación del PAA inicial y sus modificaciones por parte del comité de contratación </t>
  </si>
  <si>
    <t>Correos electrónicos informando la aprobación inicial del PAA o de sus modificaciones</t>
  </si>
  <si>
    <t>Cada vez que se lleve a cabo una modificación del PAA</t>
  </si>
  <si>
    <t>Oficina Jurídica</t>
  </si>
  <si>
    <t xml:space="preserve">Se realizaron 10 Aprobaciones  y modificaciones del PAA por parte del comité de contratación 
</t>
  </si>
  <si>
    <t xml:space="preserve">Correos electrónicos informando la aprobación inicial del PAA y sus respectivas modificaciones
</t>
  </si>
  <si>
    <t>Se adjuntan los correos electrónicos en donde se informa a los directivos las modificaciones al PAA previa aprobación del Comité de Contratación</t>
  </si>
  <si>
    <t>Se evidencia la ejecución del control con los correos de la modificaciones aprobadas al Plan Anual de Adquisiciones enviados por la Oficina Asesora de Planeación, sin embargo, la evidencia es la misma del control anterior, por lo cual no es clara la diferencia.</t>
  </si>
  <si>
    <t>Revisión de las solicitudes de viabilidad presupuestal para verificar la coherencia entre el objeto contractual, los recursos estimados en el Plan Anual de Adquisiciones-PAA, y la clasificación de la inversión definida en el Plan Operativo Anual de Inversión, con el fin de validar la información.</t>
  </si>
  <si>
    <t>Reporte de viabilidades generadas en el periodo</t>
  </si>
  <si>
    <t>Se viabilizan los procesos cuya erogación corresponde a recursos de los proyectos de inversión del IDPC en donde se revisa la coherencia del objeto y las obligaciones con la cadena presupuestal (proyecto, meta, componente, producto mga, elemento PEP, posición presupuestaria y fondo).</t>
  </si>
  <si>
    <t>Reporte de viabilidad</t>
  </si>
  <si>
    <t>El proceso adjunta el Reporte de Viabilidades generadas en el periodo</t>
  </si>
  <si>
    <t>Se evidencia la ejecución del control con la relación de las viabilidades realizadas durante el período evaluado.</t>
  </si>
  <si>
    <t>Realizar ejercicios de capacitación y sensibilización a los servidores y/o contratistas del IDPC sobre la imprortancia de la participación ciudadana y sobre metodologías para garantizar una participación efectiva e incidente en los procesos</t>
  </si>
  <si>
    <t>Soportes de las capacitaciones que se realicen durante la vigencia</t>
  </si>
  <si>
    <t>De acuerdo con la programación</t>
  </si>
  <si>
    <t>Profesional Participación Ciudadana</t>
  </si>
  <si>
    <t>Durante el primer cuatrimestre se concerto un proceso de sensibilizacion en participación ciudadana materializado en dos capacitaciones durante el año, que estará incorporado en el plan de capacitacion anual del IDPC. Se encuentran programadas para el mes de mayo y junio.
Los nombres de las capacitaciones lideradas por el equipo de participación son:
1. Incidencia de la participación ciudadana en IDPC
2. Intercambio de experiencia significativas en clave de participación ciudadana en el IDPC</t>
  </si>
  <si>
    <t>Correo Incorporacion Plan de capacitaciones _Ajustes finales cronograma PIC</t>
  </si>
  <si>
    <t>El proceso aporta los correos electrónico dirigidos a Talento Humano con el fin de incluir dentro del Plan Institucional de Capacitación la programación de las sensibilizaciones</t>
  </si>
  <si>
    <t>Se evidencia la ejecución del control con correo de programación de capacitaciones.</t>
  </si>
  <si>
    <t>Identificación de grupos de valor, sectores sociales y ciudadanía a convocar en los espacios de participación del IDPC, en función de dar herramientas de control y mitigación del riesgo en clave de convocatoria</t>
  </si>
  <si>
    <t>Actualización de la Base de Datos Única del IDPC y actualización del documento de Caracterización de ciudadanía, actores, personas usuarias, grupos de interés y sus ámbitos de interacción</t>
  </si>
  <si>
    <t>Realiza monitoreo y verificación de evidencias de las actividades trimestralmente PIPC</t>
  </si>
  <si>
    <t xml:space="preserve">Correo de solicitud de información 
Reporte de seguimiento al plan </t>
  </si>
  <si>
    <t xml:space="preserve">Líder del proceso </t>
  </si>
  <si>
    <t>Durante el periodo se realizó la revisión de la Base de Datos Única del IDPC y se determinó que la misma no requiere actualización, por lo cual se reportan en las evidencias los instrumentos vigentes.
En relación con la actualización del documento de Caracterización de ciudadanía, actores, personas usuarias, grupos de interés y sus ámbitos de interacción durante este cuatrimestre no se realiza actualización del mismo.</t>
  </si>
  <si>
    <t>BASE DE DATOS UNICA 09.12.2022
Documento Caracterización de la ciudadanía, actores, personas usuarias, grupos de interés y sus ámbitos de interacción</t>
  </si>
  <si>
    <t xml:space="preserve">Durante el primer trimestre se realiza la verfiicacion de evidencias y consolidacion del reporte PIPC se solicita por correo electronico el reporte al seguimiento de los meses enero, febrero, marzo y abril. </t>
  </si>
  <si>
    <t>Correo de Bogotá es TIC - Reporte I Trimestre 2023 _ Plan Institucional de Participación Ciudadana-PIPC
 Plan_Institucional_de_Participacion_Ciudadana_2023 (5)</t>
  </si>
  <si>
    <t>El proceso refiere que a la fecha no se ha realizado actualización de la Base de Datos ni de la caracterización, por lo tanto se mantienen los instrumentos vigentes</t>
  </si>
  <si>
    <t>El proceso presenta el reporte de seguimiento y avance al Plan Institucional de Participación Ciudadana para el periodo</t>
  </si>
  <si>
    <t>De acuerdo con el monitoreo del proceso, durante el periodo se realizó la revisión de la Base de Datos Única del IDPC y se determinó que la misma no requiere actualización.
En cuanto a la acción de mitigación, se evidencia el reporte de monitoreo del PIPC.</t>
  </si>
  <si>
    <t>Seguimiento a los contratos relacionados con el montaje de las exposiciones.</t>
  </si>
  <si>
    <t>Cuadros o archivos de seguimiento a los recursos y avance de los procesos de contratación relacionados con el diseño, producción museográfica, adecuación y montaje de las exposiciones del Museo de Bogotá y  Museo de la Ciudad Autoconstruída.</t>
  </si>
  <si>
    <t>De acuerdo con la periodicidad de los contratos</t>
  </si>
  <si>
    <t>Gerente Museo de Bogotá</t>
  </si>
  <si>
    <t xml:space="preserve">Reuniones de seguimiento  con los actores necesarios según el caso (Divulgación, jurídica) para dar cumplimiento a los procesos de contratación de manera oportuna de las personas y proveedores encargados de los montajes, producción museográfica, adecuación y diseño de las exposiciones </t>
  </si>
  <si>
    <t xml:space="preserve">Listas de asistencia, actas o memorias de reuniones de seguimiento con los actores (correos, documentos compartidos drive)
</t>
  </si>
  <si>
    <t>Gerencia del Museo</t>
  </si>
  <si>
    <t xml:space="preserve">Se realizó seguimiento a los recursos y procesos de contratación de los perfiles enfocados en producción, montaje del Museo de Bogotá y Museo de la Ciudad Autoconstruida.
</t>
  </si>
  <si>
    <t>Cuadro de seguimiento a los recursos y avance de los procesos relacionados con montajes, desmontajes y producción museográfica del Museo de Bogotá y Museo de la Ciudad Autoconstruida</t>
  </si>
  <si>
    <t>1 Cuadro de seguimiento</t>
  </si>
  <si>
    <t>1 Cuadro de seguimiento
2 Actas de seguimiento a contrato 468-2022.</t>
  </si>
  <si>
    <t xml:space="preserve">Se realizó sesión con la Subdirectora de Divulgación, el abogado, el área de museografía y la Gerencia del Museo de Bogotá, el 24 de marzo para revisar el anexo técnico del proceso de producción museográfica (cód 150) y definir los items para poder generar el evento de cotización en Secop II y avanzar en la estructuración del proceso.
</t>
  </si>
  <si>
    <t xml:space="preserve">1, Acta reunión revisión museografía. 
</t>
  </si>
  <si>
    <t xml:space="preserve">Se obsserva ejecución de la actividad </t>
  </si>
  <si>
    <t>Se evidencia la ejecución del control con el cuadro de seguimiento a la contratación.
Frente a la acción de mitigación, se evidencia acta de reunión seguimiento proceso producción de Museografía.</t>
  </si>
  <si>
    <t>Formulación y seguimiento al plan de trabajo y acciones asociadas para llevar a cabo las exposiciones planeadas  tanto presenciales como virtuales</t>
  </si>
  <si>
    <t>Cronogramas de trabajo, archivos de seguimiento y avance en los procesos de las exposiciones del Museo de Bogotá y Museo de la Ciudad Autoconstruida, según corresponda</t>
  </si>
  <si>
    <t>Según programación</t>
  </si>
  <si>
    <t>Reuniones de seguimiento mensual al Cronograma de Exposiciones presenciales y/o virtuales, del Museo de Bogotá y Museo de la Ciudad Autoconstruida para determinar posibles alertas de incumplimiento</t>
  </si>
  <si>
    <t xml:space="preserve">Actas de reuniones o memorias de sesiones del equipo de Museografía y los contratistas y/o proveedores vinculados, para determinar avances y acciones que permitan cumplir con los cronogramas establecidos por el Museo. </t>
  </si>
  <si>
    <t>Gerencia del Museo (Lider proceso Museografía)</t>
  </si>
  <si>
    <t xml:space="preserve">Se definieron los cronogramas de trabajo y programación de exposiciones del Museo de Bogotá y Museo de la Ciudad Autoconstruida, según las solicitudes de la Gerencia y áreas de curaduría.
Se hizo seguimiento a los arreglos pendientes de las salas de exposiciones. Las actividades se referencian en la matriz.de recorridos de las salas.
</t>
  </si>
  <si>
    <t xml:space="preserve">1. Matriz de actividades y recorridos de museografía y seguimiento.
2. Cronogramas exposiciones 
</t>
  </si>
  <si>
    <t xml:space="preserve">3 Actas de reuniones o memorias de sesiones del equipo de Museografía y los contratistas y/o proveedores vinculados, para determinar avances y acciones que permitan cumplir con los cronogramas establecidos por el Museo. </t>
  </si>
  <si>
    <t>1. Informe de las sedes del Museo de Bogotá. 
2. Actas de seguimiento contrato MTA 
3. Registros de asistencia de reuniones de Museografía</t>
  </si>
  <si>
    <t>1. Se realizó reunión (visita técnica a las tres sedes del Museo de Bogotá) para verificar el estado de las exposiciones y estado de las salas permanentes (Casa Siete Balcones) y temporales (Casa Sámano - Museo de la Ciudad Autoconstruida). Se deja como memoria, el documento "Informe", que condensa los hallazgos y el posible responsable de solucionarlo.
2. Se realizaron sesiones de seguimiento a la ejecución del Contrato 468-2022: Múltiples Tecnologías Aplicadas de Colombia SAS - MTA, para determinar avances y posibles incumplimientos, pues el proceso está directamente relacionado con la iluminación en las salas de exposición. 3. Se realizaron las reuniones internas del área de museografía, en las que se realizó seguimiento al cronograma de las exposiciones, para determinar posibles alertas de incumplimiento.</t>
  </si>
  <si>
    <t xml:space="preserve">1. Informe de las sedes del Museo de Bogotá.
2. Actas de seguimiento contrato MTA
3. Registros de asistencia de reuniones de Museografía
</t>
  </si>
  <si>
    <t>Se evidencia la ejecución del control con los cronogramas de montaje, así como, recorridos de museografía.
Frente a la acción de mitigación, se evidencia actas de reunión y listas de asistencia a seguimiento a ejecución contrato 468 de 2023.</t>
  </si>
  <si>
    <t>Registro de ubicación final de almacenamiento de información digital que incluya, nuevos ingresos, cuotas de almacenamiento por área, distribución de localización, disponibilidad por usuario y listado de tareas mensuales de administración de la información por parte de las áreas de trabajo del Museo de Bogotá.</t>
  </si>
  <si>
    <t>Archivo de registro de ubicación de almacenamiento de la información digital del Museo de Bogotá</t>
  </si>
  <si>
    <t>Realizar sesión cuatrimestral con áreas de trabajo en donde se informe sobre el estado de ubicación del almacenamiento de información digital del Museo de Bogotá.</t>
  </si>
  <si>
    <t>Acta de socialización que
incluya compromisos
relacionados con el
estado de ubicación del
almacenamiento de
información digital del
Museo de Bogotá.</t>
  </si>
  <si>
    <t>Se realizó el registro del primer cuatrimestre de la ubicación final de almacenamiento de información digital: Reportando un total de 20.995 GB de información digital del MDB. Un crecimiento en el almacenamiento final de 1.529 GB de información digital para el cuatrimestre. 
Asimismo se diligenció durante el primer cuatrimestre la información de nuevos ingresos, cuotas de almacenamiento por área, distribución de localización, disponibilidad por usuario y listado de tareas mensuales de administración de la información por parte de las áreas de trabajo del Museo de Bogotá.</t>
  </si>
  <si>
    <t>Archivo digital con el registro de ubicación de almacenamiento de la información digital del Museo de Bogotá para el primer cuatrimestre de 2023</t>
  </si>
  <si>
    <t>1 Acta de socialización con compromisos relacionados con el estado de ubicación del almacenamiento de información digital del Museo de Bogotá.</t>
  </si>
  <si>
    <t>Se realizó sesión cuatrimestral con equipos de trabajo del Museo de Bogotá sobre el estado  de ubicación del almacenamiento de información digital del Museo de Bogotá en la que se desarrollaron los puntos de hallazgos sobre la información digital, recomendaciones y compromisos para el siguiente cuatrimestre.</t>
  </si>
  <si>
    <t xml:space="preserve">Acta de sesión de socialización de compromisos relacionados con el estado de la ubicación del almacenamiento de la información digital con equipos del Museo de Bogotá. Abril 25 de 2023. Incluye anexo de lista de asistencia digital. </t>
  </si>
  <si>
    <t>Se evidencia la ejecución del control con relación de archivo digital.
Frente a la acción de mitigación, se evidencia acta de socialización de ubicación de archivo digital.</t>
  </si>
  <si>
    <t xml:space="preserve">     El riesgo afecta la imagen de alguna área de la organización</t>
  </si>
  <si>
    <t>Realizar comités editoriales para el seguimiento al plan de publicaciones de la vigencia</t>
  </si>
  <si>
    <t>Actas de comité
Plan de publicaciones</t>
  </si>
  <si>
    <t>De acuerdo con la periodicidad de las publicaciones</t>
  </si>
  <si>
    <t>Profesional responsble equipo de Publicaciones</t>
  </si>
  <si>
    <t>Realizar seguimiento al cronograma para el desarrollo de las publicaciones programadas y sus respectivas alertas si aplican</t>
  </si>
  <si>
    <t>Actas de seguimiento al cronograma para el desarrollo de los procesos editoriales por parte del equipo de Publicaciones</t>
  </si>
  <si>
    <t>Líder del proceso de publicaciones</t>
  </si>
  <si>
    <t>Se llevaron a cabo los siguientes comités editoriales y se suscribieron las actas de estos encuentros: -Comité editorial del 23 de febrero en el que se presentó el estado de estructura y avance de los proyectos editoriales que harán parte del plan de publicaciones 2023. En esta Acta quedó consignado en la parte de compromisos y acuerdos, el plan de publicaciones 2023. -Comité editorial del 3 de marzo en el que se presentaron y aprobaron los formatos de los libros que hacen parte del Plan de publicaciones 2023, se definieron los precios de venta al público de los títulos para distribución digital y se presentó la pauta y artes finales de dos libros.</t>
  </si>
  <si>
    <t>Acta comité editorial del 23 de febrero de 2023 y Acta del comité editorial del 3 de marzo de 2023. Presentación de power point de Formatos de libros y PVP digital de las publicaciones para el comité editorial</t>
  </si>
  <si>
    <t>2 Actas de seguimiento al cronograma para el desarrollo de los procesos editoriales por parte del equipo de Publicaciones</t>
  </si>
  <si>
    <t>Se llevaron a cabo las siguientes reuniones del equipo de publicaciones, con el fin de hacer seguimiento al cronograma y proceso editorial de las publicaciones a realizar en 2023: -9 de febrero de 2023: en esta reunión se presentó el cronograma de trabajo del año y se prepararon los temas a presentar en el comité editorial del 23 de febrero. -1 de marzo: seguimiento al cronograma de publicaciones, organización de los formatos de las publicaciones del plan de publicaciones 2023 y revisión del estudio de mercado para definir los precios de venta digital para la distribución de los libros del Sello editorial en este formato.</t>
  </si>
  <si>
    <t>Acta de las reuniones del equipo de publicaciones con feche de 9 de febrero y del 1 de marzo de 2023. A su vez, Cronograma del equipo de publicaciones y presentación de Power point de formatos de PVP digital para el comité editorial del 3 de marzo</t>
  </si>
  <si>
    <t>Se evidencia la ejecución del control con actas del comité editorial.
Frente a la acción de mitigación, se evidencia actas de reunión del equipo de publicaciones en la cual se realizan diferentes actividades, sin embargo, se recomienda que en estas se deje más específico el seguimiento al cumplimiento del cronograma de publicaciones, ya que este es el fin de la acción de mitigación.</t>
  </si>
  <si>
    <t>Registro de la planilla de préstamo de material del centro de documentación debidamente diligenciada indicando el estado del material al momento de entrega y devolución del mismo</t>
  </si>
  <si>
    <t>Planillas de préstamo de material del Centro de Documentación debidamente diligenciadas</t>
  </si>
  <si>
    <t>Contratista a cargo del Centro de Documentación</t>
  </si>
  <si>
    <t>Realizar el inventario físico de las colecciones del Centro de Documentación para identificar qué material debe encontrarse registrado dentro de los activos del proceso de Administración de Bienes</t>
  </si>
  <si>
    <t xml:space="preserve"> 1 Plan de trabajo
1 Inventario actualizado</t>
  </si>
  <si>
    <t xml:space="preserve">Profesionales Universitarios Sudirección de Divulgación y Subdirección de Gestión Corporativa - Almacen
Contratista a cargo del Centro de Documentación
Auxiliar Administrativo Subdirección de Gestión Corporativa - Almacen </t>
  </si>
  <si>
    <t>Frente al control del riesgo se realizo el registro de la planilla de préstamo de material del centro de documentación debidamente diligenciada indicando el estado del material al momento de entrega y devolución del mismo</t>
  </si>
  <si>
    <t>Durante el mes de abril se adelantaron las acciones concernientes a la actualización del inventario de catalogación del Centro de Documentación con el propósito de generar un primer insumo para llevar a cabo la acción de mitigación acordada</t>
  </si>
  <si>
    <t>Inventario actualizado de catalogación del Centro de Documentación</t>
  </si>
  <si>
    <t>El proceso aporta la planilla de préstamos de la documentación correspondiente a los meses de marzo y abril diligenciada</t>
  </si>
  <si>
    <t>El proceso refiere el inicio de actividades con el fin de dar cumplimiento a la acción de mitigación la cual está programada desde el mes de abril hasta octubre</t>
  </si>
  <si>
    <t>Para la ejecución del control, se evidencia planilla de préstamos de los meses de marzo y abril, sin embargo, en el monitoreo no se hace mención a los meses de enero y febrero de 2023.
En cuanto a la acción de mitigación, se evidencia el Inventario General de Documentación Catalogada</t>
  </si>
  <si>
    <t>Realizar reuniones de seguimiento con los equipos
técnicos para verificar el funcionamiento de la plataforma tecnológica externa</t>
  </si>
  <si>
    <t>Actas de reuniones de seguimiento al funcionamiento de la plataforma</t>
  </si>
  <si>
    <t>Líder proceso de Formación a formadores</t>
  </si>
  <si>
    <t>Se llevó a cabo una reunión entre la coordinadora del programa de Formación del IDPC, la profesional que acompaña el Diplomado en Patrimonio Cultural para la Educación (DPCE) del programa, y el profesional encargado de la plataforma virtual FORMA de la SCRD (en la que se encuentran alojados los contenidos del DPCE), con el fin de verificar el funcionamiento de FORMA y hacer revisión al manejo que para 2023 se daría al riesgo asociado con fallas tecnológicas en plataformas externas (y como consecuencia, al incumplimiento del cronograma de la oferta formativa), que fue identificado desde gestión del riesgo del IDPC en el 2022.</t>
  </si>
  <si>
    <t>Actas de reunión de seguimiento al funcionamiento de la plataforma, realizada el 15 de marzo de 2023.</t>
  </si>
  <si>
    <t>No se tienen programadas acciones de mitigación.</t>
  </si>
  <si>
    <t>Para la ejecución del control, se evidencia acta de seguimiento plataforma FORMA.</t>
  </si>
  <si>
    <t xml:space="preserve">     Entre 50 y 100 SMLMV </t>
  </si>
  <si>
    <t xml:space="preserve">El jefe(a)/subdirector(a) de la dependencia responsable de la necesidad de contratación establece y aplica el flujo de aprobación del estudio previo (proyecto y/o revisó y en todo caso aprobó), que garantiza que revisón y aprobó la estructuración de los estudios en observancia de la normativa vigente y los procedimientos internos.
</t>
  </si>
  <si>
    <t>Muestra de los estudios previos publicados en donde se evidencie el flujo de aprobación</t>
  </si>
  <si>
    <t>El profesional designado de la Oficina Jurídica</t>
  </si>
  <si>
    <t>De acuerdo con las observaciones producto de las revisiones, realizar un documento que contenga los lineamientos a atender para la estruturación de los estudios previos.</t>
  </si>
  <si>
    <t xml:space="preserve">1 documento con los lineamientos </t>
  </si>
  <si>
    <t>Jefe Oficina Jurídica</t>
  </si>
  <si>
    <t>Durante el primer cuatrimestre de 2023 se suscribieron 260 contratos de prestación de servicios y apoyo a la gestión.</t>
  </si>
  <si>
    <t>Matriz excel muestreo
Estudios previos</t>
  </si>
  <si>
    <t>Se expidio la circular 05 de 2023 que dio alcance a la circular IDPC No. 27 de 2022 (vigente) que contienen lineamoientos en materia contractual para la elaboración, revisión y tramite de estudios y documentos previos para la contratación de prestación de servicios en el IDPC.</t>
  </si>
  <si>
    <t>Circular 005 de 2023
Circular 027 de 2022</t>
  </si>
  <si>
    <t>De acuerdo con los soportes aportados, se evidencia la aplicación del  control.</t>
  </si>
  <si>
    <t xml:space="preserve">De acuerdo con los oportes aportados, se evidencia la ejecución de la acción de mitigación. </t>
  </si>
  <si>
    <t>Se evidencia la ejecución del control con muestreo de los flujos de aprobación de los procesos contractuales.
Frente a la acción de mitigación, se evidencia Circular 05 del 17 de enero de 2023, en la cual se entregan lineamientos en materia de estructuración de procesos.</t>
  </si>
  <si>
    <t>El profesional designado de la Oficina Jurídica, revisa el cumplimiento de los requisitos que integran el estudio previo definido en la norma vigente cada vez que se radique un estudio previo en la OJ.</t>
  </si>
  <si>
    <t xml:space="preserve">Correos o comunicaciones de orfeo con observaciones de las revisiones realizadas a los estudios previos por la OJ </t>
  </si>
  <si>
    <t>Cada vez que se radique un estudio previo en la OJ</t>
  </si>
  <si>
    <t xml:space="preserve">Durante el primer trimestre de 2023 los abogado de la OJ realizaron la revisión de los estudios previos y documenos radicados en la OJ para tramite de contratación realizando su verificación efectuando las observaciones y devoluciones </t>
  </si>
  <si>
    <t>Correos electronicos que dan cuenta de las devoluciones efectuadas
Relacion de radicados orfeo devuletos para ajustes por parte de las areas.</t>
  </si>
  <si>
    <t>Para la ejecución del control, se evidencia relación de radicados devueltos con observaciones y correos electrónicos de devolución.</t>
  </si>
  <si>
    <t xml:space="preserve">El profesional designado de la OJ descarga los documentos precontractuales remitdos por la dependencia mediante comunicación de ORFEO y una vez revisados se procede a su publicación en SECOP. </t>
  </si>
  <si>
    <t>Sin Registro</t>
  </si>
  <si>
    <t>Reducir (compartir)</t>
  </si>
  <si>
    <t xml:space="preserve">Documentos de excel con la revisión del 10% de los contratos.  </t>
  </si>
  <si>
    <t>Solicitar a los supervisores de los contratos la verificación de la aplicación de un control de revisión de la publicación de los documentos en SECOP.</t>
  </si>
  <si>
    <t xml:space="preserve">1 correo electrónico de solicitud de  la verificación de la aplicación del control </t>
  </si>
  <si>
    <t>Analizar el impacto de error o inconsistencia para determinar el posible daño antijurídico para la entidad de cada caso</t>
  </si>
  <si>
    <t>1Profesional designado de la dependencia
1Profesional desigando de la Oficina Juridica
Orfeo
Correo electrónico
secop</t>
  </si>
  <si>
    <t>El profesional designado de la dependencia responsable y de la Oficina  Jurídica</t>
  </si>
  <si>
    <t>Analizar las acciones a adelantar para mitigar el daño antijurídico</t>
  </si>
  <si>
    <t>Aplicar la decisión tomada en conjunto con la Oficina Jurídica</t>
  </si>
  <si>
    <t>Soporte de las acciones aplicadas</t>
  </si>
  <si>
    <t>Durante el primer cuatrimestre de 2023 se suscribieron 260 contratos de prestación de servicios y apoyo a la gestión, por lo que se hizo un muestreo de 26 contratos encontrandose que los documentos precontractuales se encuentran publicado en el SECOP acorde a lalista dechequeo.</t>
  </si>
  <si>
    <t>Matriz revision contratos I cutrimestre 2023</t>
  </si>
  <si>
    <t>Esta actividad se tiene prevista para el segundo cutrimestres de 2023</t>
  </si>
  <si>
    <t>De acuerdo con la revisión de los soportes aportados, se evidencia la aplicación del control.</t>
  </si>
  <si>
    <t>El control y la acción de mitigación no cuentan con periodicidad, ni fechas de ejecución. 
Se evidencia la ejecución del control con matriz de revisión de contratos de acuerdo a lista de chequeo.
Frente a la acción de mitigación, el proceso informa que se tiene programada para el segundo cuatrimestre de la vigencia.</t>
  </si>
  <si>
    <t>Una vez suscrita el acta de liquidación por las partes, y cargada en Orfeo por el supervisor, el profesional de la OJ efectùa la publicación plataforma SECOP.</t>
  </si>
  <si>
    <t xml:space="preserve">Pantallazo de la  publicación de acta de liquidación en SECOP </t>
  </si>
  <si>
    <t xml:space="preserve">Durante el primer cuatrimestre de 2023 se efectuo la publicacion de las liquidaciones en secop </t>
  </si>
  <si>
    <t>Matriz de relación con las publicaciones realizadas
Patallazos de la publicación.</t>
  </si>
  <si>
    <t>No se tienen planeadas acciones de mitigación.</t>
  </si>
  <si>
    <t>El control no cuenta con periodicidad de ejecución. 
Para la ejecución del control, se evidencia relación de publicación de liquidaciones, así como, los pantallazos de las mismas.</t>
  </si>
  <si>
    <t xml:space="preserve">Mensualmente el profesional encargado del diligenciamiento de la base de datos realiza el cruce de información con la base de datos descargada de la plataforma SECOP. </t>
  </si>
  <si>
    <t>Aleatoria</t>
  </si>
  <si>
    <t>Matriz de revisión de la base de datos en la que se evidencie el cruce de información con SECOP y su resultado.</t>
  </si>
  <si>
    <t>Mensualmente</t>
  </si>
  <si>
    <t>Profesional designado OJ</t>
  </si>
  <si>
    <t>Realizar reunión con el proceso de gestión financiera para determinar las acciones  para realizar la conciliación de la información de la base de gestión contractual con la información presupuestal</t>
  </si>
  <si>
    <t xml:space="preserve">Acta de reunión con las conclusiones de la conciliación de la información presupuestal </t>
  </si>
  <si>
    <t>Jefe Oficina Jurídica
Subdirector(a) de Gestión Corporativa</t>
  </si>
  <si>
    <t>Identificar inconsistencias, actualizar la base de datos y solicitar permisos para la corrección de la información reportada cuando haya lugar.</t>
  </si>
  <si>
    <t>1 Profesional de la Oficna Jurídica</t>
  </si>
  <si>
    <t xml:space="preserve"> Profesional de la Oficina Jurídica</t>
  </si>
  <si>
    <t>Identificar los campos de la base que generan inconsistencias y corregirlos</t>
  </si>
  <si>
    <t>Solicitar corrección de la información reportada cuando haya lugar</t>
  </si>
  <si>
    <t>Base en formato excel actualizada
Soportes de correción de información (Cunado aplique)</t>
  </si>
  <si>
    <t>Durante el primer cuatrimestre se realizó el cruce de información entre la base descargada de secop y la base contractual.</t>
  </si>
  <si>
    <t>Matrices con el cruce de informacion realizado entre la base contractual y el secop meses enero febrero marzo y abril</t>
  </si>
  <si>
    <t xml:space="preserve">Esta actividad se tiene prevista para el segundo cutrimestres de 2023. </t>
  </si>
  <si>
    <t>De acuerdo con los soportes aportados se evidencia ejecución de la acción.</t>
  </si>
  <si>
    <t>Se evidencia la ejecución del control con matriz de revisión mensual de base de contratación, contra la descargada de SECOP.
Frente a la acción de mitigación, el proceso informa que se tiene programada para el segundo cuatrimestre de la vigencia.</t>
  </si>
  <si>
    <t xml:space="preserve">Mensualmente el profesional encargado del diligenciamiento de la base de datos SIVICOF, realiza el cruce de información con la base de datos descargada de la Plataforma SECOP. </t>
  </si>
  <si>
    <t>Matriz de revisión de la base de datos en la que se evidencie el cruce de información realizada y su resultado</t>
  </si>
  <si>
    <t>Durante el primer cuatrimestre se realizó el cruce de información entre los formatos de sivicof y la base descargada de sivicof</t>
  </si>
  <si>
    <t xml:space="preserve">Matrices con el cruce de informacion realizado entre la base sivcof y el secop meses enero febrero y marzo </t>
  </si>
  <si>
    <t>Se evidencia la ejecución del control con matriz de revisión mensual de reporte en SIVICOF, contra la base descargada de SECOP.</t>
  </si>
  <si>
    <t>El profesional designado de la OJ de manera anual revisa los contratos objeto de liquidación en la vigencia y elabora la matriz con la asignación a los profesionales de la OJ.</t>
  </si>
  <si>
    <t xml:space="preserve">Matriz de reparto de liquidaciones </t>
  </si>
  <si>
    <t>Tips para la elaboración sobre liquidaciones</t>
  </si>
  <si>
    <t>(2)Correo con tips sobre liquidaciones</t>
  </si>
  <si>
    <t>El supervisor informa a la Oficina Jurídica para analizar el impacto y determinar el posible daño antijurídico para la Entidad y realizar las acciones a que haya lugar</t>
  </si>
  <si>
    <t>Supervisor del contrato
Profesional designado de la Oficina Jurídica (Orfeo)</t>
  </si>
  <si>
    <t>Supervisor del contrato</t>
  </si>
  <si>
    <t>Analizar las acciones a adelantar para mitigra el daño antijurìdico</t>
  </si>
  <si>
    <t>Presentar el caso al Comité de Conciliación</t>
  </si>
  <si>
    <t>Acta del comité de conciliación</t>
  </si>
  <si>
    <t>Se efectuó la depuración de la matriz de liquidacines y se continua con el seguimiento mensual en la reunion de seguimiento interno de la OJ y en el comité ordinario de contratación.</t>
  </si>
  <si>
    <t xml:space="preserve">Matriz de liquidaciones 2023 </t>
  </si>
  <si>
    <t>El 28 de abril de 2023 se remitió via correo electrónico a todos los funcionarios y contratiistas del IDPC una infografia en la que se informan el contenido minimo que debe tener una liquidación.</t>
  </si>
  <si>
    <t>Correo elctrónico</t>
  </si>
  <si>
    <t>De acuerdo con los soportes aportados se evidencia aplicación del control.</t>
  </si>
  <si>
    <t>De acuerdo con los soportes aportados, se adelantó la acción de mitigación queda pendiente un entregable.</t>
  </si>
  <si>
    <t>Se evidencia la ejecución del control con matriz de reparto de liquidaciones.
Pese a que la acción de mitigación no se encontraba programada para el período, se presenta infografía de liquidaciones contractuales, quedando pendiente solo 1 entregable de esta acción.</t>
  </si>
  <si>
    <t>El profesional de la OJ hace seguimiento al estado de las liquidaciones de manera mensual, el cual es presentado por el Jefe de la OJ en el Comité de Contratación.</t>
  </si>
  <si>
    <t xml:space="preserve">Actas de reuniones de seguimiento
Acta de comité de contratación
Matriz de seguimiento de liquidaciones </t>
  </si>
  <si>
    <t>Se continua con el seguimiento mensual al estado de las liquidaciones la reunion de seguimiento interno de la OJ y en el comité ordinario de contratación. Es de señalar que para los meses de enero y febrero debido a la contigencia enmateria de contratación que se presenta el seguimiento se efectuo a travez de la matriz de reparto.</t>
  </si>
  <si>
    <t>Seguimiento matriz de liquidaciones
Acta de seguimiento interno 001 y 002
Actas de comité de contratación.</t>
  </si>
  <si>
    <t>No se programaron acciones de mitigación.</t>
  </si>
  <si>
    <t>Se evidencia la ejecución del control con actas de seguimiento mensual a las liquidaciones, así como, actas de comité de contratación en los cuales se ha indicado el estado de las liquidaciones.</t>
  </si>
  <si>
    <t xml:space="preserve">     Entre 10 y 50 SMLMV </t>
  </si>
  <si>
    <t xml:space="preserve">El supervisor radica la solicitud para adelanta el trámite de incumplimiento cuando haya lugar, mediante comunicación de orfeo y una vez radicada se adelanta acorde con la competencia y procedimiento establecido. </t>
  </si>
  <si>
    <t>Correctivo</t>
  </si>
  <si>
    <t xml:space="preserve">Acta de audiencia de incumplimiento presentadas </t>
  </si>
  <si>
    <t>De acuerdo con la solicitud</t>
  </si>
  <si>
    <t>Tips para el manejar o evitar incumplimiento contractuales</t>
  </si>
  <si>
    <t>(2)Correo con tips de incumplimientos contractuales</t>
  </si>
  <si>
    <t xml:space="preserve">Jefe Oficina </t>
  </si>
  <si>
    <t>Durante la vigencia 2023 no se han adelantado procesos por incumplimientos ocntractuales.</t>
  </si>
  <si>
    <t>No Aplica</t>
  </si>
  <si>
    <t>El 28 de abril de 2023 se remitió via correo electrónico a todos los funcionarios y contratiistas del IDPC una infografia en la que se indican tips para prevenir los incumplimientos contractuales.</t>
  </si>
  <si>
    <t>Durante el periodo adelantado, no se presentaron incumplimientos.</t>
  </si>
  <si>
    <t>En cuanto al control, el proceso manifiesta que no se han presentado incumplimientos de contratos durante el período evaluado.
Frente a la acción de mitigación, se presenta infografía para prevenir incumplimientos contractuales, quedando pendiente solo 1 entregable de esta acción.</t>
  </si>
  <si>
    <t>El profesional designado de la dependencia aplica las instrucciones emitidas por la Oficina Jurídica para la estructuración de los Estudios y documentos previos para la Contratación de Servicios Profesionales y Apoyo a la Gestión o para la ejecución de trabajos artísticos, señaladas en la circular 027 de 2022</t>
  </si>
  <si>
    <t>Matriz con el link en donde se encuentran publicados los estudios previos en SECOP</t>
  </si>
  <si>
    <t>Definir los lineamientos orientadores a la prevención del daño antijurídico, en términos de la posible configuración de un contrato realidad para la contratación de Servicios Profesionales y Apoyo a la Gestión o para la ejecución de trabajos artísticos</t>
  </si>
  <si>
    <t xml:space="preserve">1. Comunicación interna </t>
  </si>
  <si>
    <t>Durante el primer cutrimestre de 2023 se sucribieron 260 contratos de prestación de servicios profesionales y apoyo a la gestión, respecto d elos cuales los profesionales que proyectan los estudios previos debieron aplicar las instrucciones emitidas por la Oficina Jurídica para la estructuración de los Estudios y documentos previos para la Contratación de Servicios Profesionales y Apoyo a la Gestión o para la ejecución de trabajos artísticos, señaladas en la circular 027 de 2022</t>
  </si>
  <si>
    <t>Matriz contratos  PSP y AG 2023</t>
  </si>
  <si>
    <t>La acción se encuentra programada para el segundo cuatrimestre.</t>
  </si>
  <si>
    <t>Para la ejecución del control, se evidencia matriz en la cual se relaciona el link a los estudios previos de todos los procesos contractuales por prestación de servicios personales, donde se aplican las directrices emitidas por la Oficina Jurídica.
Frente a la acción de mitigación, esta no se encuentra programada para el período evaluado.</t>
  </si>
  <si>
    <t>Verificar que la liquidación que arroja el sistema sea consistente.</t>
  </si>
  <si>
    <t>Formato Informe de revisión de nómina.</t>
  </si>
  <si>
    <t>Profesional designado de TH</t>
  </si>
  <si>
    <t>Realizar un conversatorio con el personal de planta del IDPC sobre el procedimiento de nómina y la implementación del Decreto 1498 de 2022</t>
  </si>
  <si>
    <t xml:space="preserve">Lista de asistencia y presentación </t>
  </si>
  <si>
    <t>Profesional Especializado de Talento Humano</t>
  </si>
  <si>
    <t>Elaborar comunicación interna dirigida al servidor informando sobre el error y la necesidad de reintegrar el mayor valor pagado  y la forma en que debe hacerlo.</t>
  </si>
  <si>
    <t>Asegurar que los reintegros sean efectuados por el servidor en los tiempos convenidos.</t>
  </si>
  <si>
    <t>Identificar las causas de la materialización del riesgo y tomar las acciones correctivas.</t>
  </si>
  <si>
    <t>Error subsanado y documento de Formato para la autorización de descuentos firmado por el servidor.</t>
  </si>
  <si>
    <r>
      <rPr>
        <sz val="11"/>
        <color theme="1"/>
        <rFont val="Arial Narrow"/>
        <family val="2"/>
      </rPr>
      <t xml:space="preserve">Para las nóminas de los meses de enero, febrero, marzo y abril de 2023 se realizaron las actividades propias del proceso de Nómina, se elabora y diligencia el </t>
    </r>
    <r>
      <rPr>
        <i/>
        <sz val="11"/>
        <color theme="1"/>
        <rFont val="Arial Narrow"/>
        <family val="2"/>
      </rPr>
      <t>Formato Informe de revisión de nómina</t>
    </r>
    <r>
      <rPr>
        <sz val="11"/>
        <color theme="1"/>
        <rFont val="Arial Narrow"/>
        <family val="2"/>
      </rPr>
      <t xml:space="preserve"> correspondiente a los meses de enero, febrero, marzo y abril de 2023 suscrito por los responsables del proceso.</t>
    </r>
  </si>
  <si>
    <t>Se adjuntan los Formatos de Informe de revisión de nómina de los meses enero, febrero, marzo y abril de 2023</t>
  </si>
  <si>
    <t>1 conversatrorio</t>
  </si>
  <si>
    <t>1 conversatrorio realizado el 28 de abril de 2023</t>
  </si>
  <si>
    <t>Se realiza un conversatorio dirigido al personal de planta del IDPC sobre el procedimiento de nómina y la implementación del Decreto 1498 de 2022 y otras actualizaciones, llevado a cabo en el mes de abril de 2023.</t>
  </si>
  <si>
    <t>Se adjunta a la carpeta listado de asistencia y presentaciones utilizadas en el conversatorio.</t>
  </si>
  <si>
    <t>El proceso aporta el Formato de Informe de Revisión de Nómina debidamente suscrito por los intervinientes desde ORFEO para los meses de enero a abril</t>
  </si>
  <si>
    <t>El proceso aporta el listado de asistencia y las presentaciones de la sesión realizada el 28 de abril</t>
  </si>
  <si>
    <t>Para la ejecución del control, se evidencian los oficios de revisión mensual de la nómina por parte de todos los actores.
Frente a la acción de mitigación, se observan los soportes de ejecución de conversatorio en materia de nómina.</t>
  </si>
  <si>
    <t>Registro de los prestamos de expedientes en la Planilla de control y prestamo documental</t>
  </si>
  <si>
    <t>Planilla de consulta y préstamo de documentos para usuarios externos e internos.</t>
  </si>
  <si>
    <t>Cada vez que se realice una consulta y préstamo de documentos</t>
  </si>
  <si>
    <t>Responsable de Gestión Documental</t>
  </si>
  <si>
    <t>Realizar capacitación y seguimiento a los funcionarios del grupo de gestión documental frente al diligenciamiento de la totalidad de los campos de la planilla de consulta y préstamo para usuarios internos y externos según lo estipulado en PROCEDIMIENTO DE CONSULTA Y PRÉSTAMO DE
EXPEDIENTES DEL ARCHIVO DE BIENES DE INTERÉS
CULTURAL, para mitigar la perdida de información de los expedientes en préstamo.</t>
  </si>
  <si>
    <t xml:space="preserve">
Acta y lista de asistencia de capacitación.
Planillas diligenciadas de préstamos a usuarios externos e internos de la vigencia 2023.
</t>
  </si>
  <si>
    <t>Líder del proceso y equipo de Gestión Documental.</t>
  </si>
  <si>
    <t>1/02/2023.</t>
  </si>
  <si>
    <t>31/12/2023.</t>
  </si>
  <si>
    <t>Durante el cuatrimestre se realizo la capacitación al equipo de Gestión Documental sobre el procedimiento de consulta y préstamo  a usuarios internos y externos.
Se llevo el registro de los prestamos de expedientes en la Planilla de control y prestamo documental realizados a usuarios externos e internos, en el archivo central y Bienes de Interes Cultural BIC.</t>
  </si>
  <si>
    <t>Acta y lista de asistencia  de la capacitación procedimiento de consulta y préstamo y  Planillas diligenciadas de consultas y prestamos documentales a usuarios internos y externos  de enero a abril de 2023</t>
  </si>
  <si>
    <t>Capacitación al equipo de Gestión Documental sobre el procedimiento de consulta y préstamo  a usuarios internos y externos.
Se llevo el registro de los prestamos de expedientes en la Planilla de control y prestamo documental realizados a usuarios externos e internos, en el archivo central y Bienes de Interes Cultural BIC.</t>
  </si>
  <si>
    <t>De acuerdo con los soportes aportados se evidencia la aplicación del control.</t>
  </si>
  <si>
    <t>De acuerdo con los soportes aportados se evidencia la ejecución de la acción de mitigación.</t>
  </si>
  <si>
    <t>Para la ejecución del control, se evidencian las planillas de consulta y préstamo del período evaluado.
Frente a la acción de mitigación, se observa acta de capacitación relacionada con el diligenciamiento de formatos de consulta y préstamo de documentos.</t>
  </si>
  <si>
    <t xml:space="preserve">Seguimiento a la actualización del Formato de inventario documental por cada dependencia </t>
  </si>
  <si>
    <t>Formato único de Inventario Documental actualizado  de las dependencias.</t>
  </si>
  <si>
    <t>Realizar la aplicación de las actividades técnicas de Gestión Documental correspondientes a clasificación, organización, encarpetado, foliación, rotulación, encajado y diligenciamiento del Formato único de Inventario documental del Instituto Distrital de Patrimonio Cultural al archivo de gestión físico de las vigencias 2020-2022, para así tener el Inventario Documental actualizado. El cual nos permitirá tener un control de la información en el archivo de gestión centralizado.</t>
  </si>
  <si>
    <t xml:space="preserve">Formato único de Inventario Documental de gestión actualizados en la vigencia 2023. </t>
  </si>
  <si>
    <t>15/12/2023.</t>
  </si>
  <si>
    <t>No es clara la diferencia entre el control y la acción de mitigación.
Se hace entrega como soportes de los FUID vigencia 2021 y 2022, de algunas dependencias.</t>
  </si>
  <si>
    <t>Seguimiento y control a los programas de Gestión Documental del Sistema Integrado de Conservación-SIC.
condiciones ambientales de las instalaciones locativas del archivo.</t>
  </si>
  <si>
    <t>Informe de monitoreo de las condiciones ambientales de las instalaciones locativas del archivo.</t>
  </si>
  <si>
    <t>Realizar el análisis y seguimiento de las condiciones ambientales a partir de los datos arrojados por los instrumentos de medición instalados en los depósitos de archivo.</t>
  </si>
  <si>
    <t>4 Informes de monitoreo de las condiciones ambientales y de limpieza de las instalaciones locativas del archivo y respetivas recomendaciones .</t>
  </si>
  <si>
    <r>
      <rPr>
        <sz val="11"/>
        <color theme="1"/>
        <rFont val="Arial Narrow"/>
        <family val="2"/>
      </rPr>
      <t>Durante el cuatrimestre, el proceso de Gestión Documental, con la profesional conservadora, se realizo el informe de seguimiento de condiciones ambientales en los despositos de archivo del IDPC, periodo de Enero-Marzo de 2023.</t>
    </r>
    <r>
      <rPr>
        <b/>
        <sz val="11"/>
        <color theme="1"/>
        <rFont val="Arial Narrow"/>
        <family val="2"/>
      </rPr>
      <t>Nota, este informe se realiza de mes vencido por eso no se ve reflejado el mes de abril, este se vera en el proximo cuatrimestre.</t>
    </r>
    <r>
      <rPr>
        <sz val="11"/>
        <color theme="1"/>
        <rFont val="Arial Narrow"/>
        <family val="2"/>
      </rPr>
      <t xml:space="preserve">
 </t>
    </r>
  </si>
  <si>
    <t>Informe de seguimiento de condiciones ambientales periodo Enero-Marzo 2023</t>
  </si>
  <si>
    <t xml:space="preserve">Informe de seguimiento de condiciones ambientales en los depositos de archivo del IDPC, periodo de Enero-Marzo de 2023.
 </t>
  </si>
  <si>
    <t>El control no cuenta con periodicidad de ejecución. 
No es clara la diferencia entre el control y la acción de mitigación.
Se evidencia la ejecución de informe de seguimiento trimestral de condiciones ambientales</t>
  </si>
  <si>
    <t>Seguimiento y control a los programas de Gestión Documental del Sistema Integrado de Conservación-SIC.
 limpieza general y limpieza diara de los depositos de archivo.</t>
  </si>
  <si>
    <t>Informe del seguimiento a limpieza general y limpieza diara de los depositos de archivo.</t>
  </si>
  <si>
    <t>Se hace entrega como soportes de los informes de seguimiento a actividades de limpieza del archivo.</t>
  </si>
  <si>
    <t>Seguimiento diario en la gestión de los radicados de entrada y de salida.</t>
  </si>
  <si>
    <t xml:space="preserve">Matriz diaria de seguimiento oficina de correspondencia. </t>
  </si>
  <si>
    <t>Responsable de correspondencia</t>
  </si>
  <si>
    <t xml:space="preserve">Realizar Informe mensuales del seguimiento y recomendaciones de mejora de la gestión de la oficina de correspondencia </t>
  </si>
  <si>
    <t>11 informes  seguimiento de la gestión de la oficina de correspondencia.</t>
  </si>
  <si>
    <t>Durante el cuatrimestre el proceso de Gestión Documental desarrollo un informe que da cuenta a la posible afectación reputacional de la designación y descripción de radicados de entrada y salida dando como resultado el incremento de recepción de documentación física y digital, se detecto que se debe establecer una mejora en cuanto a ese proceso.</t>
  </si>
  <si>
    <t>Informe de la Oficina de Correspondencia 
Instituto Distrital de Patrimonio Cultural</t>
  </si>
  <si>
    <t>Informe de la Oficina de Correspondencia  Instituto Distrital de Patrimonio Cultural vigencia febrero-abril 2023.</t>
  </si>
  <si>
    <t>Informe de la Oficina de Correspondencia  Instituto Distrital de Patrimonio Cultural vigencia febrero-abril 2023 con anexo de la matriz de seguimiento.</t>
  </si>
  <si>
    <t>Teniendo en cuenta que la descripicón y evidencia del control hace referencia a la matriz diaria de seguimiento de los radicados den entrada y salida de correspondencia, es importante anotar que el soporte aportado no evidencia el cumplimiento del control.</t>
  </si>
  <si>
    <t>La acción de mitigación hace refencia a 11 informes de seguimiento de correspondencia mensual, solo se adjunta 1 informe razón por la cual no se evidencia el cumplimiento de la  acción de mitigación.</t>
  </si>
  <si>
    <t>No evidencia ejecución de acciones</t>
  </si>
  <si>
    <t>La primera línea de defensa en el monitoreo del control indica lo correspondiente a la acción de mitigación, sin embargo, al revisar los soportes, se observa la matriz de seguimiento que es el producto del control.
En cuanto a la acción de mitigación, se entregan informes de seguimiento.</t>
  </si>
  <si>
    <t>Previo a la emisión del estado financiero, el profesional especializado de contabilidad  realiza la conciliación de las cuentas de los estados financieros.</t>
  </si>
  <si>
    <t>Conciliaciones mensuales de las cuentas del estado de financiero</t>
  </si>
  <si>
    <t>Profesional de Contabilidad</t>
  </si>
  <si>
    <t xml:space="preserve">Presentación del estado financiero definitivo en el Comité de Sostenibilidad Contable </t>
  </si>
  <si>
    <t xml:space="preserve">2 actas de presentación de los estados finanacieros   </t>
  </si>
  <si>
    <t>Profesional especializado Contabilidad</t>
  </si>
  <si>
    <t xml:space="preserve">Se realizaron conciliaciones bancarias, concilaciones de almacén y conciliaciones nómina, </t>
  </si>
  <si>
    <t>Se adjuntan conciliaciones de almacén, conciliaciones bancarias y de nómina</t>
  </si>
  <si>
    <t xml:space="preserve">De acuerdo con los soportes aportados, se evidencia la aplicación del control mencionado. </t>
  </si>
  <si>
    <t>Para la ejecución del control, se evidencian las conciliaciones.
Frente a la acción de mitigación, no se observa monitoreo por parte de la primera línea de defensa.</t>
  </si>
  <si>
    <t>Cada vez que se expide el Certificado Disponibilidad Presupuestal el profesional especializado de presupuesto verificará que la información contenida corresponda con la Viabilidad Presupuestal.</t>
  </si>
  <si>
    <t>Certificados de Disponibilidad Presupuestal firmados</t>
  </si>
  <si>
    <t>Cada vez que se expida un CDP</t>
  </si>
  <si>
    <t>Profesional de Presupuesto</t>
  </si>
  <si>
    <t xml:space="preserve">Documentar y aplicar el control detectivo de verificación de la información relacionada en el  Certificado de Disponibilidad Presupuestal </t>
  </si>
  <si>
    <t>1 Documento con la descripción del control de conciliación.
8 Archivo de excel con el registro de la  conciliación realizada</t>
  </si>
  <si>
    <t>Profesional especializado presupuesto</t>
  </si>
  <si>
    <t>Anular el CDP con errores y expedir uno nuevo corrigiendo el error encontrado.
Si el Certificado de Disponibilidad Presupuestal(CDP) ya se encuentra comprometido establecer y aplicar las acciones en conjunto con la Oficina Jurídica para corregir la inconsistencia.</t>
  </si>
  <si>
    <t xml:space="preserve"> 2 Profesionales de presupuesto
1 Profesional Oficina Jurídica
1 Profesional de apoyo a la contratación de la dependencia responsable
1 Ordenador del gasto
Correo electrónicos
Aplicativo SECOP- BOGDATA</t>
  </si>
  <si>
    <t>Profesional especializado de presupuesto
Profesional apoyo presupuesto
Ordenador del Gasto
Subdirector(a) de Gestión Corporativa</t>
  </si>
  <si>
    <t xml:space="preserve">Si se encuentra un error en el Certificado de Disponibilidad Presupuestal, se deberá realizar el trámite de corrección en BOGDATA y cargar el CDP corregido a ORFEO . 
ò según sea el caso aplicar la acción determinada con la Oficina Jurìdica.
 </t>
  </si>
  <si>
    <t xml:space="preserve">El profesional especializado del proceso de Gestión financiera adelanta las correcciones en el Certificado de Disponibilidad Presupuestal.
El ordenador del Gasto y el profesional designado realiza las modificaciones de los documentos previos y contractuales a que haya lugar.  </t>
  </si>
  <si>
    <t>Correo electrónico ó Anulación CDP
 documentos ó Expedición nuevos documentos corregidos ó acto(s) administrativo(s) de corrección del CDP (cuando aplique).</t>
  </si>
  <si>
    <t>En el periodo comprendido de enero a abril de 2023 se tramitaron un total de 415 Certificados de Disponibilidad Presupuestal en los cuales se evidencia la aplicación del control.</t>
  </si>
  <si>
    <t>Se adjuntan Certificados de Disponibilidad presupuestal y reporte del sistema BOGDATA</t>
  </si>
  <si>
    <t>Durante el primer cuatrimestre se realizó un avance con un documento preliminar para la implementación del procedimiento de expedición de CDPs en el cual se determina el control de conciliación de los CDPs expedidos.</t>
  </si>
  <si>
    <t>PROCEDIMIENTO_EXPEDICIÓN_CDP</t>
  </si>
  <si>
    <t xml:space="preserve">Por parte de la Secretaría Distrital de Hacienda se identificó un CDP en el cual el elemento PEP registrado no correspondía con la solicitud enviada, Producto de esto se coordinó con el área solicitante del CDP para realizar la anulación del CDP errado y expedir uno con el elemento PEP correcto. Lo anterior teniendo en cuenta el CDP no contaba con registro presupuestal expedido.
Así mismo se formuló un plan de mejroamiento con las acciones para evitar que el riesgo vuelva a materializarse.  </t>
  </si>
  <si>
    <t>Se evidencia avance en la ejecución del entregable "1 Documento con la descripción del control de conciliación."</t>
  </si>
  <si>
    <t>De acuerdo con los soportes aportados se evidencia la aplicación del plan de contingencia.</t>
  </si>
  <si>
    <t>Para la ejecución del control, se evidencian los CDP's debidamente firmados.
Frente a la acción de mitigación, se evidencia avance en la misma con borrador de documento expedición de CDP.</t>
  </si>
  <si>
    <t>Cada vez que se expide el Certificado Registro Presupuestal el profesional especializado de presupuesto verifica que la información contenida en el CRP (Valor(es), número de contrato, acto administrativo, factura, conceptos de gastos, Tercero y número de CDP) corresponda con los soportes remitidos (Contratos, facturas, actos administrativo entre otros).</t>
  </si>
  <si>
    <t>Certificado de Registro Presupuestal firmado</t>
  </si>
  <si>
    <t>Cada vez que se expida un CRP</t>
  </si>
  <si>
    <t xml:space="preserve">Documentar el control de verificación de la expedición del CRP </t>
  </si>
  <si>
    <t>1 Documento con la descripción de la verificación de la expedición del Certificado de Registro Presupuestal .</t>
  </si>
  <si>
    <t xml:space="preserve">
Si se encuentran errores el Certificado de Registro Presupuestal(CRP), establecer y aplicar las acciones en conjunto con la Oficina Jurídica para corregir la inconsistencia.</t>
  </si>
  <si>
    <t>2 Profesionales de presupuesto
1 profesional de apoyo a la contratación de la dependencia responsable
1 ordenador del gasto
Correo electrónicos
Aplicativo SECOP- BOGDATA</t>
  </si>
  <si>
    <t>Si se encuentra un error en el Certificado de Registro Presupuestal, se deberá evaluar la viabilidad de realizar el trámite de corrección en BOGDATA y cargar el CRP corregido a ORFEO . 
ò de acuerdo con el estado del contrato y el tipo de error definir y aplicar la acción determinada con la Oficina Jurìdica.</t>
  </si>
  <si>
    <t xml:space="preserve">El profesional especializado del proceso de Gestión financiera adelanta las correcciones en el Certificado de Registro Presupuestal.
El ordenador del Gasto y el profesional designado realiza las modificaciones de los documentos  contractuales a que haya lugar.  </t>
  </si>
  <si>
    <t>Correo electrónico ó Anulación CRP y demás documentos requeridos, ó expedición nuevos documentos corregidos ó acto(s) administrativo(s) de corrección del CRP (cuando aplique).</t>
  </si>
  <si>
    <t>No se evidencia reporte de monitoreo de la primera línea de defensa.
Se hace entrega como soportes de los CRP debidamente firmados.
Frente a la acción de mitigación, esta no se encuentra programada para el período.</t>
  </si>
  <si>
    <t>Mensualmente; el profesional especializado de tesorería, previo a radicación de los pagos en la SDH,  realiza conciliación de los datos de la planilla de pago  en el sistema  BOGDATA y en el Sistema de contabilidad SIIGO</t>
  </si>
  <si>
    <t>Documento de excel con los resultados de la conciliación.</t>
  </si>
  <si>
    <t>Profesional de Tesorería</t>
  </si>
  <si>
    <t>Aplicar nuevo control de elaboración de la planilla de pagos a partir de la solicitud de pago radicada en Orfeo y el soporte de causación, registrando la fecha de elaboración del pago para evitar su duplicidad.</t>
  </si>
  <si>
    <t xml:space="preserve"> 9 Documentos con diez (10) solicitudes de pago revisadas de manera aleatoria verificando que contenga la fecha de elaboración de la planilla paga, registrada en Orfeo (marzo-nov 2022)</t>
  </si>
  <si>
    <t>Profesional de  presupuesto</t>
  </si>
  <si>
    <t>Recuperar los recursos girados y/o adelantar las acciones legales pertinentes</t>
  </si>
  <si>
    <t xml:space="preserve">1 profesional tesorería
1 profesional contable
Correo electrónico y aplicativo de correspondencia
Oficina Asesora Jurídica
Profesional control Interno Disciplinario
Aplicativo SECOP- BOGDATA
</t>
  </si>
  <si>
    <t>Profesional Especializado de Tesorería
Profesional Especializado de contabilidad
Subdirector de Gestión Corporativa</t>
  </si>
  <si>
    <t>Solicitar al destinatario del pago mediante correo electrónico o comunicación oficial la devolución de dinero.
Adelantar las acciones legales pertinentes, de ser necesario.</t>
  </si>
  <si>
    <t>Verificar que se hayan reintegrado los recursos</t>
  </si>
  <si>
    <t xml:space="preserve">Correo electrónico o comunicación de reintegro de recursos pagados
Documentos de acciones legales adelantadas de ser el caso. </t>
  </si>
  <si>
    <t>Se realizaron las conciliaciones entre la información contable en SIIGO y los archivos a cargar en la plataforma BogData.</t>
  </si>
  <si>
    <t>1 - 2 REVISIONES SIIGO Enero - Febrero 2023
3. Conciliación de datos Pagos Marzo 2023
4. Conciliación de datos Pagos Abril 2023</t>
  </si>
  <si>
    <t>Se realizó la selección aleatoria mensual de 10 pagos, validadando el cumplimiento de los requisitos y tramites a traves de orfeo.</t>
  </si>
  <si>
    <t>Control Planilla de Pagos RA MARZO 2023
Control Planilla de Pagos RA FEBRERO 2023
Control Planilla de Pagos RA ABRIL 2023</t>
  </si>
  <si>
    <t>Se solicito al destinatario la devolución de los recursos a traves de correo electrónico, y seguido a eso una vez reintegrado se verifico el ingreso al banco.
Correo de Bogotá es TIC - Fwd_ SOLICITUD DE REINTEGRO POR DOBLE VALOR GIRADO</t>
  </si>
  <si>
    <t xml:space="preserve">De acuerdo con los soportes aportados se evidencia la ejecución de la acción de mitigación. </t>
  </si>
  <si>
    <t>Para la ejecución del control, se evidencian las conciliaciones de SIIGO.
Frente a la acción de mitigación, se evidencia las revisiones mensuales a 10 pagos.</t>
  </si>
  <si>
    <t>El profesional especializado de tesorería, posterior a la conciliación de los datos de la planilla de pagos en el sistema  BOGDATA y en el Sistema de contabilidad SIIGO, verifica el documento de identificación del tercero los pagos a realizar durante el mes.</t>
  </si>
  <si>
    <t>Documento de excel con la verificación de datos de terceros</t>
  </si>
  <si>
    <t>Revisar la viabilidad de incluir en el contrato de SIIGO la modificación de un desarrollo para que se emita el archivo plano para ser cargado a BOGDATA y evitar la construcción manual del mismo</t>
  </si>
  <si>
    <t>2 Actas de reunión</t>
  </si>
  <si>
    <t>Profesional especializada contabilidad</t>
  </si>
  <si>
    <t>Se realizaron los cruces de tercero, comparando que lo registrado y pagado en el aplicativo BogData, coincida con los terceros registrados en el aplicativo SIIGO.</t>
  </si>
  <si>
    <t>1 - 2 SEGUIMIENTOS PAGOS 2023
3. VERIFICACIÓN TERCEROS CONCILIACION GIROS MARZO 2023 - IDPC
4. VERIFICACIÓN TERCEROS CONCILIACION GIROS ABRIL 2023 - IDPC</t>
  </si>
  <si>
    <t>No se reportó avance en la ejecución del plan de mitigación.</t>
  </si>
  <si>
    <t>Para la ejecución del control, se evidencian las verificaciones de terceros.
Frente a la acción de mitigación, no se observa monitoreo por parte de la primera línea de defensa.</t>
  </si>
  <si>
    <t>Riesgo de incumplimiento</t>
  </si>
  <si>
    <t>El profesional designado de nómina, realiza la revisión  del archivo plano de nómina o situaciones administrativas  previo al pago.</t>
  </si>
  <si>
    <t>Correo electrónico con la validadción por parte del profesional de nómina</t>
  </si>
  <si>
    <t>Profesional Nómina</t>
  </si>
  <si>
    <t>Registrar en forma automática todos los pagos que se realicen por efecto de nómina o situaciones administrativas en el portal bancario</t>
  </si>
  <si>
    <t xml:space="preserve">Archivos planes del registro de pago de nómina y/o situaciones administrativas. </t>
  </si>
  <si>
    <t>Profesional de tesorería</t>
  </si>
  <si>
    <t>Se realizaron las validaciones de lo archivos a cargar en el portal bancario y se tuvo validación por parte del profesional del nómina, para los meses de enero, febrero y abril. Por incorporación del nuevo tesorero, el mes de marzo se hizo la validación manualmente.</t>
  </si>
  <si>
    <t>1. Correo Revision archivo banco nomina enero
2. Correo Revision archivo banco nomina febrero
3. Revisión Nómina Marzo 2023
4. Correo Revision archivo banco nomina abril</t>
  </si>
  <si>
    <t>Para la ejecución del control, se evidencian los correos de revisión de la nómina.
Frente a la acción de mitigación, no se observa monitoreo por parte de la primera línea de defensa.</t>
  </si>
  <si>
    <t>Revisar de manera periódica el enlace de consulta de procesos de la rama judicial y/o administrativo y/o contractual para constatar la presentación en tiempo de las diferentes etapas procesales de orden administrativo y/o judicial por parte del abogado.</t>
  </si>
  <si>
    <t>Vigilancia de los procesos</t>
  </si>
  <si>
    <t>Abogado designado</t>
  </si>
  <si>
    <t>En el marco de la revisión periodica que se efectua respecto de los procesos en los que hace parte la Entidad, se aporta como evidencia patallazos de la verificacion realizada en los meses de enero, febrero, marzo y abtil.</t>
  </si>
  <si>
    <t xml:space="preserve">Vigilancia de los procesos enero 2023
Vigilancia de los procesos febrero 2023
Vigilancia de los procesos marzo 2023
Vigilancia de los procesos abril 2023
</t>
  </si>
  <si>
    <t>El proceso aporta las evidencias de la verificación de trámite para los meses de enero a abril</t>
  </si>
  <si>
    <t>Se evidencia la ejecución del control con pantallazos que soportan la vigilancia mensual de los procesos judiciales.</t>
  </si>
  <si>
    <t xml:space="preserve">     El riesgo afecta la imagen de de la entidad con efecto publicitario sostenido a nivel de sector administrativo, nivel departamental o municipal</t>
  </si>
  <si>
    <t>Revisar de manera periódica el SIPROJ con el fin de evidenciar la actualización de los procesos judiciales por parte del abogado.</t>
  </si>
  <si>
    <t>Reportar mensual y semestralmente la actualizacion de los porcesos en el SIPROJ</t>
  </si>
  <si>
    <t xml:space="preserve">Incluir como obligación contractual el reporte de los procesos en la plataforma SIPROJ
</t>
  </si>
  <si>
    <t xml:space="preserve">Contrato de prestación de servicios con la obligación incluida.
</t>
  </si>
  <si>
    <t>Jefe Oficina Asesora Jurídica</t>
  </si>
  <si>
    <t>Se realiza la revisión de la actualización de los procesos en el SIPROJ, que presentan movimiento por parte del abogado del IDPC, esta revisión se hace de manera mensual. Es importante aclarar que la actualización en el SIPROJ solo puede efectuarse una única vez, razón por la cual, al ser parte de los procesos varias entidades, el registro de la actualización queda asociado a la entidad que primero lo efectúa.</t>
  </si>
  <si>
    <t xml:space="preserve">Enero SIPROJ
FebreroSIPROJ
Marzo SIPROJ
Abril SIPROJ
</t>
  </si>
  <si>
    <t xml:space="preserve">El contrato 003 de 2023,  establece la siguiente obligacion especifica:
5. Realizar, frente al Sistema de Información de Procesos Judiciales – SIRPOJ y/o plataformas habilitadas para tal efecto, las siguientes actividades: a. Registrar y actualizar de manera oportuna en el Sistema de Información de Procesos Judiciales – SIRPOJ y/o plataformas habilitadas, las solicitudes de conciliación extrajudicial, los procesos judiciales y los trámites arbitrales a su cargo. b. Validar la información de solicitudes de conciliación, procesos judiciales y trámites arbitrales a su cargo, que haya sido registrada en Sistema de Información de Procesos Judiciales – SIRPOJ y/o plataformas habilitadas e informar a la entidad respectiva. c. Diligenciar y actualizar las fichas que serán presentadas para estudio en los comités de conciliación, de conformidad con los instructivos que las autoridades respectivas expidan para tal fin. d. Calificar el riesgo en cada uno de los procesos judiciales a su cargo, con una periodicidad no superior a seis (6) meses, así como cada vez que se profiera una sentencia judicial sobre el mismo, de conformidad con la metodología que determine la entidad respectiva. e. Incorporar el valor de la provisión contable de los procesos a su cargo. f. Asistir a las jornadas de capacitación sobre el uso y alcance del Sistema de Información de Procesos Judiciales – SIRPOJ y/o plataformas habilitadas. g. Cumplir a cabalidad con los protocolos, instructivos o lineamientos que expida la Secretaría de Planeación Distrital u órgano respectivo tendientes a asegurar la completitud, la veracidad y la oportunidad de los datos a reportar en el sistema, así como las buenas prácticas en el uso de este. h. Salvaguardar, en el marco de sus competencias funcionales, la confidencialidad de la información contenida en el Sistema de Información de Procesos Judiciales – SIRPOJ y/o plataformas 
</t>
  </si>
  <si>
    <t>Contrato 003 clausulado general
ESTUDIOS PREVIOS CTO 003 de 2023</t>
  </si>
  <si>
    <t>Se evidencian los registros realizados en SIPROJ en los meses de enero a abril</t>
  </si>
  <si>
    <t>Se observan los clausulados generales y los estudios previso respectivos</t>
  </si>
  <si>
    <t>Para la ejecución del control, se evidencian informes mensuales de registro SIPROJ.
Frente a la acción de mitigación, se observa la inclusión de la obligación en el contrato del profesional que lleva los procesos judiciales.</t>
  </si>
  <si>
    <t>Solicitar a la Secretaría Jurídica Distrital cada vez que se contrate al abogado de defensa judicial y cuando éste lo requiera, capacitación frente al manejo y actualización del SIPROJ y en aspectos relacionados con la defensa judicial.</t>
  </si>
  <si>
    <t>Solicitud de capacitación a la Secretaría Jurídica Distrital y/o lista de asistencia.</t>
  </si>
  <si>
    <t xml:space="preserve">Informar a la Secretaria Juridca Distrital el cambio de apoderados en los procesos </t>
  </si>
  <si>
    <t>Correo Electronico u Oficio</t>
  </si>
  <si>
    <t>Se realizó la capacitacion el 7 de febrero de 9am  a 1 pm, se aporta citacion realizada por la secretyaría juridca toda vez que no fue posible conseguir el listado de asistencia.</t>
  </si>
  <si>
    <t>patallazo citacion realizada por la secretaria juridica</t>
  </si>
  <si>
    <t>Se observa pantallazo de citación a la capacitación con la Secretaría Jurídica</t>
  </si>
  <si>
    <t>No se han realizado cambios en el apoderado del Instituto</t>
  </si>
  <si>
    <t>Para la ejecución del control, se evidencia pantallazo de invitación a capacitación de la Secretaría Jurídica.
Frente a la acción de mitigación, el proceso informa que no se han realizado cambios de apoderado.</t>
  </si>
  <si>
    <t>Realizar revisión de la normatividad vigente en materia de Patrimonio Cultural y presentar un informe cuatrimestral soportado en un Acta de las normas nuevas que impacten el desarrollo y toma de decisiones de las actividades de la Subdirección de Gestión Territorial.</t>
  </si>
  <si>
    <t>Un Acta que evidencia la revisión de la normatividad vigente en materia de Patrimonio Cultural  que impacte el desarrollo y toma de decisiones de las actividades de la Subdirección de Gestión Territorial.</t>
  </si>
  <si>
    <t>Profesional designado</t>
  </si>
  <si>
    <t>Realizar reuniones para análizar la normatividad nueva y desarrollar planes de trabajo para la actualización e implementación de la normatividad .</t>
  </si>
  <si>
    <t>Plan de trabajo para la actualización e implementación de la normatividad aplicable (Acta Normatividad nueva)</t>
  </si>
  <si>
    <t xml:space="preserve">Líder del proceso  de Gestión Territorial </t>
  </si>
  <si>
    <t xml:space="preserve">Seguimiento del contrato de logística del IDPC </t>
  </si>
  <si>
    <t>Informe de seguimiento al contrato de logistica</t>
  </si>
  <si>
    <t>cuatrimestral</t>
  </si>
  <si>
    <t>Profesional Designado</t>
  </si>
  <si>
    <t>Realizar cronogramas mensuales de las actividades de participación en los territorios e identificación de necesidades logísticas para cada una ellas</t>
  </si>
  <si>
    <t>Cronograma de actividades de participación y necesidades</t>
  </si>
  <si>
    <t>NA</t>
  </si>
  <si>
    <t>Realizar el seguimiento cuatrimetral de los actos administrativos emitidos por la Secretaria Distrital de Cultura y adelantar la respectiva modificación en la base de datos del inventario</t>
  </si>
  <si>
    <t xml:space="preserve">Captura de pantalla de la consulta de pagina de Web de Secretaria Distrital de Cultura y  del Orfeo, soporte de la copia de los actos administrativos que modifican el inventario. </t>
  </si>
  <si>
    <t>cuatrimetral</t>
  </si>
  <si>
    <t>Verificar la migración al sistema de información geográfico-SisBIC</t>
  </si>
  <si>
    <t>Los correos de remisión  de solicitud de actualizaciones al SISBIC y Captura de pantalla de actualizaciones</t>
  </si>
  <si>
    <t>Líder del proceso y Subdirector de Gestión Territorial</t>
  </si>
  <si>
    <t>Recepción mensual de las modificaciones aprobadas durante el periodo de equiparaciones estrato 1</t>
  </si>
  <si>
    <t>Base de datos mensual de la equiparaciones Estrato 1</t>
  </si>
  <si>
    <t>Actualizar  el  inventario BIC  con las modificaciones de la base de datos de las equiparaciones Estrato 1</t>
  </si>
  <si>
    <t xml:space="preserve">Base de datos del inventario actualizada </t>
  </si>
  <si>
    <t xml:space="preserve">     El riesgo afecta la imagen de la entidad internamente, de conocimiento general, nivel interno, de junta dircetiva y accionistas y/o de provedores</t>
  </si>
  <si>
    <t xml:space="preserve">El profesional designado de la Oficina Asesora de Planeación solicita el reporte del monitoreo de riesgos, monitoreo del Plan Anticorrupción y Atención a la Ciudadanía  y planes de mejoramiento indicando la fecha límite de entrega, dirigido a los líderes y enlaces MIPG de los procesos. </t>
  </si>
  <si>
    <t>Correos solicitando el reporte de información con las fechas límite de entrega</t>
  </si>
  <si>
    <t>Elaborar y enviar calendario con las fechas de presentación del monitoreo de los instrumentos de gestión.</t>
  </si>
  <si>
    <t xml:space="preserve">Calendario remitido mediante correo electrónico </t>
  </si>
  <si>
    <t>Equipo Oficina Asesora de Planeación</t>
  </si>
  <si>
    <t>Se emitió un correo electrónico por parte de la Jefe de la Oficina dirigido a los líderes de proceso y sus equipos operativos reslatando la fecha de reporte de los monitoreos a los diferentes insturmentos de planeación y control</t>
  </si>
  <si>
    <t>01 Correo de Bogotá es TIC - Fwd_ ALERTA REPORTE INSTRUMENTOS DE PLANEACIÓN Y CONTROL - MAYO</t>
  </si>
  <si>
    <t>Se generó un cronograma para la vigencia 2023 con las fechas de reporte de los monitoreos a la Oficina Asesora de Planeación de cada uno de los instrumentos de planeación y control de acuerdo con los procedimientos establecidos</t>
  </si>
  <si>
    <t>02 Correo de Bogotá es TIC - CRONOGRAMA REPORTE DE HERRAMIENTAS DE PLANEACIÓN Y GESTIÓN 2023</t>
  </si>
  <si>
    <t>Se observa evidencia de la ejecución periodica del control</t>
  </si>
  <si>
    <t>El proceso aporta evidencia de la ejecución de la acción de mitigación</t>
  </si>
  <si>
    <t>Se evidencia la ejecución del control con el correo de alerta de reporte de monitoreos.
Frente a la acción de mitigación, se observa correo de envío de cronograma de reportes.</t>
  </si>
  <si>
    <t>Una vez cumplida la fecha límite de entrega, el profesional designado de la Oficina Asesora de Planeación revisa y analiza la información reportada, si se identifican observaciones de la información reportada por los procesos, incorporarla en matriz de monitoreo y en caso que se requiera, remitir correo o informe con las observaciones  y alertas encontradas.</t>
  </si>
  <si>
    <t>Correos con las observaciones y alertas encontradas del monitoreo realizado a las herramientas de gestión.
Matriz o informe con los resultados del monitoreo
Correo electrónico con las observaciones encontradas</t>
  </si>
  <si>
    <t>Profesionales designados según procesos OAP</t>
  </si>
  <si>
    <t>Se adjuntan los correos electrónicos remitidos a los diferentes procesos que presentaron observaciones en el monitoreo de las herramientas de planeación y control durante el cuatrimestre</t>
  </si>
  <si>
    <t>Correos electrónicos con las observaciones a las herramientas de planeación y control</t>
  </si>
  <si>
    <t>El proceso aporta correos electrónicos remitidos a los líderes de los procesos con las observaciones de los instrumentos de planeación y control</t>
  </si>
  <si>
    <t>Se evidencia la ejecución del control con los correos de observaciones al reporte de monitoreos.</t>
  </si>
  <si>
    <t xml:space="preserve">El profesional designado de la Oficina Asesora de Planeación realiza el monitoreo a la ejecución del Plan de Implementación y Sostenibilidad del MIPG en el marco de la ejecución de la meta 1 del proyecto de inversión 7597 y los Planes Operativos Anuales. </t>
  </si>
  <si>
    <t xml:space="preserve">Monitoreo de los planes operativos anuales con las observaciones de la Oficina Asesora de Planeación </t>
  </si>
  <si>
    <t xml:space="preserve">Se remitieron correos de fechas 7/03/2023, 11/04/2023, con los reportes del monitoreo de Plan de Implementación del Sistema de Gestión y Control en el marco de la meta 1 del proyecto de inversión 7597. 
En tal sentido es importante indicar que en la hoja 1 de los archivos adjuntos a los correos señalados, se relaciona el monitoreo del Plan Opertaivo Anual de los procesos asociados a la meta indicada, en el cual se incoporan las observacioenes del monitoreo realizado a los Planes Operativos Anuales por parte de la Oficina Asesora de Planeación. 
</t>
  </si>
  <si>
    <t>CORREO_SEGUIMIENTO_PROYECTO_7597_MARZO
V_SEGUIMIENTO_POA_META_MAR_2023
CORREO_SEGUIMIENTO_PROYECTO_7597_META 1_FEB
V_SEGUIMIENTO_POA_META3_FEB_2023</t>
  </si>
  <si>
    <t>El proceso aporta suficiente evidencia de la ejecución del control</t>
  </si>
  <si>
    <t>El profesional de la Oficina Asesora de Planeación realiza análisis de los resultados del avance de implementación del MIPG y la Jefe de la Oficina Asesora de Planeación los  presenta al Comité Institucional de Gestión y Desempeño.
En tal sentido con los líderes de las políticas de gestión y desempeño, revisan y formulan las acciones para subsanar las debilidades contenidas en el Plan Operativo Anual de los procesos para su respectivo seguimiento.</t>
  </si>
  <si>
    <t>Plan Operativo Anual
Acta Comité Institucional de Gestión y Desempeño con la presentación de resultados de avance en la implementación del MIPG</t>
  </si>
  <si>
    <t>Profesional designado OAP
Jefe OAP</t>
  </si>
  <si>
    <t>Jornadas de revisión de los resultados de la políticas de gestión y desempeño y las acciones  a formular o formuladas en el FURAG para cumplir con la meta  de la vigencia</t>
  </si>
  <si>
    <t>Listas de asistencia de jornadas de revisión o correos electrónicos
Memorias con la información de los resultados analizados</t>
  </si>
  <si>
    <t>Profesional especializado OAP y equipo MIPG</t>
  </si>
  <si>
    <t>El control se ejecuta de forma anual</t>
  </si>
  <si>
    <t>El control se aplica de forma anual</t>
  </si>
  <si>
    <t>La acción de mitigación está programada para el siguiente periodo</t>
  </si>
  <si>
    <t>El control y la acción de mitigación se encuentran programados para un período diferente al evaluado.</t>
  </si>
  <si>
    <t>El profesional de gestión ambiental verifica que los residuos peligrosos se encuentren rotulados con rombos de seguridad en sus embalajes o empacados en bolsas de color rojo, que los diferencian de los residuos convencionales.</t>
  </si>
  <si>
    <t>Fotos de verificación del almacenamiento adecuado de los residuos peligrosos
Recomendaciones informe de residuos peligrosos</t>
  </si>
  <si>
    <t>Bimensual</t>
  </si>
  <si>
    <t>Profesional de Gestión Ambiental</t>
  </si>
  <si>
    <t>Tres (3) campañas de sensibilización ambiental que incluya funcionarios, contratistas y/o personal de servicios generales de todas sedes concertadas</t>
  </si>
  <si>
    <t xml:space="preserve">Memorias de tres campañas de sensibilización </t>
  </si>
  <si>
    <t>Jefe Oficina Asesora de Planeación / Referente de Gestión Ambiental</t>
  </si>
  <si>
    <t>Informar a la Jefe de la Oficina Asesora de Planeación, Gestor Ambiental e involucrados para que se determinen acciones que permitan dar cumplimiento a los requisitos legales.</t>
  </si>
  <si>
    <t>1 Profesional del tema ambiental  
Herramientas ofimàticas</t>
  </si>
  <si>
    <t xml:space="preserve">Profesional de gestión ambiental </t>
  </si>
  <si>
    <t>Concertar acciones orientadas al cumplimiento de los requisitos legales incumplidos</t>
  </si>
  <si>
    <t xml:space="preserve">Seguimiento al  cumplimiento de las acciones establecidas </t>
  </si>
  <si>
    <t xml:space="preserve">Registro de la comunicación generada
Acciones a realizar para el cumplimiento del requisitos legal
Evidencia de la ejecuciòn de las acciones </t>
  </si>
  <si>
    <t>En el mes de abril se realizó inspección al área de acopio de residuos peligrosos  identificando que los mismos se encontraban bien almacenados, sin embargo la capacidad de almacenamiento del área estaba llegando a su fín. Por lo anterior se emitió una alerta a la Subdirección de Gestión Corporativa para que se priorice la contratación del proveedor gestión integral de estos residuos.</t>
  </si>
  <si>
    <t>Registro fotográfico
Correo Alerta Gestión RESPEL</t>
  </si>
  <si>
    <t>Se realizó una campaña de orden y aseo por cada una de las sedes concertadas en el PIGA en la cual se habló de las 5Ss y la importancia de realizar una correcta clasificación de los residuos.</t>
  </si>
  <si>
    <t>Memoria de la campaña de sensibilización
Lista de Asistencia
Informes de inspección primer trimestre de 2023</t>
  </si>
  <si>
    <t>El proceso aporta el registro fotográfico de las áreas de acopio así como la alerta realizada frente a la gestión de residuos</t>
  </si>
  <si>
    <t>Se presentan las memorias de la capacitación, el listado de asistencia y los informes de inspección</t>
  </si>
  <si>
    <t>Se evidencia la ejecución del control con el registro fotográfico de inspección y correo de alerta de gestión de residuos peligrosos.
Frente a la acción de mitigación, se observa Lista de asistencia y memoria de campaña de orden y aseo.</t>
  </si>
  <si>
    <t xml:space="preserve">El profesional de gestión ambiental verifica que los residuos peligrosos sean entregados al proveedor de recolección autorizado y diligencia la lista de chequeo de transporte de residuos peligrosos. </t>
  </si>
  <si>
    <t>Listas de chequeo de transporte de residuos peligrosos
Acta de recolección de los residuos peligrosos firmada por el proveedor de recolección autorizado.</t>
  </si>
  <si>
    <t>Conforme a la necesidad de disposición final</t>
  </si>
  <si>
    <t>Dos (2) sensibilizaciones en reconocimiento de gestores de residuos externos, dirigida al personal de vigilancia y el personal de servicios generales.</t>
  </si>
  <si>
    <t>Dos sensibilizaciones en reconocimiento de gestores de residuos externos.</t>
  </si>
  <si>
    <t>Durante el periodo no se realizó disposición de resisduos peligrosos</t>
  </si>
  <si>
    <t>Se realizó una campaña de sensibilización en la diferenciación de los gestores de residuos peligrosos versus los gestores de los residuos convencionales aprovechables dirigida al personal encargado de la seguridad del Instituto.</t>
  </si>
  <si>
    <t>Memoria de la campaña de sensibilización
Lista de Asistencia</t>
  </si>
  <si>
    <t>Durante el periodo evaluado no se realizó disposición de residuos peligrosos</t>
  </si>
  <si>
    <t>Se adjunta la memoria de la sensibilización realizada con el registro de asistencia respectivo</t>
  </si>
  <si>
    <t>Para el control el proceso informa que no se realizó disposición de residuos peligrosos.
Frente a la acción de mitigación, se observa Lista de asistencia y memoria de sensibilización de gestores de residuos peligrosos.</t>
  </si>
  <si>
    <t>El profesional ambiental y de seguridad y salud en el trabajo se aseguran de que las hojas de datos de seguridad y ficha técnica del producto se encuentren actualizadas y disponibles en las áreas de almacenamiento de sustancias químicas por parte del personal de servicios generales.</t>
  </si>
  <si>
    <t>Àreas de almacenamiento de sustancias químicas dotadas con las hojas de datos de seguridad de los productos químicos usados (fotos).</t>
  </si>
  <si>
    <t>Profesional de Gestión Ambiental
Profesional SST</t>
  </si>
  <si>
    <t xml:space="preserve">Realizar tres (3) sensibilizaciones en manipulación responsable de sustancias químicas dirigida a integrantes del equipo de mantenimiento de monumentos y fachadas y al equipo de servicios generales </t>
  </si>
  <si>
    <t xml:space="preserve">
3 memorias de sensibilizaciones</t>
  </si>
  <si>
    <t>Durante el mes de abril se verificó que las hojas de datos de seguridad de los residuos peligrosos se encontraran en el área de acopio de dichos residuos y estuvieran actualizadas.</t>
  </si>
  <si>
    <t>Registro fotográfico</t>
  </si>
  <si>
    <t>Se realizó una sensibilización en manipulación adecuada de sustancias químicas y gestión integral de residuos dirigida al personal de servicios generales del Instituto</t>
  </si>
  <si>
    <t>Memoria de la sensibilización
Lista de Asistencia</t>
  </si>
  <si>
    <t>Se anexa informe con el registro fotográfico de las hojas de seguirdad del área de acopio de residuos peligrosos</t>
  </si>
  <si>
    <t>Se evidencia la ejecución del control con el registro fotográfico de verificación de área de acopio de residuos peligrosos.
Frente a la acción de mitigación, se observa Lista de asistencia y memoria de sensibilización de manejo integral de residuos.</t>
  </si>
  <si>
    <t xml:space="preserve">     Entre 100 y 500 SMLMV </t>
  </si>
  <si>
    <t>El profesional de gestión ambiental verifica trimestralmente la expedición de nueva normatividad ambiental aplicable a la entidad y se  actualiza la matriz de requisitos legales e informa al gestor ambiental, a la Oficina Asesora de Planeación y la Oficina Jurídica.</t>
  </si>
  <si>
    <t>Matriz de requisitos legales actualizada</t>
  </si>
  <si>
    <t>Verificar o incorporar los criterios de sostenibilidad ambiental que den cumplimiento a la normatividad ambiental vigente, en el documento de estudios previos remitido por la dependencia, según corresponda</t>
  </si>
  <si>
    <t>Comunicación en la que conste la verificación o incoporación de los criterios de sostenibilidad ambiental en los estudios previos, según corresponda</t>
  </si>
  <si>
    <t>Se realizó actualización de la matriz de requsitos legales identificando el cumplimiento de dos normas asociadas al uso eficiente de la energía.</t>
  </si>
  <si>
    <t>Matriz de requisitos legales</t>
  </si>
  <si>
    <t xml:space="preserve">Se realizó incorporación de criterios ambientales y requistos legales en la ficha técnica de los estudios previos para el proceso de contratación de los servicios de recolección, transporte y disposición final de los residuos peligrosos.
</t>
  </si>
  <si>
    <t>Copia Correo electrónico
Documento en control de cambios con los criterios ambientales incorporados</t>
  </si>
  <si>
    <t>Se evidencia la matriz de requisitos legales debidamente diligenciada</t>
  </si>
  <si>
    <t>Se evidencia ejecución de la acción de mitigación de acuerdo con la programación</t>
  </si>
  <si>
    <t>Se evidencia la ejecución del control con la matriz de requisitos legales.
Frente a la acción de mitigación, se observa correo de remisión de criterios ambientales para inclusión en el proceso de contratación.</t>
  </si>
  <si>
    <t>El profesional de gestión ambiental se reúne con los involucrados, socializando el requisito ambiental y se  toman acciones para su cumplimiento.</t>
  </si>
  <si>
    <t>Listas de asistencia de las reuniones, actas o correo electrónicos</t>
  </si>
  <si>
    <t>Bimestral</t>
  </si>
  <si>
    <t xml:space="preserve">Presentación de alertas de incumplimiento de las normas ambientales a la Alta Dirección  </t>
  </si>
  <si>
    <t xml:space="preserve">Acta del Comité o comunicación </t>
  </si>
  <si>
    <t>En el mes de febrero y en el mes de abril se remitió correo electrónico informando a la Subdirectora de Gestión Corporativa, Oficina Asesora Jurídica y a la jefe de la Oficina Asesora de Planeación, el estado de cumplimiento de los requisitos ambientales legales vigentes aplicables al Instituto</t>
  </si>
  <si>
    <t>Correo informativo febrero
Correo informativo abril</t>
  </si>
  <si>
    <t>Se realizó reunión de seguimiento para el cumplimiento normativo en materia de la implementación de aparatos de bajo consumo de agua y dispositivos de alta eficiencia energética, informando del tema a la Subdirectora de Gestión Corporativa.</t>
  </si>
  <si>
    <t>Acta de Reunión
Copia correo informativo
Ficha tecnica aparatos lumico-sanitarios eficientes</t>
  </si>
  <si>
    <t xml:space="preserve">Se adjuntan los correos electrónicos del periodo </t>
  </si>
  <si>
    <t>Se presenta acta de reunión de verificación de los requisitos, copia del correo electrónico y la ficha técnica de los productos ambientales</t>
  </si>
  <si>
    <t>Se evidencia la ejecución del control con correos de remisión del estado de cumplimiento de requisitos ambientales.
Pese a que la acción de mitigación no se encontraba programada para el período, se presenta acta de reunión entre el proceso y el gestor ambiental con el fin de indicar las necesidades para cumplir los requisitos legales.</t>
  </si>
  <si>
    <t>El profesional de gestión ambiental realiza el diagnóstico ambiental anual  en la que  se identifican o actualizan los aspectos ambientales, se evalúan los impactos ambientales  y se definen controles</t>
  </si>
  <si>
    <t>Matriz de aspectos e impactos ambientales actualizada</t>
  </si>
  <si>
    <t>Durante este periodo no fue necesaria la actualización de la matriz de identificación de aspectos y valoración de impactos ambientales. Esta actividad está programada para el tercer cuatrimestre.</t>
  </si>
  <si>
    <t>La matriz se actualiza de forma anual, y para el periodo no se requirió actualización</t>
  </si>
  <si>
    <t>De acuerdo con el monitoreo del proceso, este control no se ha ejecutado, ya que no fue necesaria la actualización de la matriz de identificación de aspectos y valoración de impactos ambientales.</t>
  </si>
  <si>
    <t>Orientar a los ciudadanos interesados en la realización de los trámites y servicios a cargo de la Subdirección de Protección e Intervención del Patrimonio, conforme a los formularios, instructivos, procedimientos y tiempos establecidos por los canales de atención que maneje la entidad.</t>
  </si>
  <si>
    <t>Resumen bitácora mensual de atención personalizada</t>
  </si>
  <si>
    <t>Capacitación sobre la misión y alcance del IDPC en relación a los trámites y servicios para los servidores del IDPC
Capactación sobre los procedimientos actualizados relacionados con los trámites a los servidores del IDPC</t>
  </si>
  <si>
    <t>2 capacitaciones</t>
  </si>
  <si>
    <t>Subdirección de protección e intervención del patrimonio</t>
  </si>
  <si>
    <t xml:space="preserve">Para este periodo en colaboración con la dependencia de Atención a la ciudadanía, se evidencia el control con el resumen de bitacora de atención personalizada de enero a marzo de 2023, en la cual se evidencia la atención a 609 ciudadanos. </t>
  </si>
  <si>
    <t>1- Bitácora Asecoria Personalizada a marzo 2023</t>
  </si>
  <si>
    <t>No se reporta avance para este período</t>
  </si>
  <si>
    <t xml:space="preserve">Se observa evidencia de la ejecución del control en el que se anexa el resumen de las atenciones realizadas en el periodo  </t>
  </si>
  <si>
    <t xml:space="preserve">Sin observaciones respecto a la ejecución del plan </t>
  </si>
  <si>
    <t>El control no cuenta con periodicidad de ejecución. 
Se evidencia la ejecución del control con bitácora de asesoría personalizada.
Frente a la acción de mitigación, el proceso informa que se tiene programada en otro cuatrimestre.</t>
  </si>
  <si>
    <t xml:space="preserve">Verificación de control urbano de intervenciones motivadas por denuncias ciudadanas o interinstitucionales </t>
  </si>
  <si>
    <t>Información a la SCRD de las obras irregulares</t>
  </si>
  <si>
    <t xml:space="preserve">
Enviar un Informe trimestral por competencia a la Secretaria de Cultura, Recreación y Deporte -SCRD para el seguimiento y vigilancia de los proyectos que se desistieron y/o negaron para verificar que no se estén realizando sin licencia o se este demoliendo el Bien</t>
  </si>
  <si>
    <t>Informe de seguimiento y control trimestral enviado a la SCRD</t>
  </si>
  <si>
    <t>Para este periodo se mantiene informada a la Secretaria de Cultura de Recreación y Deporte - SCRD; sobre las denuncias recibidas y sustentadas con visitas técnicas realizadas por el equipo de Control Urbano del  IDPC; las cuales corroboran que dichas intervenciones u obras no cuentan con el debido concepto técnico favorable por parte del IDPC.</t>
  </si>
  <si>
    <t>1- Comunicaciones SCRD ene-mar 2023</t>
  </si>
  <si>
    <t>Atendiendo al seguimeinto y control interinstitucional, se elabora y se envia a la Secretaria de Cultura de Recreación y Deporte - SCRD como entidad compentente,  el informe trimestral sobre los proyectos desistidos por el IDPC entre el 01 de enero al 31 de marzo de 2023</t>
  </si>
  <si>
    <t>1- Listado trimestral SCRD para seguimiento y vigilancia de los proyectos desistidos ene-mar 2023_x000D_
_x000D_
2- Correo enviado a la SCRD informe proyectos desistidos ene-mar 2023</t>
  </si>
  <si>
    <t xml:space="preserve">Se observa evidencia de la aplicación del control, sin embargo, para evitar confución respecto a la aplicación del control se recomienda se actualice a un aplicación diaria </t>
  </si>
  <si>
    <t xml:space="preserve">Se observa evidencia de la plicación del plan </t>
  </si>
  <si>
    <t>El control no cuenta con periodicidad de ejecución. 
Se evidencia la ejecución del control con oficios de remisión a la SCRD sobre denuncias recibidas de control urbano.
Frente a la acción de mitigación, se presenta el informe remitido de manera trimestral a la SCRD.</t>
  </si>
  <si>
    <t xml:space="preserve">Verificar la oportunidad de respuesta de solicitudes a través de la matriz de seguimiento y sistema de alarma del proceso de protección </t>
  </si>
  <si>
    <t>Informe mensual de la matriz de seguimiento
Envio de alertas tempranas</t>
  </si>
  <si>
    <t>Identificar  las razones que estén generando el retraso y retroalimentación al equipo de trabajo</t>
  </si>
  <si>
    <t xml:space="preserve">Reuniones periódicas con la Subdirectora de Protección e Intervención y/o Correos de retroalimentación  </t>
  </si>
  <si>
    <t xml:space="preserve">Para este periodo se realiza la consolidación de las diferentes solicitudes allegadas a la SPIP en la matriz de seguimiento versión 13, en la cual se puede realizar un seguimiento mensual y acumulativa sobre su trazabilidad, estado actual y la generación de alertas tempranas sobre las solicitudes próximas a vencer según la fecha de corte. </t>
  </si>
  <si>
    <t>1- Matriz consolidada V13 con corte a 15 de febrero 2023_x000D_
_x000D_
2-Matriz consolidada V13 con corte a 15 de marzo 2023_x000D_
_x000D_
3- Matriz consolidada V13 con corte a 15 de abril 2023_x000D_
_x000D_
4- Correos electrónicos enviados de las alertas tempranas por equipos</t>
  </si>
  <si>
    <t>Se presentó a la Subdirectora Arq. María Claudia Vargas, los resultados e indicadores de este cuatrimestre, donde se evidenció que persisten retrasos y dificultades de tipo contractual y financiero para la atención oportuna de las solicitudes a gestionar. Una de las razones que se identifica como constante es: _x000D_
_x000D_
 1- Que la contratación de quienes prestan los servicios profesionales de asesoría técnica, finalizó en los primeros dias de diciembre de 2022, y se dió inició en la segunda semana de febrero de 2023, un periodo en el cual la ciudadanía siguió radicando sus solicitudes, lo que justifica el represamiento actual y la inoportunidad en los tiempos de respuesta._x000D_
_x000D_
2- Que según los plazos de ejecución de los contratos de servicios profesionales de Asesoria Técnica, 11 terminan el 24 de noviembre, 20 entre el 07 y 10 de diciembre, sin posibilidad presupuestal de que los equipos de trabajo este completos al cierre de la presente vigencia, como tampoco de su continuidad inmediata en el 2024 (enero y febrero). _x000D_
_x000D_
NOTA: Se precisa que ya se adelanta el plan de mitigación para presentar en el siguiente periodo, conforme a los lineamientos recibidos por la segunda línea de defensa - OAP</t>
  </si>
  <si>
    <t>1- Listado de asistencia 24042023 _Comite Seguimiento tramites y servicios SPIP_x000D_
_x000D_
2- Presentacón Proyección Adiciones Contratistas 2023 - Componente de Asesoria Técnica_x000D_
_x000D_
3-  Listado de asistencia 14042023 - Solicitud de lineamientos sobre Plan de mitigacion-Riesgos 2023</t>
  </si>
  <si>
    <t>Se observa evidencia de la aplicación del control</t>
  </si>
  <si>
    <t xml:space="preserve">Se observa la aplicación de las acciones de mitigación, en el sentido de la identificación de posibles causas, sin embargo, es necesario adelantar la presentación y formalizacion del plan de mejoras derivado de la materialización del riesgo </t>
  </si>
  <si>
    <t>Se evidencia la ejecución del control con matriz de seguimiento a los trámites.
Frente a la acción de mitigación, se presenta lista de asistencia a reunión de seguimiento de la Subdirección, sin embargo, no se presenta acta de la misma en la cual se evidencie que se trataron los temas mencionados en el monitoreo.</t>
  </si>
  <si>
    <t>Realizar jornadas de actualización normativa</t>
  </si>
  <si>
    <t>Material de jornada
Listados de asistencia</t>
  </si>
  <si>
    <t>Con el apoyo de la Subdirección de Gestión Territorial se realiza una jornada de actualización en relación al PEMP del Centro Histórico de Bogotá, la cual es un espacio para debatir las diferentes dudas salientes de los proyectos ubicados en este sector, así como de la resolución modificatoria 092 del PEMP CHB.</t>
  </si>
  <si>
    <t>1- Grabación drive https://drive.google.com/file/d/1FOBwiPkHbtFnZ7MW-tEZnLRERqTbAKUV/view_x000D_
_x000D_
2- Listado de asistencia Taller norma PEMP CHB 16032023</t>
  </si>
  <si>
    <t>El control no cuenta con periodicidad de ejecución. 
Se evidencia la ejecución del control con lista de asistencia a taller de norma.</t>
  </si>
  <si>
    <t xml:space="preserve">Seguimiento y presentación de los proyectos de pliegos de contratos de obra, interventoria y consultoria  a los equipos ejecutores  </t>
  </si>
  <si>
    <t>Informes sobre las revisiones enviadas por correo para la formulación de pliegos de contratos de obra, interventoria y consultoria conjuntos entre el Equipo de estructuración y los profesionales de obras del IDPC</t>
  </si>
  <si>
    <t>Para este periodo no se reporta avance, debido a que actualmente la SPIP no adelanta procesos contractuales relacionados con obras, consultorias e interventorias. Se espera que para el segundo semestre, se realice la incorporación de recursos provenientes del impuesto nacional al consumo, los cuales se pretender ejecutar en el proyecto 7611 y 7612.</t>
  </si>
  <si>
    <t>No presenta avance para el periodo solamente se registra avance cualitativo</t>
  </si>
  <si>
    <t>El control no cuenta con periodicidad de ejecución. 
De acuerdo con lo informado por el proceso, no se reporta avance debido a que actualmente la SPIP no adelanta procesos contractuales relacionados con obras, consultorias e interventorias.</t>
  </si>
  <si>
    <t xml:space="preserve">Anualmente, el asesor de control interno prioriza los seguimientos y auditorías a realizar en la vigencia de acuerdo con el recurso humano disponible, así mismo alerta al Comité Institucional de Coordinación de Control Interno para la toma de decisiones. </t>
  </si>
  <si>
    <t xml:space="preserve">Matriz de priorización de seguimientos
Acta del Comité Institucional de Coordinación de Control Interno </t>
  </si>
  <si>
    <t>Asesor(a) de Control Interno</t>
  </si>
  <si>
    <t xml:space="preserve">Actualizar el mapa de aseguramiento para que sea tenido en cuenta para la priorización de las auditorías y seguimientos </t>
  </si>
  <si>
    <t>Mapa de aseguramiento actualizado</t>
  </si>
  <si>
    <t>Asesora de Control Interno</t>
  </si>
  <si>
    <t>El 19 de enero de 2023 en Comité de Control Interno se presentó la priorización de auditorías.
De igual manera, en la tercera sesión del comité llevada a cabo el 28 de marzo de 2023, se realizó presentación de los informes generados entre enero y febrero de 2023.</t>
  </si>
  <si>
    <t>Matriz de priorización y acta Comité de Control Interno 001 de 2023
Acta Comité de Control Interno 003 de 2023</t>
  </si>
  <si>
    <t>Se inició a trabajar en la actualización del mapa de aseguramiento, para lo cual se llevó a cabo reunión con la Oficina Asesora de Planeación el 31 de marzo de 2023, de la cual quedaron algunos compromisos.</t>
  </si>
  <si>
    <t>Imvitación y correo electrónico de compromisos.</t>
  </si>
  <si>
    <t>De acuerdo  con los soportes aportados se evidencia la aplicación del control.</t>
  </si>
  <si>
    <t xml:space="preserve">Se presentan avances en la ejecución de la acción de mitigación. </t>
  </si>
  <si>
    <t>Se mantienen las observaciones realizadas por la OAP como segunda línea de defensa.</t>
  </si>
  <si>
    <t>En cada seguimiento o auditoría, el equipo auditor diseña y aplica  las herramientas que facilitan su ejecución.</t>
  </si>
  <si>
    <t>Papeles de trabajo diseñados y aplicados para cada seguimiento y/o Informes de seguimiento o evaluación</t>
  </si>
  <si>
    <t>Cada vez que se ejecuta un seguimiento o auditoría</t>
  </si>
  <si>
    <t>Equipo de Control Interno</t>
  </si>
  <si>
    <t xml:space="preserve">Revisar los procedimientos y formatos del proceso de seguimiento y evaluaciòn, verificando la posibilidad de simplificación de los mismos  </t>
  </si>
  <si>
    <t xml:space="preserve">Procedimientos y formatos revisados y actualizados </t>
  </si>
  <si>
    <t>Se cuenta con los papeles de trabajo de Seguimiento Riesgos de Corrupción y de Gestión, Evaluación a la Gestión Anual por Dependencias, Seguimiento PAAC, Informe Pormenorizado, Seguimiento Metas PDD, PAA y POAI, Seguimiento Ley de transparencia y Acceso a la Información Pública del tercer cuatrimestre de 2022, Informe de Gestión Control Interno 2022, Evaluación Control Interno Contable 2022, Seguimiento Directiva 008 de 2021 vigencia 2022, Seguimiento Plan de Mejoramiento tercer cuatrimestre 2022, Seguimiento PQRS segundo semestre de 2022, Seguimiento Austeridad en el Gasto Público cuarto trimestre 2022, Seguimiento Derechos de Autor software 2022 y Auditoría Especial Servicio de Aseo y Cafetería.</t>
  </si>
  <si>
    <t>Papeles de trabajo de: 
1. Seguimiento Riesgos de Corrupción y de Gestión tercer cuatrimestre 2022
2. Evaluación a la Gestión Anual por Dependencias 2022
3. Seguimiento PAAC  tercer cuatrimestre 2022 
4. Informe Pormenorizado segundo semestre 2022 
5. Seguimiento Metas PDD, PAA y POAI segundo semestre 2022 
6. Seguimiento Ley de transparencia y Acceso a la Información Pública del tercer cuatrimestre de 2022
7. Informe de Gestión Control Interno 2022
8. Evaluación Control Interno Contable 2022
9. Seguimiento Directiva 008 de 2021 vigencia 2022
10. Seguimiento Plan de Mejoramiento tercer cuatrimestre 2022
11. Seguimiento PQRS segundo semestre de 2022
12. Seguimiento Austeridad en el Gasto Público cuarto trimestre 2022
13. Seguimiento Derechos de Autor software 2022.
14. Auditoría Especial Servicio de Aseo y Cafetería.</t>
  </si>
  <si>
    <t>Se revisaron los procedimientos los días 11 y 14 de abril de 2023, en las cuales se actualizaron los procedimientos "Auditorías Internas" y "Seguimientos", que se encuentran en organización del formato para ser presentados a la Oficina Asesora de Planeación.</t>
  </si>
  <si>
    <t>Invitaciones y listas de asistencia</t>
  </si>
  <si>
    <t>El Asesor de Control Interno, deterrmina los requisitos de contratación del auditor y verifica el cumplimiento de los mismos para asegurar la competencia del equipo auditor frente al desarrollo de las auditorías, evaluaciones o seguimientos.</t>
  </si>
  <si>
    <t>Correo electrónico remitido por el/la asesor control interno con los requisitos de auditor a contratar.</t>
  </si>
  <si>
    <t>Cada vez que se genere una contratación</t>
  </si>
  <si>
    <t xml:space="preserve">Divulgar las directrices para la preparación, el envío organizado de la información de la auditoría o seguimiento y las respuestas del informe preliminar. </t>
  </si>
  <si>
    <t xml:space="preserve">Listas de asistencias, actas o correos electrónicos </t>
  </si>
  <si>
    <t>Asesor de Control Interno</t>
  </si>
  <si>
    <t>Este control se ejecutará al finalizar la vigencia</t>
  </si>
  <si>
    <t>En los meses de febrero y marzo se ejecutó la campaña de autocontrol “monitoreos efectivos y cómo responder auditorías”, en la cual se divulgaron las directrices para la preparación, el envío organizado de la información de la auditoría o seguimiento y las respuestas del informe preliminar.</t>
  </si>
  <si>
    <t>Correo electrónico de remisión de la pieza divulgada, invitaciones y listas de asistencia.</t>
  </si>
  <si>
    <t>El control solo se puede aplicar a final de año o al realizar un cambio de auditor(a).</t>
  </si>
  <si>
    <t xml:space="preserve">De acuerdo con los soportes aportados se evidencia la ejecución de la acción de mitigación, </t>
  </si>
  <si>
    <t>Cada vez que se requiera aplicar el muestreo, el auditor determina la muestra de auditoría o seguimiento, con base en la información recibida, la cual es revisada por el asesor de control interno.</t>
  </si>
  <si>
    <t>Herramienta de muestreo como parte de los papeles de trabajo de la auditoría o seguimiento.</t>
  </si>
  <si>
    <t>Cada vez que se requiera un muestreo</t>
  </si>
  <si>
    <t>Auditor Interno</t>
  </si>
  <si>
    <t xml:space="preserve">Establecer el contacto con un profesional adicional al Jefe o Subdirector(a) de la dependencia para mantener comunicación en el marco del Sistema de Control Interno </t>
  </si>
  <si>
    <t>Correo electrónico de solicitud de designación del enlace del Sistema de Control Interno 
Conformación de los enlaces del Sistema de Control Interno</t>
  </si>
  <si>
    <t xml:space="preserve">Durante el cuatrimestre se realizó muestreo en Austeridad del Gasto Público del cuarto trimestre de 2022, Seguimiento PQRS del segundo semestre de 2022. </t>
  </si>
  <si>
    <t>Muestra seguimientos: 
1. Austeridad en el gasto público IV trimestre 2022
2. PQRS II semestre 2022</t>
  </si>
  <si>
    <t>Se remitió correo electrónico de solicitud de designación de enlace a las diferentes Subdirecciones y Oficinas el día 03 de febrero de 2023.</t>
  </si>
  <si>
    <t>Correo electrónico de solicitud con las debidas respuestas por cada Subdirección.</t>
  </si>
  <si>
    <t>El auditor solicitará con mínimo tres (3) días hábiles de antelación la información a los responsables de procesos, procedimientos y/o actividades.
El auditor revisa la documentación previa a la ejecución de la evaluación o seguimiento, estudiando y analizando información y datos relacionados con el objeto de seguimiento evaluación, tales como normatividad aplicable, seguimientos anteriores, riesgos asociados, indicadores entre otros.</t>
  </si>
  <si>
    <t xml:space="preserve">Comunicaciones internas de solicitud y reporte de información. </t>
  </si>
  <si>
    <t>Las solicitudes de información se realizaron con mínimo 3 días de antelación para Seguimiento Riesgos de Corrupción y de Gestión Tercer cuatrimestre de 2022, Evaluación a la Gestión Anual por Dependencias 2022, Seguimiento PAAC Tercer cuatrimestre de 2022, Seguimiento Metas PDD, PAA y POAI Segundo semtre 2022, Seguimiento Ley de transparencia y Acceso a la Información Pública del tercer cuatrimestre de 2022,  Evaluación Control Interno Contable 2022, Seguimiento Plan de Mejoramiento tercer cuatrimestre 2022, Seguimiento PQRS segundo semestre de 2022, Seguimiento Austeridad en el Gasto Público cuarto trimestre 2022, Seguimiento Derechos de Autor software 2022, Seguimiento Audiencia Pública de Rendición de Cuentas Sectorial 2022 y Auditoría Especial Servicio de Aseo y Cafetería.</t>
  </si>
  <si>
    <t>Solicitud de información de:
1. Seguimiento Riesgos de Corrupción y de Gestión Tercer cuatrimestre de 2022
2. Evaluación a la Gestión Anual por Dependencias 2022
3. Seguimiento PAAC Tercer cuatrimestre de 2022
4. Seguimiento Metas PDD, PAA y POAI Segundo semtre 2022
5. Seguimiento Ley de transparencia y Acceso a la Información Pública del tercer cuatrimestre de 2022
6. Evaluación Control Interno Contable 2022
7. Seguimiento Plan de Mejoramiento tercer cuatrimestre 2022
8. Seguimiento PQRS segundo semestre de 2022
9. Seguimiento Austeridad en el Gasto Público cuarto trimestre 2022
10. Seguimiento Derechos de Autor software 2022
11. Seguimiento Audiencia Pública de Rendición de Cuentas Sectorial 2022
12. Auditoría Especial Servicio de Aseo y Cafetería</t>
  </si>
  <si>
    <t>De acuerdo con los soportes aportados, se evidencia el cumplimiento de los controles</t>
  </si>
  <si>
    <t xml:space="preserve">Cada vez que se emita un informe de seguimiento y auditoría, el/la asesor(a) de control interno revisa el informe preliminar y definitivo de la auditoría y  seguimientos, remitiendo las observaciones que consideren pertinentes.  </t>
  </si>
  <si>
    <t xml:space="preserve">Correo electrónico de remisión del informe preliminar
Informe final radicado </t>
  </si>
  <si>
    <t>Se realiza revisión del informe preliminar y final, para lo cual se incluyen los ajustes del Asesor de Control Interno y se remite desde su correo el informe preliminar y el final, desde su Orfeo para: Informe de gestión y actividad de auditoría interna Seguimiento Riesgos de Corrupción y de Gestión, Evaluación a la Gestión Anual por Dependencias, Seguimiento PAAC, Informe Pormenorizado, Seguimiento Metas PDD, PAA y POAI, Seguimiento Ley de transparencia y Acceso a la Información Pública del tercer cuatrimestre de 2022, Informe de Gestión Control Interno 2022, Evaluación Control Interno Contable 2022, Seguimiento Directiva 008 de 2021 vigencia 2022, Seguimiento Plan de Mejoramiento tercer cuatrimestre 2022, Seguimiento PQRS segundo semestre de 2022, Seguimiento Austeridad en el Gasto Público cuarto trimestre 2022, Seguimiento Derechos de Autor software 2022, Seguimiento Audiencia Pública de Rendición de Cuentas Sectorial 2022 y Auditoría Especial Servicio de Aseo y Cafetería.</t>
  </si>
  <si>
    <t>Correos electrónicos de envío informe preliminar y radicados de informe final de:
1. Informe de gestión y actividad de auditoría interna Seguimiento Riesgos de Corrupción y de Gestión tercer cuatrimestre 2022
2. Evaluación a la Gestión Anual por Dependencias 2022
3. Seguimiento PAAC segundo semestre 2022
4. Informe Pormenorizado segundo semestre 2022
5. Seguimiento Metas PDD, PAA y POAI segundo semestre 2022
6. Seguimiento Ley de transparencia y Acceso a la Información Pública del tercer cuatrimestre de 2022
7. Informe de Gestión Control Interno 2022
8. Evaluación Control Interno Contable 2022
9. Seguimiento Directiva 008 de 2021 vigencia 2022
10. Seguimiento Plan de Mejoramiento tercer cuatrimestre 2022
11. Seguimiento PQRS segundo semestre de 2022
12. Seguimiento Austeridad en el Gasto Público cuarto trimestre 2022 
13. Seguimiento Derechos de Autor software 2022
14. Seguimiento Audiencia Pública de Rendición de Cuentas Sectorial 2022.
15. Auditoría Especial Servicio de Aseo y Cafetería</t>
  </si>
  <si>
    <t xml:space="preserve">No se tiene programada acción de mitigación. </t>
  </si>
  <si>
    <t>Formato Mapa Riesgos  - Controles Riesgos de Corrupción</t>
  </si>
  <si>
    <t>Análisis del riesgo inherente</t>
  </si>
  <si>
    <t>Probabilidad</t>
  </si>
  <si>
    <t>Si el riesgo de corrupción se materializa podría…</t>
  </si>
  <si>
    <t xml:space="preserve">Referencia </t>
  </si>
  <si>
    <t>Nivel</t>
  </si>
  <si>
    <t>Descriptor</t>
  </si>
  <si>
    <t>¿Afectar al grupo de funcionarios del proceso?</t>
  </si>
  <si>
    <t>¿Afectar el cumplimiento de metas y objetivos de la dependencia?</t>
  </si>
  <si>
    <t>¿Afectar el cumplimiento de la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</si>
  <si>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</si>
  <si>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</si>
  <si>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</si>
  <si>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</si>
  <si>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</si>
  <si>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</si>
  <si>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</si>
  <si>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</si>
  <si>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</si>
  <si>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</si>
  <si>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</si>
  <si>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cedibilidad del sector?</t>
  </si>
  <si>
    <t>¿Generar lesiones físicas o pérdida de vidas humanas?</t>
  </si>
  <si>
    <t>¿Afectar la imagen regional?</t>
  </si>
  <si>
    <t>¿Afectar la imagen nacional?</t>
  </si>
  <si>
    <t>¿Generar daño ambiental?</t>
  </si>
  <si>
    <t>Suma "Sí"</t>
  </si>
  <si>
    <t>Concatenación Probabilidad e Impacto</t>
  </si>
  <si>
    <t>Valoración del Riesgo</t>
  </si>
  <si>
    <t>Naturaleza</t>
  </si>
  <si>
    <t>¿Existen manuales, instructivos o procedimientos para el manejo del control?</t>
  </si>
  <si>
    <t>Puntaje ¿Existen manuales, instructivos o procedimientos
para el manejo del control?</t>
  </si>
  <si>
    <t>¿Está(n) definido(s) el(los) responsable(s) de la ejecución del control y del seguimiento?</t>
  </si>
  <si>
    <t>Puntaje ¿Está(n) definido(s) el(los) responsable(s) de la
ejecución del control y del seguimiento?</t>
  </si>
  <si>
    <t>¿El control es automático?</t>
  </si>
  <si>
    <t>Puntaje ¿El control es automático?</t>
  </si>
  <si>
    <t>¿El control es manual?</t>
  </si>
  <si>
    <t>Puntaje ¿El control es manual?</t>
  </si>
  <si>
    <t>¿La frecuencia de ejecución del control y seguimiento es adecuada?</t>
  </si>
  <si>
    <t>Puntaje ¿La frecuencia de ejecución del control y
seguimiento es adecuada?</t>
  </si>
  <si>
    <t>¿Se cuenta con evidencias de la ejecución y seguimiento del control?</t>
  </si>
  <si>
    <t>Puntaje ¿Se cuenta con evidencias de la ejecución y
seguimiento del control?</t>
  </si>
  <si>
    <t>¿En el tiempo que lleva la herramienta ha demostrado ser efectiva?</t>
  </si>
  <si>
    <t>Puntaje ¿En el tiempo que lleva la herramienta ha demostrado ser efectiva?</t>
  </si>
  <si>
    <t>Calificación Controles</t>
  </si>
  <si>
    <t>Puntaje e disminuir</t>
  </si>
  <si>
    <t>Nivel Probailidad Residual</t>
  </si>
  <si>
    <t>Descriptor Probailidad Residual</t>
  </si>
  <si>
    <t>Concatenación riesgo residual</t>
  </si>
  <si>
    <t>Fraude Interno</t>
  </si>
  <si>
    <t>Certificar las entradas y autorizar las salidas de bienes de las instalaciones del Instituto.</t>
  </si>
  <si>
    <t xml:space="preserve">Carta de certificación de las especificaciones técnicas del responsable para el registro de recibido, o 
Formato de pedido autorizado por el supervisor de cada dependencia; o soporte al requerimiento de mesa de ayuda. </t>
  </si>
  <si>
    <t>Socializar los procedimientos para el recibo y retiro de bienes del Instituto.</t>
  </si>
  <si>
    <t xml:space="preserve">Elaborar reporte al ordenador del gasto de la ocurrencia del hecho y, si es pertinente, a Control Disciplinario o a personería, o al supervisor, según sea el caso. </t>
  </si>
  <si>
    <t>No se requieren recursos adicionales</t>
  </si>
  <si>
    <t>Entregar la documentación y atender los requerimientos que se presenten por parte de quien esté realizando la investigación.</t>
  </si>
  <si>
    <t>Se realiza la aplicación del movimiento contable de acuerdo con el resultado de la investigación.</t>
  </si>
  <si>
    <t>Movimiento contable aplicado y comprobante contable con soporte del resultado de la investigación.</t>
  </si>
  <si>
    <t>Frente al control del riesgo se certificaron las entradas y se autorizaron las salidas de bienes de las instalaciones del Instituto.</t>
  </si>
  <si>
    <t>Se adjunta las certificaciones de cumplimiento de especificaciones tecnicas y solicitudes de entrada de bienes al almacen por parte de los supervidores de contratos y se adjunta planilla de autorizacion de entrada de personal y translados de bienes de las sedes del instituto</t>
  </si>
  <si>
    <t>Se evidencia ejecución del control de acuerdo con las evidencias aportadas por el proceso</t>
  </si>
  <si>
    <t>No está programada para el periodo</t>
  </si>
  <si>
    <t>Se evidencia la ejecución del control, con las certificaciones de cumplimiento de especificaciones técnicas remitidas por los supervisores para los ingresos a Almacén, así como, la bitácora de ingreso y salida de elementos.
Frente a la acción de mitigación, la misma no se encuentra programada para el período evaluado.</t>
  </si>
  <si>
    <t xml:space="preserve">El profesional de atención a la ciudadanía verifica la armonización de la información que se encuentra publicada en la Guía de Trámites y Servicios, la página web y el Sistema Único de Gestión de Trámites -SUIT- a través de correos electrónicos que se envían mensualmente a las dependencias misionales para que certifiquen la veracidad de la información que se encuentra publicada. </t>
  </si>
  <si>
    <t xml:space="preserve">Correos electrónicos mensuales de certificación de las información de trámites y servicios remitidos a la depedencias misionales que lideran trámites y servicios. 
Certificación de la información en la Guía de Trámites y Servicios </t>
  </si>
  <si>
    <t xml:space="preserve">Promocionar o socializar el protocolo de la política antisoborno y el protocolo para la atención de denuncias de actos de corrupción a colaboradores de la entidad y a la ciudadanía. </t>
  </si>
  <si>
    <t>Profesional Atención a la Ciudadanía</t>
  </si>
  <si>
    <t xml:space="preserve">Reportar los casos al responsable de Control interno Disciplinario 
Abrir investigación preliminar por las denuncias recibidas por presuntos actos de corrupción derivados del cobro o pagos indebidos durante la prestación del servicio de atención a la ciudadanía. </t>
  </si>
  <si>
    <t xml:space="preserve">Personal Control interno Disciplinario </t>
  </si>
  <si>
    <t xml:space="preserve">Control Interno disciplinario </t>
  </si>
  <si>
    <t xml:space="preserve">Informar a las autoridades competentes para realizar las investigaciones correspondientes. </t>
  </si>
  <si>
    <t>Continuar con el proceso de investigación disciplinaria</t>
  </si>
  <si>
    <t xml:space="preserve">Para los meses de enero, febrero, marzo y abril se gestionó y emitió el oficio remisorio y el certificado de confiabilidad de la información de la guía de trámites y servicios.   </t>
  </si>
  <si>
    <t>Oficios remisorios y certificados de confiabilidad de enero a abril.</t>
  </si>
  <si>
    <t xml:space="preserve">De acuerdo con la programación del POA del proceso, ya se realizó la divulgación del protocolo para la atención de denuncias de actos de corrupción a las personas usuarias de trámites y servicios del IDPC. La socialización del protocolo de la política antisoborno, de acuerdo con el POA, se realizará en el sigiente cuatrimestre.  </t>
  </si>
  <si>
    <t>Pieza de comunicación diseñada y el correo de difusión.</t>
  </si>
  <si>
    <t xml:space="preserve">Se observa correo de divulgación dirigidos a ciudadanos, de acuerdo con lo definido en la actividad </t>
  </si>
  <si>
    <t>Se evidencia la ejecución del control, con los oficios de remisión mensual de los certificados de confiabilidad de la información.
En cuanto a la acción de mitigación, se reporta la socialización del protocolo de denuncias de actos de corrupción a la ciudadanía. La socialización dirigida a los colaboradores del IDPC, así como, la socialización de la política antisoborno, de acuerdo con lo informado por el proceso, se realizará en un período diferente al evaluado.</t>
  </si>
  <si>
    <t>Gestionar la revisión de decisiones de fondo (archivos y fallos) por un profesional diferente a quien tramitó el proceso.</t>
  </si>
  <si>
    <t>Pantallazo del histórico del trámite de la decisión dentro del aplicativo Orfeo.</t>
  </si>
  <si>
    <t>Incluir en el procedimiento de Control Disciplinario Interno, un punto de control para la revisión de autos de archivo y de fallos.</t>
  </si>
  <si>
    <t>Profesional de Control Disciplinario Interno.</t>
  </si>
  <si>
    <t>Informar a la Dirección General y/o entes de Control Externos.</t>
  </si>
  <si>
    <t>Persona que haya detectado la conducta irregular</t>
  </si>
  <si>
    <t>Aportar las evidencias que demuestran el hecho</t>
  </si>
  <si>
    <t>Hacer seguimiento a los trámites efectuados ante las autoridades que se pusieron en conocimiento y atender los requerimientos relacionados.</t>
  </si>
  <si>
    <t xml:space="preserve">evidencia de los tramites adelantados </t>
  </si>
  <si>
    <t xml:space="preserve">Durante el primer cuatrimestre del año 2023, la Oficina de Control Disciplinario Interno profirio 23 desiciones de fondos entre los que encontramos 4 nulidades y 19  autos de archivos y terminación. </t>
  </si>
  <si>
    <t>Se adjunta pantallazo de orfeos donde se evidencia la trazabilidad de los autos proferidos.</t>
  </si>
  <si>
    <t>20 expedientes</t>
  </si>
  <si>
    <t>23 expedientes</t>
  </si>
  <si>
    <t>Durante este cuatrimestre se gestiono el seguimiento al tramite procesal.</t>
  </si>
  <si>
    <t>Adjunto cuadro excel del tramite procesal.</t>
  </si>
  <si>
    <t>Se observa la trazabilidad de los autos proferidos a través de la evidencia aportada</t>
  </si>
  <si>
    <t>Se presentan los trámites procesales de enero a abril</t>
  </si>
  <si>
    <t>Se evidencia la ejecución del control, con los autos proferidos
En cuanto a la acción de mitigación, se reporta la relación de los trámites procesales realizados entre enero y abril de 2023.</t>
  </si>
  <si>
    <t xml:space="preserve">Realizar sensibilizaciones de transparencia e integridad en la apertura y audiencia de adjudicación de los procesos contractuales de acuerdo con la Directiva 003 de 2021 
</t>
  </si>
  <si>
    <t xml:space="preserve">Lista de asistencia o acta  de apertura con ayudas audivisuales </t>
  </si>
  <si>
    <t>Dos(2) Tips para la prevención de la corrupción en la contratación de la entidad</t>
  </si>
  <si>
    <t>Se aclara que el espacio de sensibilización de las conductas prohibidas a los contratistas en el marco de la lucha anticorrupción y lineamientos de la Directiva 003 de 2021, se realiza en las audiencias de adjudicación, por lo que se informa que durante el primer trimestre de 2023 no se han realizado audiencias de adjudicación.</t>
  </si>
  <si>
    <t>el 28 de abril se remitió un correo a los contratistas y funcionrios del IDPC, con tips para prevenir la corrupción.</t>
  </si>
  <si>
    <t>No se han llevado a cabo audiencias de adjuntación y no se han realizado capacitaciones anticorrupción. Razón por la que no se evidnecia la ejecución del control.</t>
  </si>
  <si>
    <t xml:space="preserve">De acuerdo con los soportes aportados se evidencia el cumplimiento de la acción de mitigación. </t>
  </si>
  <si>
    <t>En cuanto al control, el proceso manifiesta que no se han presentado audiencias de adjudicación para realizar la socialización.
Frente a la acción de mitigación, se presenta infografía para prevenir la corrupción, quedando pendiente solo 1 entregable de esta acción.</t>
  </si>
  <si>
    <t>Establecer una obligación en los estudios previos de los contratos de prestación de servicios y apoyo a la gestión en la que el CONTRATISTA se obliga a acceder y a leer el contenido del plan anticorrupción y de atención al ciudadano, y el Código de Integridad del Servicio Público, contenidos en el Decreto Distrital 118 de 2018 y la Ley 2016 de 2020</t>
  </si>
  <si>
    <t>Matriz con el link de secop en el que se encuentran los estudios previos que contienen la obligación</t>
  </si>
  <si>
    <t>Se incorporaron las siguientes obligaciones para el contratista, en la totalidad de los contratos de prestación de servicios profesionales y de apoyo a la gestión suscritos por el IDPC: 
25.        El CONTRATISTA se obliga a informar en cualquier tiempo al CONTRATANTE sobre hechos que amenacen la transparencia en la ejecución contractual. Entre otros, el CONTRATISTA deberá informar al CONTRATANTE sobre la existencia de investigaciones judiciales o administrativas y su estado, providencias judiciales como medidas de aseguramiento o cautelares, condenas o aplicación de principios de oportunidad que involucren al contratista, tanto en Colombia como en el extranjero, siempre que se trate de conductas correspondientes a delitos contra la fe pública, el orden económico social, la administración pública, y contra la eficaz y recta impartición de justicia, previstos en la ley penal colombiana o en la del Estado en el que se encuentre domiciliado el CONTRATISTA. También deberá proveer dicha información en los casos en que las conductas se enmarquen en aquellas que los Estados se han comprometido a sancionar bajo el marco de la Convención Internacional de Lucha contra la Corrupción, la Convención Interamericana de Lucha contra la Corrupción, y la Convención de Lucha contra El Cohecho de Funcionarios Públicos en el Extranjero, de la Organización para la Cooperación y el Desarrollo Económicos (OECD). En ejercicio de las facultades de dirección y control del CONTRATANTE será deber del CONTRATISTA suministrar en cualquier tiempo al CONTRATANTE la información que le sea requerida en relación con su participación con “Actos de Corrupción”, bien sea presuntos o demostrados. Esta información será salvaguardada en su confidencialidad y en todo caso se garantizará el debido proceso y la presunción de inocencia. 
26.        Igualmente, el CONTRATISTA se obliga a acceder y a leer el contenido del plan anticorrupción y de atención al ciudadano, y el Código de Integridad del Servicio Público, contenidos en el Decreto Distrital 118 de 2018 y la Ley 2016 de 2020, motivo por el cual se compromete a respetar y a acatar en su integridad los principios y lineamientos allí establecidos y de manera expresa se obliga a abstenerme de dar, prometer, ofrecer, entregar, solicitar, exigir o aceptar, directa o indirectamente, contraprestaciones provenientes o destinadas al CONTRATANTE o a sus representantes y, en general, a cualquier persona natural o jurídica con las que interactúe en el marco de la ejecución de los servicios, con el fin de obtener una ventaja indebida en provecho propio o de un tercero. Sin perjuicio de lo previsto en el parágrafo 1º del artículo 9 de la Ley 80 de 1993, modificado por el artículo 6 de la Ley 2014 de 2019, el CONTRATANTE podrá terminar unilateralmente la relación con el CONTRATISTA en aquellos eventos en los que haya sido condenado o le haya sido concedido un principio de oportunidad por actos de corrupción, incluidos los delitos contra la fe pública, el orden económico social, la administración pública, y contra la eficaz y recta impartición de justicia.</t>
  </si>
  <si>
    <t>Se observa la matriz de contratos de enero a abril</t>
  </si>
  <si>
    <t>No se programó acción de mitigación.</t>
  </si>
  <si>
    <t>Para la ejecución del control, se evidencia matriz en la cual se relaciona el link a los estudios previos de todos los procesos contractuales por prestación de servicios personales, donde se incluyen las obligaciones mencionadas por el proceso en su monitoreo.</t>
  </si>
  <si>
    <t>Aplicar el procedimiento de vinculaciones para los aspirantes que se vinculan al Instituto.</t>
  </si>
  <si>
    <t>Formatos de:
- Verificación de Requisitos Mínimos
- Declaración Anual de Conflicto de Interés</t>
  </si>
  <si>
    <t>Aplicación Formato Lista de chequeo de documentos para nombramiento.</t>
  </si>
  <si>
    <t>Denunciar ante los entes de control internos y externos sobre la ocurrencia del hecho.</t>
  </si>
  <si>
    <t>La persona que haya detectado la situación.</t>
  </si>
  <si>
    <t>Allegar las evidencias que demuestran la ocurrencia del hecho.</t>
  </si>
  <si>
    <t>Atender los requerimientos de los órganos ante quienes se efectuó la denuncia.</t>
  </si>
  <si>
    <t>Definición por parte de los órganos competentes.</t>
  </si>
  <si>
    <t>Respecto a los 35 personas que ingresaron a la entidad durante el I cuatrimestre de 2023, se les realizó el estudio de verificación de requisitos mínimos para el cargo al cual aspiraban y así mismo se les solicitó la presentación de la declaración de conflicto de intereses del SIDEAP.</t>
  </si>
  <si>
    <t>Se adjuntan los Formatos de Verificación de Requisitos Mínimos y Declaración Anual de Conflicto de Interés de las personas que ingresaron durante el I cuatrimeste de 2023.</t>
  </si>
  <si>
    <t>Por demanda. En el I cuatrimestre se produjeron 32 ingresos en la entidad.</t>
  </si>
  <si>
    <t>32 listas de chequeo para nombramiento</t>
  </si>
  <si>
    <t>Se envío el listado de de chequeo para nombramiento a los aspirantes a cargos del IDPC (nueva planta). Los aspirantes envian el documento referido debidamente dilignciado.</t>
  </si>
  <si>
    <t>Se adjunta en la carpeta las listas de chequeo para nombramiento aportadas por los nombrados en provisionalidad.</t>
  </si>
  <si>
    <t>Se evidencian las carpetas de los nuevos servidores con el formato de VRM y de conflicto de interés debidamente diligenciado</t>
  </si>
  <si>
    <t>Se adjuntan las carpetas con las listas de chequeo de los documentos para nombramiento de los servidores que ingresaron a la planta</t>
  </si>
  <si>
    <t>Se evidencia la ejecución del control, con los formatos de verificación de requisitos y declaración conflictos de interés para cada nombramiento. Se resalta que la revisión no evalúa el contenido de los mismos.
Frente a la acción de mitigación, se adjuntan las listas de chequeos de los documentos de cada nombramiento</t>
  </si>
  <si>
    <t>Fraude Externo</t>
  </si>
  <si>
    <t xml:space="preserve">1.Capacitación a funcionarios y colaboradores del Instituto Distrital de Patrimonio Cultural en la aplicación de buenas prácticas en los procesos y politicas de gestión documental.
2. Hacer seguimiento a los prestamos solicitados a los usuarios internos y externos. </t>
  </si>
  <si>
    <t>Presentación, invitación y/o listado de asistencia a las capacitaciones. 
Planillas  de prestamo usuarios internos y/o externos</t>
  </si>
  <si>
    <t xml:space="preserve">Actualizar el procedimiento y  Formato Planilla de consulta y préstamo de documentos para usuarios externos e internos, (incluyendo un punto de control y de registro que permita la identificación de si corresponde a información clasificada y reservada, teniendo en cuenta el habeas data) </t>
  </si>
  <si>
    <t xml:space="preserve">Profesional en Gestión Documental
</t>
  </si>
  <si>
    <t>Realizar la revisión de la posible perdida de expediente o documento según sea el caso</t>
  </si>
  <si>
    <t>Funcionarios y colaboradores capacitados con conocimiento en Gestión Documental</t>
  </si>
  <si>
    <t xml:space="preserve">Profesional en Gestión Documental
</t>
  </si>
  <si>
    <t xml:space="preserve">En primera instancia se debe informar a  la oficina de control Interno disciplinario  del hecho </t>
  </si>
  <si>
    <t xml:space="preserve">Reconstrucción total del expediente y evaluar al personal si es idoneo o no para el cargo </t>
  </si>
  <si>
    <t>Expediente recostruido y con soporte del perjucio presentado por la falta de información.</t>
  </si>
  <si>
    <t>No se registra avance en la actividad de control, esta en proceso de actualización el formato de consulta y prestamo el cual su reporte se vera reflejado para el segundo cuatrimestre.</t>
  </si>
  <si>
    <t>De acuerdo con la descripción cualitativa no se realizó la aplicación del control en el cuatrimestre.</t>
  </si>
  <si>
    <t>No se reporta avance en la ejecución de las acciones de mitigación.</t>
  </si>
  <si>
    <t>En cuanto al control el proceso manifiesta no haber realizado la acción.
No se evidencia reporte de monitoreo de la acción de mitigación por parte de la primera línea de defensa.</t>
  </si>
  <si>
    <t xml:space="preserve">Los supervisores de contrato y sus apoyos y profesional especializado de tesorería aplican los lineamientos y directrices establecidos en el  procedimiento de pagos. </t>
  </si>
  <si>
    <t xml:space="preserve">Queda la trazabilidad en orfeo de cada pago (como evidencia se entrega la relacion de pagos) </t>
  </si>
  <si>
    <t xml:space="preserve">Gestionar una capacitación en temas de gestión financiera. </t>
  </si>
  <si>
    <t>Profesional especializado tesorería</t>
  </si>
  <si>
    <t xml:space="preserve">Comunicar al jefe inmediato, los pagos realizados sin soportes requeridos </t>
  </si>
  <si>
    <t>profesional de gestión financiera</t>
  </si>
  <si>
    <t>Cualquier profesional de gestión financiera</t>
  </si>
  <si>
    <t xml:space="preserve">Con el jefe inmediato realizar seguimiento de las situaciones encontradas,  identificando las causas y evidencias del (os) pago(s) realizado(s) sin soportes. </t>
  </si>
  <si>
    <t xml:space="preserve">Verificar que se adelanten las acciones legales o administrativas y de ser necesario  informar a las instancias correspondientes. </t>
  </si>
  <si>
    <t>Correos electrónico,  actas de reunión.
Denuncias de un acto de corrupción (Cuando aplique)</t>
  </si>
  <si>
    <t>Se suministra la relación de pagos procesados a traves del aplicativo Orfeo, de los meses de enero a abril 2023.</t>
  </si>
  <si>
    <t>Relación de pagos Orfeo Enero - Abril 2023</t>
  </si>
  <si>
    <t>De acuerdo con los soportes aportados se evidencia la aplicación del control</t>
  </si>
  <si>
    <t>No se reportó avance de ejecución de la acción de mitigación</t>
  </si>
  <si>
    <t>Para la ejecución del control, se evidencia la relación de pagos realizados.
Frente a la acción de mitigación, no se observa monitoreo por parte de la primera línea de defensa.</t>
  </si>
  <si>
    <t>Mensualmente el profesional especializado de contabilidad verificará que los saldos de las cuentas bancarias a título de la entidad conincidan con los registros contables de SIIGO.</t>
  </si>
  <si>
    <t xml:space="preserve">
Conciliación bancaria</t>
  </si>
  <si>
    <t>Realizar dos (2) verificaciones semestrales aleatorias de las cuentas  trámitadas de la vigencia 2023 a personas juridicas.</t>
  </si>
  <si>
    <t>Profesional especializado contabilidad con acomapañamiento del profesional de tesorería y presupuesto</t>
  </si>
  <si>
    <t>Se efectuaron  las conciliaciones bancarias del ene-feb-mar</t>
  </si>
  <si>
    <t>Se anexa conciliaciones</t>
  </si>
  <si>
    <t>De acuerdo con el cronograma  no se efectuo accion de mitigacion para el periodo</t>
  </si>
  <si>
    <t>Para la ejecución del control, se evidencian las conciliaciones.
Frente a la acción de mitigación, el proceso manifiesta que no se encuentra programada para el período.</t>
  </si>
  <si>
    <t>Mensualmente el profesional especializado de contabilidad realizarà conciliación CUD  verificando que los recursos girados corresponde con los recursos causados por contabilidad.</t>
  </si>
  <si>
    <t>Conciliación CUD</t>
  </si>
  <si>
    <t>Se efectuaron  las conciliaciones CUD del ene-feb-mar</t>
  </si>
  <si>
    <t>Pressentación del informe trimestral de las actuaciones surtidas por el abogado encargado de adelantar las acciones administrativas y/o judiciales.</t>
  </si>
  <si>
    <t>Informe trimestral presentado al comité de conciliación</t>
  </si>
  <si>
    <t>Elaborar un matriz de los procesos en la que se evidencie el grado de afectacion patrimonial y o reputacional.</t>
  </si>
  <si>
    <t>Jefe de Oficina Asesora Jurídica</t>
  </si>
  <si>
    <t>Elaborar una acción de saneamiento respecto del daño jurídico materializado.</t>
  </si>
  <si>
    <t>No se requiere</t>
  </si>
  <si>
    <t>Asignar la responsabilidad de saneamiento a un abogado.</t>
  </si>
  <si>
    <t>Validar los efectos jurídicos que produjo el saneamiento.</t>
  </si>
  <si>
    <t>Cesación de los efectos del daño antijurídico.
Minimizar el riesgo de repetición.</t>
  </si>
  <si>
    <t>Se presentó el informe trimestral de los procesos en los que hace parte el IDPC al comite de conciliación en la sesion del 29 de marzo de 2023.</t>
  </si>
  <si>
    <t>Informe I trimestre 2023
Acta No. 006 de 2023</t>
  </si>
  <si>
    <t>Se elaboró una matriz para realizar el control y evitar la materialización del riesgo.</t>
  </si>
  <si>
    <t>Materializacion del riesgo procesos judiciales. Exsl</t>
  </si>
  <si>
    <t>El proceso aporta el Informe de procesos judiciales del I trimestre y el Acta 006 del comité de conciliación</t>
  </si>
  <si>
    <t>Se evidencia la matriz referida por el proceso</t>
  </si>
  <si>
    <t>Para la ejecución del control, se evidencia el informe de procesos judiciales del primer trimestre y el acta de presentación en comité de conciliación.
Frente a la acción de mitigación, se observa matriz de procesos judiciales con su estado.</t>
  </si>
  <si>
    <t>Asignación de documentos y solicitudes de entrada a los profesionales para su atención según orden de llegada.</t>
  </si>
  <si>
    <t>Asignación y trazabilidad de los documentos relacionados con el trámite</t>
  </si>
  <si>
    <t xml:space="preserve">
Realizar el monitoreo constante sobre la información publicada en las diferentes páginas web, plataformas institucionales, asi como de verificar su funcionalidad y acceso para los ciudadanos interesados en los trámites y servicios a cargo.</t>
  </si>
  <si>
    <t>Para la asignación y trazabilidad del trámite de Evaluación de Anteproyecto, se mantiene :_x000D_
_x000D_
1. La validación diaria de las radicaciones y reasignaciones registradas en una base de control y seguimiento sobre los documentos de entrada y salida_x000D_
_x000D_
2. Durante este periodo no se ha recibido notificación alguna sobre presunto trafico de influencias en beneficio de terceros.</t>
  </si>
  <si>
    <t>Matriz v13 de Radicación 2023</t>
  </si>
  <si>
    <t>Para este periodo se realiza la validación de los portales web que manejan la información relacionada sobre los trámites y servicios qe ofrece el IDCP, haciendo las respectivas observaciones y sugerencias para que su contenido sea actualizado y publicado en la web SUIT de la Alcaldia de Bogotá, de la Web institucional y la plataforma "A un clic del patrimonio"; por parte del equipo de Atención a la Ciudadania como lider de la estrategia de comunicación y transparencia al ciudadano, según el esquema de publicación de informacion vigente.</t>
  </si>
  <si>
    <t>1- Formato Guía TyS Intervención. Diligenciado_x000D_
_x000D_
2- Correos electrónicos</t>
  </si>
  <si>
    <t xml:space="preserve">Se observa evidencia de la aplicación del control </t>
  </si>
  <si>
    <t xml:space="preserve">Se observa evidencia de la ejecución de la acción de mitigación </t>
  </si>
  <si>
    <t>Se evidencia la ejecución del control con matriz de radicación.
Frente a la acción de mitigación, se presenta formato guía de trámites y servicios, así como, los correos electrónicos de envío.</t>
  </si>
  <si>
    <t>Anualmente o cuando haya cambios de auditor, el asesor de control interno socializa el estatuto de auditoría y Código de Ética y solicita al auditor el diligenciamiento y firma del "Formato compromiso ético del auditor interno".</t>
  </si>
  <si>
    <t xml:space="preserve">Acta o correo electrónico de socialización del estatuto de auditoría y Código de Ética 
Formato compromiso ético del auditor interno diligenciado y firmados por el/los auditor(es). </t>
  </si>
  <si>
    <t>Revisar e incoporar el/los control(es) que se requieran para evitar el ocultamiento o modificación de los informes del desempeño del proceso</t>
  </si>
  <si>
    <t>Se socializó el estatuto de auditoría mediante acta de autoevaluación del mes de enero, de igual manera, se recibió el compromiso ético de las 2 contratistas mediante radicados 20231200021043 y 20231200021753 del 03 de febrero de 2023</t>
  </si>
  <si>
    <t>Acta autoevaluación del mes de enero y radicados 20231200021043 y 20231200021753 del 03 de febrero de 2023</t>
  </si>
  <si>
    <t>Anualmente o cuando haya cambios de auditor, el asesor de control interno solicita el diligenciamiento y firma del "Formato de Declaración conflicto de interés de auditoría".</t>
  </si>
  <si>
    <t xml:space="preserve">Formato de Declaración conflicto de interés diligenciado y firmado por el/los auditor(es). </t>
  </si>
  <si>
    <t>Se recibió formatos declaración conflicto de interés debidamente firmados por las contratistas con radicados 20231200020943 y 20231200021683 del 03 de febrero de 2023</t>
  </si>
  <si>
    <t>Radicados 20231200020943 y 20231200021683 del 03 de febrero de 2023</t>
  </si>
  <si>
    <t>Formato Mapa Riesgos - Seguimiento</t>
  </si>
  <si>
    <t>Riesgo Definido Como</t>
  </si>
  <si>
    <t>Nivel de Riesgo Inherente</t>
  </si>
  <si>
    <t>Nivel de Riesgo Residual</t>
  </si>
  <si>
    <t>Tabla de Probabilidad  - Riesgos de Corrupción</t>
  </si>
  <si>
    <t>Impacto Inherente</t>
  </si>
  <si>
    <t>Calificación Atributos</t>
  </si>
  <si>
    <t>Estado Controles</t>
  </si>
  <si>
    <t>Estado de Acciones</t>
  </si>
  <si>
    <t>Estado OAP</t>
  </si>
  <si>
    <t>Sí o No</t>
  </si>
  <si>
    <t>Descripción</t>
  </si>
  <si>
    <t>Valoración Riesgo Corrupción</t>
  </si>
  <si>
    <t>Objetivo Estratégicos</t>
  </si>
  <si>
    <t>Muy Baja</t>
  </si>
  <si>
    <t>Leve</t>
  </si>
  <si>
    <t>Preventivo y Automático</t>
  </si>
  <si>
    <t>Administrar los activos e infraestructura de la Entidad, para satisfacer las necesidades y requerimientos de recursos físicos y servicios generales de los usuarios internos y externos del Instituto, a través de la planeación, mantenimiento, atención de requerimientos y toma física de activos.</t>
  </si>
  <si>
    <t>Evidencia ejecución</t>
  </si>
  <si>
    <t>Casi seguro</t>
  </si>
  <si>
    <t>Se espera que el evento ocurra en la mayoría de las circunstancias. Es muy seguro que se presente.</t>
  </si>
  <si>
    <t>Más de 1 vez al año.</t>
  </si>
  <si>
    <t>Casi seguro Catastrófico</t>
  </si>
  <si>
    <t>Extremo</t>
  </si>
  <si>
    <t>Consolidar la capacidad institucional y ciudadana para la identificación, reconocimiento, activación y salvaguardia del patrimonio cultural, reconociendo la diversidad territorial, poblacional y simbólica del patrimonio.</t>
  </si>
  <si>
    <t>Baja</t>
  </si>
  <si>
    <t>Menor</t>
  </si>
  <si>
    <t>Preventivo y Manual</t>
  </si>
  <si>
    <t>Garantizar la atención amable, oportuna y confiable a la ciudadanía, atendiendo criterios diferenciales de accesibilidad y lineamientos del orden nacional y distrital en materia de atención a la ciudadanía; a través de los canales de interacción presenciales, telefónicos y virtuales, dispuestos para satisfacer de manera efectiva las demandas y necesidades de la ciudadanía en el marco misional del IDPC</t>
  </si>
  <si>
    <t>Controles aplicados parcialmente y adjunta evidencias</t>
  </si>
  <si>
    <t>No se evidencia ejecución</t>
  </si>
  <si>
    <t>Probable</t>
  </si>
  <si>
    <t>Es viable que el evento ocurra en la mayoría de las circunstancias.</t>
  </si>
  <si>
    <t>Al menos 1 vez en el último año.</t>
  </si>
  <si>
    <t>Casi seguro Mayor</t>
  </si>
  <si>
    <t>Alto</t>
  </si>
  <si>
    <t>Media</t>
  </si>
  <si>
    <t>Moderado</t>
  </si>
  <si>
    <t>Detectivo y Automático</t>
  </si>
  <si>
    <t xml:space="preserve">Comunicar la información interna y externa del Instituto hacia los diferentes grupos de interés, através del cumplimiento de los procedimientos, planes, lineamientos , directrices emitidos en materia de comunicaciones, para asegurar su correcto flujo y el acceso a la información pública en torno a la gestión y apropiación Patrimonio Cultural de Bogotá D.C. </t>
  </si>
  <si>
    <t>Controles aplicados parcialmente y no adjunta evidencias</t>
  </si>
  <si>
    <t>Acciones ejecutadas parcialmente y no adjunta evidencias</t>
  </si>
  <si>
    <t>No se envió monitoreo</t>
  </si>
  <si>
    <t>Posible</t>
  </si>
  <si>
    <t>El evento podrá ocurrir en algún momento.</t>
  </si>
  <si>
    <t>Al menos 1 vez en los últimos 2 años.</t>
  </si>
  <si>
    <t>Casi seguro Moderado</t>
  </si>
  <si>
    <t>Ampliar la cobertura en la formación en patrimonio cultural en el ciclo integral de educación en Bogotá.</t>
  </si>
  <si>
    <t>Alta</t>
  </si>
  <si>
    <t>Mayor</t>
  </si>
  <si>
    <t>Detectivo y Manual</t>
  </si>
  <si>
    <t>Adelantar los trámites tendientes a establecer la responsabilidad disciplinaria de los servidores y ex servidores públicos con ocasión del presunto incumplimiento de deberes, extralimitación u omisión de funciones o por presunta violación al régimen de inhabilidades e incompatibilidades y conflicto de intereses.</t>
  </si>
  <si>
    <t>Improbable</t>
  </si>
  <si>
    <t>El evento puede ocurrir en algún momento.</t>
  </si>
  <si>
    <t>Al menos 1 vez en los últimos 5 años.</t>
  </si>
  <si>
    <t>Probable Catastrófico</t>
  </si>
  <si>
    <t>Muy Alta</t>
  </si>
  <si>
    <t>Catastrófico</t>
  </si>
  <si>
    <t>Correctivo y Automático</t>
  </si>
  <si>
    <t>Impartir lineamientos y brindar acompañamiento a los procesos del IDPC para la definición de políticas, objetivos, estrategias, planes, programas y proyectos institucionales que promuevan el acceso y participación a los derechos patrimoniales y culturales de las personas que habitan el Distrito Capital.Impartir lineamientos y brindar acompañamiento a los procesos del IDPC para la definición de políticas, objetivos, estrategias, planes, programas y proyectos institucionales que promuevan el acceso y participación a los derechos patrimoniales y culturales de las personas que habitan el Distrito Capital.</t>
  </si>
  <si>
    <t>Evidencias no concuerdan</t>
  </si>
  <si>
    <t>Rara vez</t>
  </si>
  <si>
    <t>El evento puede ocurrir sólo en circunstancias excepcionales (poco comunes o anormales)</t>
  </si>
  <si>
    <t>No se ha presentado en los últimos 5 años.</t>
  </si>
  <si>
    <t>Probable Mayor</t>
  </si>
  <si>
    <t>Correctivo y Manual</t>
  </si>
  <si>
    <t>Realizar acciones de valoración, apropiación y divulgación del patrimonio cultural del Distrito Capital a través de exposiciones, publicaciones, acciones de apropiación (recorridos, identificación de PCI, educativa, cultural), fomento (estímulos), formación (civinautas), y acceso a la documentación del centro documentación para afianzar el sentido de apropiación social del patrimonio.</t>
  </si>
  <si>
    <t>No envió monitoreo</t>
  </si>
  <si>
    <t>Probable Moderado</t>
  </si>
  <si>
    <t>Orientar, articular y coordinar la sostenibilidad y mejora continua del Sistema de Gestión y Control del IDPC, así como la implementación de nuevas políticas de gestión y desempeño bajo el referente del Modelo Integrado de Planeación y Gestión - MIPG, a través de la asesoría, acompañamiento, formulación y monitoreo de los lineamientos, metodologías y/o instrumentos de gestión aplicables a los procesos, con el propósito de fortalecer la gestión y desempeño del Instituto.</t>
  </si>
  <si>
    <t>Posible Catastrófico</t>
  </si>
  <si>
    <t>Estructurar, adelantar, orientar y acompañar la gestión precontractual, contractual y post-contractual de conformidad con las disposiciones legales vigentes, con el fin de aportar al cumplimiento de la misión institucional.</t>
  </si>
  <si>
    <t>Posible Mayor</t>
  </si>
  <si>
    <t xml:space="preserve">Gestionar de manera integral las tecnologías de la información en la organización, prestando servicios acordes a las necesidades de la institución y los avances en la materia, para contribuir al desarrollo de los procesos estratégicos, misionales y de apoyo a través de la tecnología. </t>
  </si>
  <si>
    <t>Posible Moderado</t>
  </si>
  <si>
    <t>Administrar el Talento Humano del IDPC, para apalancar el logro de los objetivos institucionales definidos por la alta dirección a través de la gestión de los procesos de ingreso, permanencia y retiro de los servidores, de acuerdo con la normatividad vigente.</t>
  </si>
  <si>
    <t>Improbable Catastrófico</t>
  </si>
  <si>
    <t>Gestionar, implementar y orientar las actividades administrativas, técnicas y tecnológicas propias de la gestión documental a través de la administración, manejo y organización de la información con el propósito de garantizar la consulta y la conservación de la memoria institucional en la entidad</t>
  </si>
  <si>
    <t>Improbable Mayor</t>
  </si>
  <si>
    <t>Administrar y controlar los recursos financieros asignados y generados por el Instituto Distrital de Patrimonio Cultural, con el fin de realizar una adecuada gestión de los recursos financieros, que permitan el cumplimiento oportuno de los objetivos misionales conforme al marco legal vigente.</t>
  </si>
  <si>
    <t>Improbable Moderado</t>
  </si>
  <si>
    <t>Bajo</t>
  </si>
  <si>
    <t>Realizar asesoría Jurídica y representación Judicial a través del ejercicio de la actividad jurídica, para apoyar el desarrollo y fortalecimiento de los procesos institucionales y prevenir la ocurrencia del daño antijurídico.</t>
  </si>
  <si>
    <t>Rara vez Catastrófico</t>
  </si>
  <si>
    <t>Formular, gestionar y orientar actuaciones en el territorio que permitan la protección, conservación y sostenibilidad del patrimonio cultural y natural del Distrito Capital.</t>
  </si>
  <si>
    <t>Rara vez Mayor</t>
  </si>
  <si>
    <t>Realizar acciones de protección, conservación, recuperación de los Bienes de interés cultural a través de la evaluación técnica de los proyectos de intervención a cargo del Instituto Distrital del Patrimonio Cultural o terceros, la intervenciones directas a los BIC, el estudio de valores patrimoniales de los inmuebles del ámbito Distrital, el control urbano, la promoción de declaratorias de BIC de acuerdo con la normatividad vigente</t>
  </si>
  <si>
    <t>Rara vez Moderado</t>
  </si>
  <si>
    <t>Realizar seguimiento y evaluar la gestión de la entidad y la efectividad del Sistema de Control Interno generando recomendaciones y alertas que contribuyen al mejoramiento del desempeño institucional y al fortalecimiento del control en la entidad.</t>
  </si>
  <si>
    <t>Apoyo</t>
  </si>
  <si>
    <t>Estratégico</t>
  </si>
  <si>
    <t>Misional</t>
  </si>
  <si>
    <t>Evaluación</t>
  </si>
  <si>
    <t>Matriz de Calor Inherente</t>
  </si>
  <si>
    <t>Muy Alta
100%</t>
  </si>
  <si>
    <t>Casi Seguro</t>
  </si>
  <si>
    <t>Alta
80%</t>
  </si>
  <si>
    <t>Media
60%</t>
  </si>
  <si>
    <t>Baja
40%</t>
  </si>
  <si>
    <t>Muy Baja
20%</t>
  </si>
  <si>
    <t>Leve
20%</t>
  </si>
  <si>
    <t>Menor
40%</t>
  </si>
  <si>
    <t>Moderado
60%</t>
  </si>
  <si>
    <t>Mayor
80%</t>
  </si>
  <si>
    <t>Catastrófico
100%</t>
  </si>
  <si>
    <t xml:space="preserve"> Matriz de Calor Residual</t>
  </si>
  <si>
    <t>Tabla Criterios para definir el nivel de probabilidad</t>
  </si>
  <si>
    <t>Frecuencia de la Actividad</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</si>
  <si>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</si>
  <si>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</si>
  <si>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</si>
  <si>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</si>
  <si>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</si>
  <si>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</si>
  <si>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</si>
  <si>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</si>
  <si>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</si>
  <si>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</si>
  <si>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</si>
  <si>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</si>
  <si>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</si>
  <si>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</si>
  <si>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</si>
  <si>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</si>
  <si>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</si>
  <si>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</si>
  <si>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 80%</t>
  </si>
  <si>
    <t xml:space="preserve">Entre 100 y 500 SMLMV </t>
  </si>
  <si>
    <t>El riesgo afecta la imagen de de la entidad con efecto publicitario sostenido a nivel de sector administrativo, nivel departamental o municipal</t>
  </si>
  <si>
    <t>Catastrófico 100%</t>
  </si>
  <si>
    <t xml:space="preserve">Mayor a 500 SMLMV </t>
  </si>
  <si>
    <t>El riesgo afecta la imagen de la entidad a nivel nacional, con efecto publicitarios sostenible a nivel país</t>
  </si>
  <si>
    <t>Afectación_Económica_o_presupuestal</t>
  </si>
  <si>
    <t>Pérdida_Reputacional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</si>
  <si>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</si>
  <si>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</si>
  <si>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</si>
  <si>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</si>
  <si>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</si>
  <si>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</si>
  <si>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</si>
  <si>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</si>
  <si>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</si>
  <si>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</si>
  <si>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</si>
  <si>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</si>
  <si>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</si>
  <si>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</si>
  <si>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</si>
  <si>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</si>
  <si>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</si>
  <si>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</si>
  <si>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</si>
  <si>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</si>
  <si>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</si>
  <si>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</si>
  <si>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</si>
  <si>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</si>
  <si>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</si>
  <si>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</si>
  <si>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</si>
  <si>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Evitar</t>
  </si>
  <si>
    <t>Plan de accion (solo para la opción reducir)</t>
  </si>
  <si>
    <t>Finalizado</t>
  </si>
  <si>
    <t>En curso</t>
  </si>
  <si>
    <t>Relaciones Laborales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</si>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</sst>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7" formatCode="0.0%"/>
    <numFmt numFmtId="168" formatCode="d/m/yyyy"/>
  </numFmts>
  <fonts count="81">
    <font>
      <sz val="11"/>
      <color theme="1"/>
      <name val="Calibri"/>
      <charset val="134"/>
      <scheme val="minor"/>
    </font>
    <font>
      <sz val="10"/>
      <color theme="1"/>
      <name val="Calibri"/>
      <family val="2"/>
      <scheme val="minor"/>
    </font>
    <font>
      <sz val="10"/>
      <color rgb="FF000000"/>
      <name val="Arial Narrow"/>
      <family val="2"/>
    </font>
    <font>
      <b/>
      <sz val="14"/>
      <color rgb="FF000000"/>
      <name val="Arial Narrow"/>
      <family val="2"/>
    </font>
    <font>
      <sz val="12"/>
      <color theme="1"/>
      <name val="Calibri"/>
      <family val="2"/>
      <scheme val="minor"/>
    </font>
    <font>
      <b/>
      <sz val="12"/>
      <color rgb="FF000000"/>
      <name val="Arial Narrow"/>
      <family val="2"/>
    </font>
    <font>
      <sz val="12"/>
      <color rgb="FF000000"/>
      <name val="Arial Narrow"/>
      <family val="2"/>
    </font>
    <font>
      <sz val="12"/>
      <color theme="1"/>
      <name val="Arial Narrow"/>
      <family val="2"/>
    </font>
    <font>
      <b/>
      <sz val="9"/>
      <color theme="1"/>
      <name val="Arial Narrow"/>
      <family val="2"/>
    </font>
    <font>
      <b/>
      <sz val="26"/>
      <color theme="1"/>
      <name val="Arial Narrow"/>
      <family val="2"/>
    </font>
    <font>
      <sz val="24"/>
      <name val="Arial"/>
      <family val="2"/>
    </font>
    <font>
      <b/>
      <sz val="24"/>
      <color rgb="FF000000"/>
      <name val="Arial Narrow"/>
      <family val="2"/>
    </font>
    <font>
      <sz val="11"/>
      <color theme="0"/>
      <name val="Calibri"/>
      <family val="2"/>
      <scheme val="minor"/>
    </font>
    <font>
      <sz val="26"/>
      <color rgb="FF000000"/>
      <name val="Arial Narrow"/>
      <family val="2"/>
    </font>
    <font>
      <sz val="26"/>
      <color rgb="FFFFFFFF"/>
      <name val="Arial Narrow"/>
      <family val="2"/>
    </font>
    <font>
      <sz val="16"/>
      <color rgb="FF000000"/>
      <name val="Arial Narrow"/>
      <family val="2"/>
    </font>
    <font>
      <b/>
      <sz val="11"/>
      <color theme="1"/>
      <name val="Arial Narrow"/>
      <family val="2"/>
    </font>
    <font>
      <sz val="11"/>
      <name val="Calibri"/>
      <family val="2"/>
      <scheme val="minor"/>
    </font>
    <font>
      <sz val="16"/>
      <color rgb="FFFF0000"/>
      <name val="Arial Narrow"/>
      <family val="2"/>
    </font>
    <font>
      <sz val="16"/>
      <color rgb="FFFF0000"/>
      <name val="Calibri"/>
      <family val="2"/>
      <scheme val="minor"/>
    </font>
    <font>
      <sz val="11"/>
      <color rgb="FFFF0000"/>
      <name val="Calibri"/>
      <family val="2"/>
      <scheme val="minor"/>
    </font>
    <font>
      <sz val="11"/>
      <color rgb="FF030303"/>
      <name val="Arial"/>
      <family val="2"/>
    </font>
    <font>
      <b/>
      <sz val="18"/>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24"/>
      <color theme="1"/>
      <name val="Arial Narrow"/>
      <family val="2"/>
    </font>
    <font>
      <sz val="18"/>
      <color theme="1"/>
      <name val="Arial Narrow"/>
      <family val="2"/>
    </font>
    <font>
      <b/>
      <sz val="40"/>
      <color rgb="FF000000"/>
      <name val="Calibri"/>
      <family val="2"/>
    </font>
    <font>
      <b/>
      <sz val="20"/>
      <color theme="1"/>
      <name val="Calibri"/>
      <family val="2"/>
      <scheme val="minor"/>
    </font>
    <font>
      <sz val="16"/>
      <color theme="1"/>
      <name val="Calibri"/>
      <family val="2"/>
      <scheme val="minor"/>
    </font>
    <font>
      <b/>
      <sz val="12"/>
      <color rgb="FF000000"/>
      <name val="Calibri"/>
      <family val="2"/>
    </font>
    <font>
      <b/>
      <sz val="18"/>
      <color rgb="FF000000"/>
      <name val="Calibri"/>
      <family val="2"/>
    </font>
    <font>
      <b/>
      <sz val="24"/>
      <color rgb="FF000000"/>
      <name val="Calibri"/>
      <family val="2"/>
    </font>
    <font>
      <b/>
      <sz val="22"/>
      <color theme="1"/>
      <name val="Arial Narrow"/>
      <family val="2"/>
    </font>
    <font>
      <sz val="28"/>
      <color theme="1"/>
      <name val="Calibri"/>
      <family val="2"/>
      <scheme val="minor"/>
    </font>
    <font>
      <b/>
      <sz val="28"/>
      <color rgb="FF000000"/>
      <name val="Calibri"/>
      <family val="2"/>
    </font>
    <font>
      <b/>
      <sz val="36"/>
      <color rgb="FF000000"/>
      <name val="Calibri"/>
      <family val="2"/>
    </font>
    <font>
      <b/>
      <sz val="11"/>
      <color rgb="FF000000"/>
      <name val="Calibri"/>
      <family val="2"/>
      <scheme val="minor"/>
    </font>
    <font>
      <b/>
      <sz val="11"/>
      <color theme="1"/>
      <name val="Calibri"/>
      <family val="2"/>
      <scheme val="minor"/>
    </font>
    <font>
      <sz val="11"/>
      <color rgb="FF000000"/>
      <name val="Arial"/>
      <family val="2"/>
    </font>
    <font>
      <sz val="11"/>
      <color theme="1"/>
      <name val="Calibri"/>
      <family val="2"/>
    </font>
    <font>
      <sz val="11"/>
      <name val="Arial"/>
      <family val="2"/>
    </font>
    <font>
      <sz val="11"/>
      <color theme="1"/>
      <name val="Arial Narrow"/>
      <family val="2"/>
    </font>
    <font>
      <b/>
      <sz val="14"/>
      <color theme="1"/>
      <name val="Arial Narrow"/>
      <family val="2"/>
    </font>
    <font>
      <sz val="11"/>
      <name val="Arial Narrow"/>
      <family val="2"/>
    </font>
    <font>
      <sz val="10"/>
      <color theme="1"/>
      <name val="Arial Narrow"/>
      <family val="2"/>
    </font>
    <font>
      <b/>
      <sz val="11"/>
      <name val="Arial Narrow"/>
      <family val="2"/>
    </font>
    <font>
      <b/>
      <sz val="11"/>
      <color rgb="FF000000"/>
      <name val="Arial Narrow"/>
      <family val="2"/>
    </font>
    <font>
      <b/>
      <sz val="11"/>
      <color theme="0"/>
      <name val="Arial Narrow"/>
      <family val="2"/>
    </font>
    <font>
      <b/>
      <sz val="10"/>
      <color theme="1"/>
      <name val="Arial Narrow"/>
      <family val="2"/>
    </font>
    <font>
      <sz val="10"/>
      <name val="Arial Narrow"/>
      <family val="2"/>
    </font>
    <font>
      <sz val="11"/>
      <color rgb="FF000000"/>
      <name val="Arial Narrow"/>
      <family val="2"/>
    </font>
    <font>
      <sz val="11"/>
      <color theme="1"/>
      <name val="Arial"/>
      <family val="2"/>
    </font>
    <font>
      <sz val="11"/>
      <color rgb="FFFF0000"/>
      <name val="Arial Narrow"/>
      <family val="2"/>
    </font>
    <font>
      <sz val="12"/>
      <color rgb="FF000000"/>
      <name val="Arial"/>
      <family val="2"/>
    </font>
    <font>
      <sz val="12"/>
      <color theme="1"/>
      <name val="Arial"/>
      <family val="2"/>
    </font>
    <font>
      <sz val="12"/>
      <color theme="1"/>
      <name val="Tahoma"/>
      <family val="2"/>
    </font>
    <font>
      <sz val="12"/>
      <name val="Arial"/>
      <family val="2"/>
    </font>
    <font>
      <b/>
      <sz val="11"/>
      <color rgb="FF000000"/>
      <name val="Arial"/>
      <family val="2"/>
    </font>
    <font>
      <b/>
      <sz val="10"/>
      <color rgb="FF000000"/>
      <name val="Arial"/>
      <family val="2"/>
    </font>
    <font>
      <b/>
      <sz val="12"/>
      <color theme="1"/>
      <name val="Arial"/>
      <family val="2"/>
    </font>
    <font>
      <b/>
      <sz val="12"/>
      <color rgb="FF000000"/>
      <name val="Arial"/>
      <family val="2"/>
    </font>
    <font>
      <sz val="12"/>
      <color rgb="FFFF0000"/>
      <name val="Arial"/>
      <family val="2"/>
    </font>
    <font>
      <b/>
      <sz val="14"/>
      <name val="Arial Narrow"/>
      <family val="2"/>
    </font>
    <font>
      <b/>
      <u/>
      <sz val="11"/>
      <name val="Arial Narrow"/>
      <family val="2"/>
    </font>
    <font>
      <b/>
      <sz val="10"/>
      <name val="Arial Narrow"/>
      <family val="2"/>
    </font>
    <font>
      <b/>
      <sz val="9"/>
      <name val="Arial Narrow"/>
      <family val="2"/>
    </font>
    <font>
      <sz val="9"/>
      <name val="Arial Narrow"/>
      <family val="2"/>
    </font>
    <font>
      <sz val="10"/>
      <name val="Arial"/>
      <family val="2"/>
    </font>
    <font>
      <sz val="12"/>
      <name val="Times New Roman"/>
      <family val="1"/>
    </font>
    <font>
      <b/>
      <sz val="11"/>
      <color theme="9" tint="-0.249977111117893"/>
      <name val="Arial Narrow"/>
      <family val="2"/>
    </font>
    <font>
      <b/>
      <sz val="9"/>
      <color theme="9" tint="-0.249977111117893"/>
      <name val="Arial Narrow"/>
      <family val="2"/>
    </font>
    <font>
      <b/>
      <sz val="10"/>
      <color theme="9" tint="-0.249977111117893"/>
      <name val="Arial Narrow"/>
      <family val="2"/>
    </font>
    <font>
      <i/>
      <sz val="11"/>
      <color theme="1"/>
      <name val="Arial Narrow"/>
      <family val="2"/>
    </font>
    <font>
      <b/>
      <sz val="12"/>
      <color theme="9" tint="-0.249977111117893"/>
      <name val="Arial Narrow"/>
      <family val="2"/>
    </font>
    <font>
      <b/>
      <sz val="12"/>
      <name val="Arial Narrow"/>
      <family val="2"/>
    </font>
    <font>
      <sz val="9"/>
      <name val="Tahoma"/>
      <family val="2"/>
    </font>
    <font>
      <b/>
      <sz val="9"/>
      <name val="Tahoma"/>
      <family val="2"/>
    </font>
    <font>
      <sz val="11"/>
      <color theme="1"/>
      <name val="Calibri"/>
      <family val="2"/>
      <scheme val="minor"/>
    </font>
  </fonts>
  <fills count="45">
    <fill>
      <patternFill patternType="none"/>
    </fill>
    <fill>
      <patternFill patternType="gray125"/>
    </fill>
    <fill>
      <patternFill patternType="solid">
        <fgColor theme="0"/>
        <bgColor indexed="64"/>
      </patternFill>
    </fill>
    <fill>
      <patternFill patternType="solid">
        <fgColor theme="9" tint="0.79995117038483843"/>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FFFF00"/>
        <bgColor indexed="64"/>
      </patternFill>
    </fill>
    <fill>
      <patternFill patternType="solid">
        <fgColor rgb="FFC00000"/>
        <bgColor indexed="64"/>
      </patternFill>
    </fill>
    <fill>
      <patternFill patternType="darkGray">
        <fgColor rgb="FFFF0000"/>
        <bgColor rgb="FFE26B0A"/>
      </patternFill>
    </fill>
    <fill>
      <patternFill patternType="darkGray">
        <fgColor rgb="FFFF0000"/>
        <bgColor rgb="FFFFFF00"/>
      </patternFill>
    </fill>
    <fill>
      <patternFill patternType="darkGray">
        <fgColor rgb="FFFF0000"/>
        <bgColor rgb="FF92D050"/>
      </patternFill>
    </fill>
    <fill>
      <patternFill patternType="darkGray">
        <fgColor rgb="FFFF0000"/>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rgb="FFB2B2B2"/>
        <bgColor indexed="64"/>
      </patternFill>
    </fill>
    <fill>
      <patternFill patternType="solid">
        <fgColor theme="9" tint="0.59999389629810485"/>
        <bgColor theme="0"/>
      </patternFill>
    </fill>
    <fill>
      <patternFill patternType="solid">
        <fgColor theme="9" tint="0.39991454817346722"/>
        <bgColor indexed="64"/>
      </patternFill>
    </fill>
    <fill>
      <patternFill patternType="solid">
        <fgColor theme="9" tint="0.39994506668294322"/>
        <bgColor indexed="64"/>
      </patternFill>
    </fill>
    <fill>
      <patternFill patternType="solid">
        <fgColor theme="9" tint="-0.249977111117893"/>
        <bgColor indexed="64"/>
      </patternFill>
    </fill>
    <fill>
      <patternFill patternType="solid">
        <fgColor rgb="FFF9A159"/>
        <bgColor indexed="64"/>
      </patternFill>
    </fill>
    <fill>
      <patternFill patternType="solid">
        <fgColor rgb="FFF9BD8B"/>
        <bgColor indexed="64"/>
      </patternFill>
    </fill>
    <fill>
      <patternFill patternType="solid">
        <fgColor rgb="FFF6882E"/>
        <bgColor indexed="64"/>
      </patternFill>
    </fill>
    <fill>
      <patternFill patternType="solid">
        <fgColor rgb="FFF9A763"/>
        <bgColor indexed="64"/>
      </patternFill>
    </fill>
    <fill>
      <patternFill patternType="solid">
        <fgColor theme="7" tint="0.39991454817346722"/>
        <bgColor indexed="64"/>
      </patternFill>
    </fill>
    <fill>
      <patternFill patternType="solid">
        <fgColor theme="7" tint="0.59999389629810485"/>
        <bgColor indexed="64"/>
      </patternFill>
    </fill>
    <fill>
      <patternFill patternType="solid">
        <fgColor theme="7" tint="0.79995117038483843"/>
        <bgColor indexed="64"/>
      </patternFill>
    </fill>
    <fill>
      <patternFill patternType="solid">
        <fgColor theme="7" tint="-0.249977111117893"/>
        <bgColor indexed="64"/>
      </patternFill>
    </fill>
    <fill>
      <patternFill patternType="solid">
        <fgColor rgb="FF9966FF"/>
        <bgColor indexed="64"/>
      </patternFill>
    </fill>
    <fill>
      <patternFill patternType="solid">
        <fgColor theme="6" tint="0.59996337778862885"/>
        <bgColor indexed="64"/>
      </patternFill>
    </fill>
    <fill>
      <patternFill patternType="solid">
        <fgColor theme="6" tint="0.79995117038483843"/>
        <bgColor indexed="64"/>
      </patternFill>
    </fill>
    <fill>
      <patternFill patternType="solid">
        <fgColor theme="6" tint="0.39994506668294322"/>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0"/>
        <bgColor theme="0"/>
      </patternFill>
    </fill>
    <fill>
      <patternFill patternType="solid">
        <fgColor theme="4" tint="0.59999389629810485"/>
        <bgColor indexed="64"/>
      </patternFill>
    </fill>
    <fill>
      <patternFill patternType="solid">
        <fgColor rgb="FFFFFFFF"/>
        <bgColor rgb="FFFFFFFF"/>
      </patternFill>
    </fill>
    <fill>
      <patternFill patternType="solid">
        <fgColor rgb="FFBFBFBF"/>
        <bgColor rgb="FFBFBFBF"/>
      </patternFill>
    </fill>
    <fill>
      <patternFill patternType="solid">
        <fgColor rgb="FFD8D8D8"/>
        <bgColor rgb="FFD8D8D8"/>
      </patternFill>
    </fill>
  </fills>
  <borders count="165">
    <border>
      <left/>
      <right/>
      <top/>
      <bottom/>
      <diagonal/>
    </border>
    <border>
      <left style="dotted">
        <color rgb="FFF79646"/>
      </left>
      <right style="dotted">
        <color rgb="FFF79646"/>
      </right>
      <top style="dotted">
        <color rgb="FFF79646"/>
      </top>
      <bottom style="dotted">
        <color rgb="FFF7964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dotted">
        <color rgb="FFF79646"/>
      </left>
      <right style="dotted">
        <color rgb="FFF79646"/>
      </right>
      <top/>
      <bottom style="dotted">
        <color rgb="FFF79646"/>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ck">
        <color rgb="FF000000"/>
      </left>
      <right style="thick">
        <color rgb="FF000000"/>
      </right>
      <top style="hair">
        <color rgb="FF000000"/>
      </top>
      <bottom style="hair">
        <color rgb="FF000000"/>
      </bottom>
      <diagonal/>
    </border>
    <border>
      <left style="thick">
        <color rgb="FF000000"/>
      </left>
      <right style="thick">
        <color rgb="FF000000"/>
      </right>
      <top style="hair">
        <color rgb="FF000000"/>
      </top>
      <bottom style="thick">
        <color rgb="FF00000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mediumDashed">
        <color theme="9" tint="-0.24994659260841701"/>
      </left>
      <right style="mediumDashed">
        <color theme="9" tint="-0.24994659260841701"/>
      </right>
      <top style="mediumDashed">
        <color theme="9" tint="-0.24994659260841701"/>
      </top>
      <bottom/>
      <diagonal/>
    </border>
    <border>
      <left style="mediumDashed">
        <color theme="9" tint="-0.24994659260841701"/>
      </left>
      <right style="mediumDashed">
        <color theme="9" tint="-0.24994659260841701"/>
      </right>
      <top/>
      <bottom/>
      <diagonal/>
    </border>
    <border>
      <left style="mediumDashed">
        <color theme="9" tint="-0.24994659260841701"/>
      </left>
      <right style="mediumDashed">
        <color theme="9" tint="-0.24994659260841701"/>
      </right>
      <top/>
      <bottom style="mediumDashed">
        <color theme="9" tint="-0.24994659260841701"/>
      </bottom>
      <diagonal/>
    </border>
    <border>
      <left style="mediumDashed">
        <color theme="9" tint="-0.24994659260841701"/>
      </left>
      <right style="dashed">
        <color theme="9" tint="-0.24994659260841701"/>
      </right>
      <top style="mediumDashed">
        <color theme="9" tint="-0.24994659260841701"/>
      </top>
      <bottom style="dashed">
        <color theme="9" tint="-0.24994659260841701"/>
      </bottom>
      <diagonal/>
    </border>
    <border>
      <left style="dashed">
        <color theme="9" tint="-0.24994659260841701"/>
      </left>
      <right style="dashed">
        <color theme="9" tint="-0.24994659260841701"/>
      </right>
      <top style="mediumDashed">
        <color theme="9" tint="-0.24994659260841701"/>
      </top>
      <bottom style="dashed">
        <color theme="9" tint="-0.24994659260841701"/>
      </bottom>
      <diagonal/>
    </border>
    <border>
      <left style="dashed">
        <color theme="9" tint="-0.24994659260841701"/>
      </left>
      <right style="mediumDashed">
        <color theme="9" tint="-0.24994659260841701"/>
      </right>
      <top style="mediumDashed">
        <color theme="9" tint="-0.24994659260841701"/>
      </top>
      <bottom style="dashed">
        <color theme="9" tint="-0.24994659260841701"/>
      </bottom>
      <diagonal/>
    </border>
    <border>
      <left style="medium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medium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mediumDashed">
        <color theme="9" tint="-0.24994659260841701"/>
      </right>
      <top/>
      <bottom style="dashed">
        <color theme="9" tint="-0.24994659260841701"/>
      </bottom>
      <diagonal/>
    </border>
    <border>
      <left style="dashed">
        <color theme="9" tint="-0.24994659260841701"/>
      </left>
      <right style="mediumDashed">
        <color theme="9" tint="-0.24994659260841701"/>
      </right>
      <top style="dashed">
        <color theme="9" tint="-0.24994659260841701"/>
      </top>
      <bottom style="dashed">
        <color theme="9" tint="-0.24994659260841701"/>
      </bottom>
      <diagonal/>
    </border>
    <border>
      <left style="mediumDashed">
        <color theme="9" tint="-0.24994659260841701"/>
      </left>
      <right/>
      <top style="mediumDashed">
        <color theme="9" tint="-0.24994659260841701"/>
      </top>
      <bottom/>
      <diagonal/>
    </border>
    <border>
      <left style="mediumDashed">
        <color theme="9" tint="-0.24994659260841701"/>
      </left>
      <right style="dashed">
        <color theme="9" tint="-0.24994659260841701"/>
      </right>
      <top style="mediumDashed">
        <color theme="9" tint="-0.24994659260841701"/>
      </top>
      <bottom/>
      <diagonal/>
    </border>
    <border>
      <left style="dashed">
        <color theme="9" tint="-0.24994659260841701"/>
      </left>
      <right style="dashed">
        <color theme="9" tint="-0.24994659260841701"/>
      </right>
      <top style="mediumDashed">
        <color theme="9" tint="-0.24994659260841701"/>
      </top>
      <bottom/>
      <diagonal/>
    </border>
    <border>
      <left style="mediumDashed">
        <color theme="9" tint="-0.24994659260841701"/>
      </left>
      <right/>
      <top/>
      <bottom/>
      <diagonal/>
    </border>
    <border>
      <left style="mediumDashed">
        <color theme="9" tint="-0.24994659260841701"/>
      </left>
      <right style="dashed">
        <color theme="9" tint="-0.24994659260841701"/>
      </right>
      <top style="mediumDashed">
        <color theme="9" tint="-0.24994659260841701"/>
      </top>
      <bottom style="mediumDashed">
        <color theme="9" tint="-0.24994659260841701"/>
      </bottom>
      <diagonal/>
    </border>
    <border>
      <left style="dashed">
        <color theme="9" tint="-0.24994659260841701"/>
      </left>
      <right style="dashed">
        <color theme="9" tint="-0.24994659260841701"/>
      </right>
      <top style="mediumDashed">
        <color theme="9" tint="-0.24994659260841701"/>
      </top>
      <bottom style="mediumDashed">
        <color theme="9" tint="-0.24994659260841701"/>
      </bottom>
      <diagonal/>
    </border>
    <border>
      <left style="mediumDashed">
        <color theme="9" tint="-0.24994659260841701"/>
      </left>
      <right/>
      <top/>
      <bottom style="mediumDashed">
        <color theme="9" tint="-0.24994659260841701"/>
      </bottom>
      <diagonal/>
    </border>
    <border>
      <left style="mediumDashed">
        <color theme="9" tint="-0.24994659260841701"/>
      </left>
      <right/>
      <top style="mediumDashed">
        <color theme="9" tint="-0.24994659260841701"/>
      </top>
      <bottom style="dashed">
        <color theme="9" tint="-0.24994659260841701"/>
      </bottom>
      <diagonal/>
    </border>
    <border>
      <left/>
      <right style="dashed">
        <color theme="9" tint="-0.24994659260841701"/>
      </right>
      <top style="mediumDashed">
        <color theme="9" tint="-0.24994659260841701"/>
      </top>
      <bottom style="dashed">
        <color theme="9" tint="-0.24994659260841701"/>
      </bottom>
      <diagonal/>
    </border>
    <border>
      <left/>
      <right style="dashed">
        <color theme="9" tint="-0.24994659260841701"/>
      </right>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style="dashed">
        <color theme="9" tint="-0.24994659260841701"/>
      </left>
      <right style="mediumDashed">
        <color theme="9" tint="-0.24994659260841701"/>
      </right>
      <top style="mediumDashed">
        <color theme="9" tint="-0.24994659260841701"/>
      </top>
      <bottom style="mediumDashed">
        <color theme="9" tint="-0.24994659260841701"/>
      </bottom>
      <diagonal/>
    </border>
    <border>
      <left style="mediumDashed">
        <color theme="9" tint="-0.24994659260841701"/>
      </left>
      <right/>
      <top style="mediumDashed">
        <color theme="9" tint="-0.24994659260841701"/>
      </top>
      <bottom style="mediumDashed">
        <color theme="9" tint="-0.24994659260841701"/>
      </bottom>
      <diagonal/>
    </border>
    <border>
      <left/>
      <right style="mediumDashed">
        <color theme="9" tint="-0.24994659260841701"/>
      </right>
      <top/>
      <bottom style="dashed">
        <color theme="9" tint="-0.24994659260841701"/>
      </bottom>
      <diagonal/>
    </border>
    <border>
      <left style="mediumDashed">
        <color theme="9" tint="-0.24994659260841701"/>
      </left>
      <right/>
      <top/>
      <bottom style="dashed">
        <color theme="9" tint="-0.24994659260841701"/>
      </bottom>
      <diagonal/>
    </border>
    <border>
      <left style="dashed">
        <color theme="9" tint="-0.24994659260841701"/>
      </left>
      <right/>
      <top style="mediumDashed">
        <color theme="9" tint="-0.24994659260841701"/>
      </top>
      <bottom/>
      <diagonal/>
    </border>
    <border>
      <left/>
      <right/>
      <top style="mediumDashed">
        <color theme="9" tint="-0.24994659260841701"/>
      </top>
      <bottom style="mediumDashed">
        <color theme="9" tint="-0.24994659260841701"/>
      </bottom>
      <diagonal/>
    </border>
    <border>
      <left/>
      <right style="mediumDashed">
        <color theme="9" tint="-0.24994659260841701"/>
      </right>
      <top style="mediumDashed">
        <color theme="9" tint="-0.24994659260841701"/>
      </top>
      <bottom style="mediumDashed">
        <color theme="9" tint="-0.24994659260841701"/>
      </bottom>
      <diagonal/>
    </border>
    <border>
      <left style="mediumDashed">
        <color theme="9" tint="-0.24994659260841701"/>
      </left>
      <right style="dashed">
        <color theme="9" tint="-0.24994659260841701"/>
      </right>
      <top/>
      <bottom/>
      <diagonal/>
    </border>
    <border>
      <left style="dashed">
        <color theme="9" tint="-0.24994659260841701"/>
      </left>
      <right style="dashed">
        <color theme="9" tint="-0.24994659260841701"/>
      </right>
      <top/>
      <bottom/>
      <diagonal/>
    </border>
    <border>
      <left/>
      <right/>
      <top style="dashed">
        <color theme="9" tint="-0.24994659260841701"/>
      </top>
      <bottom style="dashed">
        <color theme="9" tint="-0.24994659260841701"/>
      </bottom>
      <diagonal/>
    </border>
    <border>
      <left style="dashed">
        <color theme="9" tint="-0.24994659260841701"/>
      </left>
      <right style="mediumDashed">
        <color rgb="FF7030A0"/>
      </right>
      <top style="mediumDashed">
        <color theme="9" tint="-0.24994659260841701"/>
      </top>
      <bottom/>
      <diagonal/>
    </border>
    <border>
      <left style="dashed">
        <color rgb="FF7030A0"/>
      </left>
      <right style="dashed">
        <color rgb="FF7030A0"/>
      </right>
      <top style="mediumDashed">
        <color rgb="FF7030A0"/>
      </top>
      <bottom style="mediumDashed">
        <color rgb="FF7030A0"/>
      </bottom>
      <diagonal/>
    </border>
    <border>
      <left/>
      <right style="mediumDashed">
        <color rgb="FF7030A0"/>
      </right>
      <top style="mediumDashed">
        <color theme="9" tint="-0.24994659260841701"/>
      </top>
      <bottom style="mediumDashed">
        <color theme="9" tint="-0.24994659260841701"/>
      </bottom>
      <diagonal/>
    </border>
    <border>
      <left style="dashed">
        <color theme="9" tint="-0.24994659260841701"/>
      </left>
      <right style="mediumDashed">
        <color rgb="FF7030A0"/>
      </right>
      <top/>
      <bottom/>
      <diagonal/>
    </border>
    <border>
      <left style="mediumDashed">
        <color rgb="FF7030A0"/>
      </left>
      <right/>
      <top style="mediumDashed">
        <color rgb="FF7030A0"/>
      </top>
      <bottom style="dashed">
        <color rgb="FF7030A0"/>
      </bottom>
      <diagonal/>
    </border>
    <border>
      <left/>
      <right style="dashed">
        <color rgb="FF7030A0"/>
      </right>
      <top style="mediumDashed">
        <color rgb="FF7030A0"/>
      </top>
      <bottom style="dashed">
        <color rgb="FF7030A0"/>
      </bottom>
      <diagonal/>
    </border>
    <border>
      <left style="dashed">
        <color rgb="FF7030A0"/>
      </left>
      <right style="dashed">
        <color rgb="FF7030A0"/>
      </right>
      <top/>
      <bottom style="dashed">
        <color rgb="FF7030A0"/>
      </bottom>
      <diagonal/>
    </border>
    <border>
      <left style="dashed">
        <color theme="9" tint="-0.24994659260841701"/>
      </left>
      <right style="mediumDashed">
        <color rgb="FF7030A0"/>
      </right>
      <top/>
      <bottom style="dashed">
        <color theme="9" tint="-0.24994659260841701"/>
      </bottom>
      <diagonal/>
    </border>
    <border>
      <left style="dashed">
        <color rgb="FF7030A0"/>
      </left>
      <right style="dashed">
        <color rgb="FF7030A0"/>
      </right>
      <top style="dashed">
        <color rgb="FF7030A0"/>
      </top>
      <bottom style="dashed">
        <color rgb="FF7030A0"/>
      </bottom>
      <diagonal/>
    </border>
    <border>
      <left style="dashed">
        <color theme="9" tint="-0.24994659260841701"/>
      </left>
      <right style="mediumDashed">
        <color rgb="FF7030A0"/>
      </right>
      <top style="dashed">
        <color theme="9" tint="-0.24994659260841701"/>
      </top>
      <bottom style="dashed">
        <color theme="9" tint="-0.24994659260841701"/>
      </bottom>
      <diagonal/>
    </border>
    <border>
      <left style="dashed">
        <color rgb="FF7030A0"/>
      </left>
      <right style="mediumDashed">
        <color rgb="FF7030A0"/>
      </right>
      <top style="mediumDashed">
        <color rgb="FF7030A0"/>
      </top>
      <bottom style="mediumDashed">
        <color rgb="FF7030A0"/>
      </bottom>
      <diagonal/>
    </border>
    <border>
      <left style="mediumDashed">
        <color rgb="FF7030A0"/>
      </left>
      <right/>
      <top style="mediumDashed">
        <color rgb="FF7030A0"/>
      </top>
      <bottom style="mediumDashed">
        <color rgb="FF7030A0"/>
      </bottom>
      <diagonal/>
    </border>
    <border>
      <left/>
      <right/>
      <top style="mediumDashed">
        <color rgb="FF7030A0"/>
      </top>
      <bottom style="mediumDashed">
        <color rgb="FF7030A0"/>
      </bottom>
      <diagonal/>
    </border>
    <border>
      <left style="dashed">
        <color rgb="FF7030A0"/>
      </left>
      <right style="mediumDashed">
        <color rgb="FF7030A0"/>
      </right>
      <top/>
      <bottom style="dashed">
        <color rgb="FF7030A0"/>
      </bottom>
      <diagonal/>
    </border>
    <border>
      <left style="mediumDashed">
        <color rgb="FF7030A0"/>
      </left>
      <right style="dashed">
        <color rgb="FF7030A0"/>
      </right>
      <top/>
      <bottom style="dashed">
        <color rgb="FF7030A0"/>
      </bottom>
      <diagonal/>
    </border>
    <border>
      <left style="dashed">
        <color rgb="FF7030A0"/>
      </left>
      <right style="mediumDashed">
        <color rgb="FF7030A0"/>
      </right>
      <top style="dashed">
        <color rgb="FF7030A0"/>
      </top>
      <bottom style="dashed">
        <color rgb="FF7030A0"/>
      </bottom>
      <diagonal/>
    </border>
    <border>
      <left style="mediumDashed">
        <color rgb="FF7030A0"/>
      </left>
      <right style="dashed">
        <color rgb="FF7030A0"/>
      </right>
      <top style="dashed">
        <color rgb="FF7030A0"/>
      </top>
      <bottom style="dashed">
        <color rgb="FF7030A0"/>
      </bottom>
      <diagonal/>
    </border>
    <border>
      <left/>
      <right style="dashed">
        <color theme="9" tint="-0.24994659260841701"/>
      </right>
      <top style="mediumDashed">
        <color theme="6" tint="-0.24994659260841701"/>
      </top>
      <bottom style="mediumDashed">
        <color theme="6" tint="-0.24994659260841701"/>
      </bottom>
      <diagonal/>
    </border>
    <border>
      <left style="dashed">
        <color theme="9" tint="-0.24994659260841701"/>
      </left>
      <right style="dashed">
        <color theme="9" tint="-0.24994659260841701"/>
      </right>
      <top style="mediumDashed">
        <color theme="6" tint="-0.24994659260841701"/>
      </top>
      <bottom style="mediumDashed">
        <color theme="6" tint="-0.24994659260841701"/>
      </bottom>
      <diagonal/>
    </border>
    <border>
      <left/>
      <right style="mediumDashed">
        <color rgb="FF7030A0"/>
      </right>
      <top style="mediumDashed">
        <color rgb="FF7030A0"/>
      </top>
      <bottom style="mediumDashed">
        <color rgb="FF7030A0"/>
      </bottom>
      <diagonal/>
    </border>
    <border>
      <left style="mediumDashed">
        <color rgb="FF7030A0"/>
      </left>
      <right style="dashed">
        <color rgb="FF7030A0"/>
      </right>
      <top style="mediumDashed">
        <color rgb="FF7030A0"/>
      </top>
      <bottom style="mediumDashed">
        <color rgb="FF7030A0"/>
      </bottom>
      <diagonal/>
    </border>
    <border>
      <left style="dashed">
        <color rgb="FF72AF2F"/>
      </left>
      <right style="dashed">
        <color rgb="FF72AF2F"/>
      </right>
      <top style="mediumDashed">
        <color theme="6" tint="-0.24994659260841701"/>
      </top>
      <bottom style="dashed">
        <color rgb="FF72AF2F"/>
      </bottom>
      <diagonal/>
    </border>
    <border>
      <left/>
      <right style="dashed">
        <color rgb="FF7030A0"/>
      </right>
      <top/>
      <bottom style="dashed">
        <color rgb="FF7030A0"/>
      </bottom>
      <diagonal/>
    </border>
    <border>
      <left style="mediumDashed">
        <color rgb="FF7030A0"/>
      </left>
      <right/>
      <top style="dashed">
        <color rgb="FF72AF2F"/>
      </top>
      <bottom style="dashed">
        <color rgb="FF72AF2F"/>
      </bottom>
      <diagonal/>
    </border>
    <border>
      <left/>
      <right style="dashed">
        <color rgb="FF72AF2F"/>
      </right>
      <top style="dashed">
        <color rgb="FF72AF2F"/>
      </top>
      <bottom style="dashed">
        <color rgb="FF72AF2F"/>
      </bottom>
      <diagonal/>
    </border>
    <border>
      <left style="dashed">
        <color rgb="FF72AF2F"/>
      </left>
      <right style="dashed">
        <color rgb="FF72AF2F"/>
      </right>
      <top style="dashed">
        <color rgb="FF72AF2F"/>
      </top>
      <bottom style="dashed">
        <color rgb="FF72AF2F"/>
      </bottom>
      <diagonal/>
    </border>
    <border>
      <left/>
      <right style="dashed">
        <color rgb="FF7030A0"/>
      </right>
      <top style="dashed">
        <color rgb="FF7030A0"/>
      </top>
      <bottom style="dashed">
        <color rgb="FF7030A0"/>
      </bottom>
      <diagonal/>
    </border>
    <border>
      <left style="dashed">
        <color rgb="FF72AF2F"/>
      </left>
      <right style="mediumDashed">
        <color rgb="FF72AF2F"/>
      </right>
      <top style="mediumDashed">
        <color theme="6" tint="-0.24994659260841701"/>
      </top>
      <bottom style="dashed">
        <color rgb="FF72AF2F"/>
      </bottom>
      <diagonal/>
    </border>
    <border>
      <left style="mediumDashed">
        <color rgb="FF72AF2F"/>
      </left>
      <right style="dashed">
        <color rgb="FF72AF2F"/>
      </right>
      <top style="mediumDashed">
        <color theme="6" tint="-0.24994659260841701"/>
      </top>
      <bottom style="dashed">
        <color rgb="FF72AF2F"/>
      </bottom>
      <diagonal/>
    </border>
    <border>
      <left style="dashed">
        <color rgb="FF72AF2F"/>
      </left>
      <right style="mediumDashed">
        <color rgb="FF72AF2F"/>
      </right>
      <top style="dashed">
        <color rgb="FF72AF2F"/>
      </top>
      <bottom style="dashed">
        <color rgb="FF72AF2F"/>
      </bottom>
      <diagonal/>
    </border>
    <border>
      <left style="mediumDashed">
        <color rgb="FF72AF2F"/>
      </left>
      <right style="dashed">
        <color rgb="FF72AF2F"/>
      </right>
      <top style="dashed">
        <color rgb="FF72AF2F"/>
      </top>
      <bottom style="dashed">
        <color rgb="FF72AF2F"/>
      </bottom>
      <diagonal/>
    </border>
    <border>
      <left/>
      <right style="dashed">
        <color theme="9" tint="-0.24994659260841701"/>
      </right>
      <top style="dashed">
        <color theme="9" tint="-0.24994659260841701"/>
      </top>
      <bottom/>
      <diagonal/>
    </border>
    <border>
      <left style="dashed">
        <color theme="9" tint="-0.24994659260841701"/>
      </left>
      <right/>
      <top style="mediumDashed">
        <color theme="6" tint="-0.24994659260841701"/>
      </top>
      <bottom style="mediumDashed">
        <color theme="6" tint="-0.24994659260841701"/>
      </bottom>
      <diagonal/>
    </border>
    <border>
      <left style="dashed">
        <color theme="9" tint="-0.24994659260841701"/>
      </left>
      <right style="mediumDashed">
        <color theme="6" tint="-0.24994659260841701"/>
      </right>
      <top style="mediumDashed">
        <color theme="6" tint="-0.24994659260841701"/>
      </top>
      <bottom style="mediumDashed">
        <color theme="6" tint="-0.24994659260841701"/>
      </bottom>
      <diagonal/>
    </border>
    <border>
      <left style="mediumDashed">
        <color theme="9" tint="-0.24994659260841701"/>
      </left>
      <right style="dashed">
        <color theme="9" tint="-0.24994659260841701"/>
      </right>
      <top style="dashed">
        <color theme="9" tint="-0.24994659260841701"/>
      </top>
      <bottom style="mediumDashed">
        <color theme="9" tint="-0.24994659260841701"/>
      </bottom>
      <diagonal/>
    </border>
    <border>
      <left style="dashed">
        <color theme="9" tint="-0.24994659260841701"/>
      </left>
      <right style="dashed">
        <color theme="9" tint="-0.24994659260841701"/>
      </right>
      <top style="dashed">
        <color theme="9" tint="-0.24994659260841701"/>
      </top>
      <bottom style="mediumDashed">
        <color theme="9" tint="-0.24994659260841701"/>
      </bottom>
      <diagonal/>
    </border>
    <border>
      <left style="dashed">
        <color theme="9" tint="-0.24994659260841701"/>
      </left>
      <right style="mediumDashed">
        <color theme="9" tint="-0.24994659260841701"/>
      </right>
      <top style="dashed">
        <color theme="9" tint="-0.24994659260841701"/>
      </top>
      <bottom style="mediumDashed">
        <color theme="9" tint="-0.24994659260841701"/>
      </bottom>
      <diagonal/>
    </border>
    <border>
      <left style="dashed">
        <color theme="9" tint="-0.24994659260841701"/>
      </left>
      <right/>
      <top style="dashed">
        <color theme="9" tint="-0.24994659260841701"/>
      </top>
      <bottom style="mediumDashed">
        <color theme="9" tint="-0.24994659260841701"/>
      </bottom>
      <diagonal/>
    </border>
    <border>
      <left/>
      <right/>
      <top style="dashed">
        <color theme="9" tint="-0.24994659260841701"/>
      </top>
      <bottom style="mediumDashed">
        <color theme="9" tint="-0.24994659260841701"/>
      </bottom>
      <diagonal/>
    </border>
    <border>
      <left style="dashed">
        <color theme="9" tint="-0.24994659260841701"/>
      </left>
      <right style="mediumDashed">
        <color rgb="FF7030A0"/>
      </right>
      <top style="dashed">
        <color theme="9" tint="-0.24994659260841701"/>
      </top>
      <bottom style="mediumDashed">
        <color theme="9" tint="-0.24994659260841701"/>
      </bottom>
      <diagonal/>
    </border>
    <border>
      <left style="dashed">
        <color rgb="FF7030A0"/>
      </left>
      <right style="dashed">
        <color rgb="FF7030A0"/>
      </right>
      <top style="dashed">
        <color rgb="FF7030A0"/>
      </top>
      <bottom style="mediumDashed">
        <color rgb="FF7030A0"/>
      </bottom>
      <diagonal/>
    </border>
    <border>
      <left style="dashed">
        <color rgb="FF7030A0"/>
      </left>
      <right style="mediumDashed">
        <color rgb="FF7030A0"/>
      </right>
      <top style="dashed">
        <color rgb="FF7030A0"/>
      </top>
      <bottom style="mediumDashed">
        <color rgb="FF7030A0"/>
      </bottom>
      <diagonal/>
    </border>
    <border>
      <left style="mediumDashed">
        <color rgb="FF7030A0"/>
      </left>
      <right style="dashed">
        <color rgb="FF7030A0"/>
      </right>
      <top style="dashed">
        <color rgb="FF7030A0"/>
      </top>
      <bottom style="mediumDashed">
        <color rgb="FF7030A0"/>
      </bottom>
      <diagonal/>
    </border>
    <border>
      <left/>
      <right style="dashed">
        <color rgb="FF7030A0"/>
      </right>
      <top style="dashed">
        <color rgb="FF7030A0"/>
      </top>
      <bottom style="mediumDashed">
        <color rgb="FF7030A0"/>
      </bottom>
      <diagonal/>
    </border>
    <border>
      <left style="dashed">
        <color rgb="FF72AF2F"/>
      </left>
      <right style="dashed">
        <color rgb="FF72AF2F"/>
      </right>
      <top style="dashed">
        <color rgb="FF72AF2F"/>
      </top>
      <bottom style="mediumDashed">
        <color rgb="FF72AF2F"/>
      </bottom>
      <diagonal/>
    </border>
    <border>
      <left style="dashed">
        <color rgb="FF72AF2F"/>
      </left>
      <right style="mediumDashed">
        <color rgb="FF72AF2F"/>
      </right>
      <top style="dashed">
        <color rgb="FF72AF2F"/>
      </top>
      <bottom style="mediumDashed">
        <color rgb="FF72AF2F"/>
      </bottom>
      <diagonal/>
    </border>
    <border>
      <left style="mediumDashed">
        <color rgb="FF72AF2F"/>
      </left>
      <right style="dashed">
        <color rgb="FF72AF2F"/>
      </right>
      <top style="dashed">
        <color rgb="FF72AF2F"/>
      </top>
      <bottom style="mediumDashed">
        <color rgb="FF72AF2F"/>
      </bottom>
      <diagonal/>
    </border>
    <border>
      <left style="dashed">
        <color theme="9" tint="-0.24994659260841701"/>
      </left>
      <right/>
      <top/>
      <bottom/>
      <diagonal/>
    </border>
    <border>
      <left style="dashed">
        <color theme="9" tint="-0.24994659260841701"/>
      </left>
      <right style="dashed">
        <color theme="9" tint="-0.24994659260841701"/>
      </right>
      <top style="dashed">
        <color theme="9" tint="-0.24994659260841701"/>
      </top>
      <bottom/>
      <diagonal/>
    </border>
    <border>
      <left style="dotted">
        <color rgb="FFE36C09"/>
      </left>
      <right style="dotted">
        <color rgb="FFE36C09"/>
      </right>
      <top style="dotted">
        <color rgb="FFE36C09"/>
      </top>
      <bottom style="dotted">
        <color rgb="FFE36C09"/>
      </bottom>
      <diagonal/>
    </border>
    <border>
      <left style="dashed">
        <color theme="9" tint="-0.24994659260841701"/>
      </left>
      <right style="mediumDashed">
        <color rgb="FF7030A0"/>
      </right>
      <top style="dashed">
        <color theme="9" tint="-0.24994659260841701"/>
      </top>
      <bottom/>
      <diagonal/>
    </border>
    <border>
      <left/>
      <right style="dashed">
        <color theme="9" tint="-0.24994659260841701"/>
      </right>
      <top/>
      <bottom/>
      <diagonal/>
    </border>
    <border>
      <left style="dashed">
        <color rgb="FFE26B0A"/>
      </left>
      <right style="dashed">
        <color rgb="FFE26B0A"/>
      </right>
      <top style="dashed">
        <color rgb="FFE26B0A"/>
      </top>
      <bottom style="dashed">
        <color rgb="FFE26B0A"/>
      </bottom>
      <diagonal/>
    </border>
    <border>
      <left/>
      <right style="dashed">
        <color rgb="FFE26B0A"/>
      </right>
      <top style="dashed">
        <color rgb="FFE26B0A"/>
      </top>
      <bottom style="dashed">
        <color rgb="FFE26B0A"/>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double">
        <color auto="1"/>
      </left>
      <right/>
      <top style="double">
        <color auto="1"/>
      </top>
      <bottom/>
      <diagonal/>
    </border>
    <border>
      <left/>
      <right style="thin">
        <color theme="0"/>
      </right>
      <top style="double">
        <color auto="1"/>
      </top>
      <bottom/>
      <diagonal/>
    </border>
    <border>
      <left style="thin">
        <color theme="0"/>
      </left>
      <right/>
      <top style="double">
        <color auto="1"/>
      </top>
      <bottom style="thin">
        <color auto="1"/>
      </bottom>
      <diagonal/>
    </border>
    <border>
      <left/>
      <right style="double">
        <color auto="1"/>
      </right>
      <top style="double">
        <color auto="1"/>
      </top>
      <bottom style="thin">
        <color auto="1"/>
      </bottom>
      <diagonal/>
    </border>
    <border>
      <left style="double">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double">
        <color auto="1"/>
      </right>
      <top style="thin">
        <color auto="1"/>
      </top>
      <bottom style="hair">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double">
        <color auto="1"/>
      </right>
      <top style="hair">
        <color auto="1"/>
      </top>
      <bottom style="hair">
        <color auto="1"/>
      </bottom>
      <diagonal/>
    </border>
    <border>
      <left style="double">
        <color auto="1"/>
      </left>
      <right/>
      <top style="hair">
        <color auto="1"/>
      </top>
      <bottom style="hair">
        <color auto="1"/>
      </bottom>
      <diagonal/>
    </border>
    <border>
      <left/>
      <right style="hair">
        <color auto="1"/>
      </right>
      <top style="hair">
        <color auto="1"/>
      </top>
      <bottom style="hair">
        <color auto="1"/>
      </bottom>
      <diagonal/>
    </border>
    <border>
      <left style="double">
        <color auto="1"/>
      </left>
      <right/>
      <top style="hair">
        <color auto="1"/>
      </top>
      <bottom style="double">
        <color auto="1"/>
      </bottom>
      <diagonal/>
    </border>
    <border>
      <left/>
      <right style="hair">
        <color auto="1"/>
      </right>
      <top style="hair">
        <color auto="1"/>
      </top>
      <bottom style="double">
        <color auto="1"/>
      </bottom>
      <diagonal/>
    </border>
    <border>
      <left style="hair">
        <color auto="1"/>
      </left>
      <right/>
      <top style="hair">
        <color auto="1"/>
      </top>
      <bottom style="double">
        <color auto="1"/>
      </bottom>
      <diagonal/>
    </border>
    <border>
      <left/>
      <right style="double">
        <color auto="1"/>
      </right>
      <top style="hair">
        <color auto="1"/>
      </top>
      <bottom style="double">
        <color auto="1"/>
      </bottom>
      <diagonal/>
    </border>
  </borders>
  <cellStyleXfs count="7">
    <xf numFmtId="0" fontId="0" fillId="0" borderId="0"/>
    <xf numFmtId="9" fontId="80" fillId="0" borderId="0" applyFont="0" applyFill="0" applyBorder="0" applyAlignment="0" applyProtection="0"/>
    <xf numFmtId="41" fontId="80" fillId="0" borderId="0" applyFont="0" applyFill="0" applyBorder="0" applyAlignment="0" applyProtection="0"/>
    <xf numFmtId="0" fontId="70" fillId="0" borderId="0"/>
    <xf numFmtId="0" fontId="1" fillId="0" borderId="0"/>
    <xf numFmtId="0" fontId="71" fillId="0" borderId="0"/>
    <xf numFmtId="0" fontId="56" fillId="0" borderId="0"/>
  </cellStyleXfs>
  <cellXfs count="896">
    <xf numFmtId="0" fontId="0" fillId="0" borderId="0" xfId="0"/>
    <xf numFmtId="0" fontId="1" fillId="0" borderId="0" xfId="0" applyFont="1"/>
    <xf numFmtId="0" fontId="2" fillId="0" borderId="1" xfId="0" applyFont="1" applyBorder="1" applyAlignment="1">
      <alignment horizontal="left" vertical="center" wrapText="1" indent="1" readingOrder="1"/>
    </xf>
    <xf numFmtId="0" fontId="1" fillId="2" borderId="0" xfId="0" applyFont="1" applyFill="1"/>
    <xf numFmtId="0" fontId="4" fillId="2" borderId="0" xfId="0" applyFont="1" applyFill="1"/>
    <xf numFmtId="0" fontId="5" fillId="3" borderId="6" xfId="0" applyFont="1" applyFill="1" applyBorder="1" applyAlignment="1">
      <alignment horizontal="center" vertical="center" wrapText="1" readingOrder="1"/>
    </xf>
    <xf numFmtId="0" fontId="5" fillId="3" borderId="7" xfId="0" applyFont="1" applyFill="1" applyBorder="1" applyAlignment="1">
      <alignment horizontal="center" vertical="center" wrapText="1" readingOrder="1"/>
    </xf>
    <xf numFmtId="0" fontId="5" fillId="2" borderId="9" xfId="0" applyFont="1" applyFill="1" applyBorder="1" applyAlignment="1">
      <alignment horizontal="center" vertical="center" wrapText="1" readingOrder="1"/>
    </xf>
    <xf numFmtId="0" fontId="6" fillId="2" borderId="9" xfId="0" applyFont="1" applyFill="1" applyBorder="1" applyAlignment="1">
      <alignment horizontal="justify" vertical="center" wrapText="1" readingOrder="1"/>
    </xf>
    <xf numFmtId="9" fontId="5" fillId="2" borderId="10" xfId="0" applyNumberFormat="1" applyFont="1" applyFill="1" applyBorder="1" applyAlignment="1">
      <alignment horizontal="center" vertical="center" wrapText="1" readingOrder="1"/>
    </xf>
    <xf numFmtId="0" fontId="5" fillId="2" borderId="12" xfId="0" applyFont="1" applyFill="1" applyBorder="1" applyAlignment="1">
      <alignment horizontal="center" vertical="center" wrapText="1" readingOrder="1"/>
    </xf>
    <xf numFmtId="0" fontId="6" fillId="2" borderId="12" xfId="0" applyFont="1" applyFill="1" applyBorder="1" applyAlignment="1">
      <alignment horizontal="justify" vertical="center" wrapText="1" readingOrder="1"/>
    </xf>
    <xf numFmtId="9" fontId="5" fillId="2" borderId="13" xfId="0" applyNumberFormat="1" applyFont="1" applyFill="1" applyBorder="1" applyAlignment="1">
      <alignment horizontal="center" vertical="center" wrapText="1" readingOrder="1"/>
    </xf>
    <xf numFmtId="0" fontId="6" fillId="2" borderId="13" xfId="0" applyFont="1" applyFill="1" applyBorder="1" applyAlignment="1">
      <alignment horizontal="center" vertical="center" wrapText="1" readingOrder="1"/>
    </xf>
    <xf numFmtId="0" fontId="5" fillId="2" borderId="15" xfId="0" applyFont="1" applyFill="1" applyBorder="1" applyAlignment="1">
      <alignment horizontal="center" vertical="center" wrapText="1" readingOrder="1"/>
    </xf>
    <xf numFmtId="0" fontId="6" fillId="2" borderId="15" xfId="0" applyFont="1" applyFill="1" applyBorder="1" applyAlignment="1">
      <alignment horizontal="justify" vertical="center" wrapText="1" readingOrder="1"/>
    </xf>
    <xf numFmtId="0" fontId="6" fillId="2" borderId="16" xfId="0" applyFont="1" applyFill="1" applyBorder="1" applyAlignment="1">
      <alignment horizontal="center" vertical="center" wrapText="1" readingOrder="1"/>
    </xf>
    <xf numFmtId="0" fontId="8" fillId="2" borderId="0" xfId="0" applyFont="1" applyFill="1"/>
    <xf numFmtId="0" fontId="0" fillId="2" borderId="0" xfId="0" applyFill="1"/>
    <xf numFmtId="0" fontId="10" fillId="2" borderId="0" xfId="0" applyFont="1" applyFill="1" applyAlignment="1">
      <alignment horizontal="center" vertical="center" wrapText="1"/>
    </xf>
    <xf numFmtId="0" fontId="11" fillId="4" borderId="0" xfId="0" applyFont="1" applyFill="1" applyAlignment="1">
      <alignment horizontal="center" vertical="center" wrapText="1" readingOrder="1"/>
    </xf>
    <xf numFmtId="0" fontId="12" fillId="2" borderId="0" xfId="0" applyFont="1" applyFill="1"/>
    <xf numFmtId="0" fontId="13" fillId="5" borderId="17" xfId="0" applyFont="1" applyFill="1" applyBorder="1" applyAlignment="1">
      <alignment horizontal="center" vertical="center" wrapText="1" readingOrder="1"/>
    </xf>
    <xf numFmtId="0" fontId="13" fillId="0" borderId="17" xfId="0" applyFont="1" applyBorder="1" applyAlignment="1">
      <alignment horizontal="center" vertical="center" wrapText="1" readingOrder="1"/>
    </xf>
    <xf numFmtId="0" fontId="13" fillId="0" borderId="17" xfId="0" applyFont="1" applyBorder="1" applyAlignment="1">
      <alignment horizontal="justify" vertical="center" wrapText="1" readingOrder="1"/>
    </xf>
    <xf numFmtId="0" fontId="13" fillId="6" borderId="1" xfId="0" applyFont="1" applyFill="1" applyBorder="1" applyAlignment="1">
      <alignment horizontal="center" vertical="center" wrapText="1" readingOrder="1"/>
    </xf>
    <xf numFmtId="0" fontId="13" fillId="0" borderId="1" xfId="0" applyFont="1" applyBorder="1" applyAlignment="1">
      <alignment horizontal="center" vertical="center" wrapText="1" readingOrder="1"/>
    </xf>
    <xf numFmtId="0" fontId="13" fillId="0" borderId="1" xfId="0" applyFont="1" applyBorder="1" applyAlignment="1">
      <alignment horizontal="justify" vertical="center" wrapText="1" readingOrder="1"/>
    </xf>
    <xf numFmtId="0" fontId="13" fillId="7" borderId="1" xfId="0" applyFont="1" applyFill="1" applyBorder="1" applyAlignment="1">
      <alignment horizontal="center" vertical="center" wrapText="1" readingOrder="1"/>
    </xf>
    <xf numFmtId="0" fontId="13" fillId="8" borderId="1" xfId="0" applyFont="1" applyFill="1" applyBorder="1" applyAlignment="1">
      <alignment horizontal="center" vertical="center" wrapText="1" readingOrder="1"/>
    </xf>
    <xf numFmtId="0" fontId="14" fillId="9" borderId="1" xfId="0" applyFont="1" applyFill="1" applyBorder="1" applyAlignment="1">
      <alignment horizontal="center" vertical="center" wrapText="1" readingOrder="1"/>
    </xf>
    <xf numFmtId="0" fontId="15" fillId="2" borderId="0" xfId="0" applyFont="1" applyFill="1" applyBorder="1" applyAlignment="1">
      <alignment horizontal="justify" vertical="center" wrapText="1" readingOrder="1"/>
    </xf>
    <xf numFmtId="0" fontId="16" fillId="2" borderId="0" xfId="0" applyFont="1" applyFill="1" applyAlignment="1">
      <alignment vertical="center"/>
    </xf>
    <xf numFmtId="0" fontId="17" fillId="2" borderId="0" xfId="0" applyFont="1" applyFill="1"/>
    <xf numFmtId="0" fontId="12" fillId="0" borderId="0" xfId="0" applyFont="1"/>
    <xf numFmtId="0" fontId="15" fillId="0" borderId="0" xfId="0" applyFont="1" applyBorder="1" applyAlignment="1">
      <alignment horizontal="justify" vertical="center" wrapText="1" readingOrder="1"/>
    </xf>
    <xf numFmtId="0" fontId="18" fillId="0" borderId="0" xfId="0" applyFont="1" applyFill="1" applyAlignment="1">
      <alignment vertical="center"/>
    </xf>
    <xf numFmtId="0" fontId="19" fillId="0" borderId="0" xfId="0" applyFont="1" applyFill="1"/>
    <xf numFmtId="0" fontId="20" fillId="0" borderId="0" xfId="0" applyFont="1"/>
    <xf numFmtId="0" fontId="21" fillId="0" borderId="0" xfId="0" applyFont="1"/>
    <xf numFmtId="0" fontId="17" fillId="0" borderId="0" xfId="0" applyFont="1"/>
    <xf numFmtId="0" fontId="23" fillId="0" borderId="0" xfId="0" applyFont="1" applyAlignment="1">
      <alignment horizontal="center" vertical="center" wrapText="1"/>
    </xf>
    <xf numFmtId="0" fontId="24" fillId="4" borderId="0" xfId="0" applyFont="1" applyFill="1" applyAlignment="1">
      <alignment horizontal="center" vertical="center" wrapText="1" readingOrder="1"/>
    </xf>
    <xf numFmtId="0" fontId="25" fillId="5" borderId="17" xfId="0" applyFont="1" applyFill="1" applyBorder="1" applyAlignment="1">
      <alignment horizontal="center" vertical="center" wrapText="1" readingOrder="1"/>
    </xf>
    <xf numFmtId="0" fontId="25" fillId="0" borderId="17" xfId="0" applyFont="1" applyBorder="1" applyAlignment="1">
      <alignment horizontal="justify" vertical="center" wrapText="1" readingOrder="1"/>
    </xf>
    <xf numFmtId="9" fontId="25" fillId="0" borderId="17" xfId="0" applyNumberFormat="1" applyFont="1" applyBorder="1" applyAlignment="1">
      <alignment horizontal="center" vertical="center" wrapText="1" readingOrder="1"/>
    </xf>
    <xf numFmtId="0" fontId="25" fillId="6" borderId="1" xfId="0" applyFont="1" applyFill="1" applyBorder="1" applyAlignment="1">
      <alignment horizontal="center" vertical="center" wrapText="1" readingOrder="1"/>
    </xf>
    <xf numFmtId="0" fontId="25" fillId="0" borderId="1" xfId="0" applyFont="1" applyBorder="1" applyAlignment="1">
      <alignment horizontal="justify" vertical="center" wrapText="1" readingOrder="1"/>
    </xf>
    <xf numFmtId="9" fontId="25" fillId="0" borderId="1" xfId="0" applyNumberFormat="1" applyFont="1" applyBorder="1" applyAlignment="1">
      <alignment horizontal="center" vertical="center" wrapText="1" readingOrder="1"/>
    </xf>
    <xf numFmtId="0" fontId="25" fillId="7" borderId="1" xfId="0" applyFont="1" applyFill="1" applyBorder="1" applyAlignment="1">
      <alignment horizontal="center" vertical="center" wrapText="1" readingOrder="1"/>
    </xf>
    <xf numFmtId="0" fontId="25" fillId="8" borderId="1" xfId="0" applyFont="1" applyFill="1" applyBorder="1" applyAlignment="1">
      <alignment horizontal="center" vertical="center" wrapText="1" readingOrder="1"/>
    </xf>
    <xf numFmtId="0" fontId="26" fillId="9" borderId="1" xfId="0" applyFont="1" applyFill="1" applyBorder="1" applyAlignment="1">
      <alignment horizontal="center" vertical="center" wrapText="1" readingOrder="1"/>
    </xf>
    <xf numFmtId="0" fontId="16" fillId="2" borderId="0" xfId="0" applyFont="1" applyFill="1" applyAlignment="1">
      <alignment horizontal="left" vertical="center"/>
    </xf>
    <xf numFmtId="0" fontId="31" fillId="2" borderId="0" xfId="0" applyFont="1" applyFill="1" applyAlignment="1">
      <alignment vertical="center"/>
    </xf>
    <xf numFmtId="0" fontId="32" fillId="11" borderId="19" xfId="0" applyFont="1" applyFill="1" applyBorder="1" applyAlignment="1" applyProtection="1">
      <alignment horizontal="center" vertical="center" wrapText="1" readingOrder="1"/>
      <protection hidden="1"/>
    </xf>
    <xf numFmtId="0" fontId="32" fillId="11" borderId="20" xfId="0" applyFont="1" applyFill="1" applyBorder="1" applyAlignment="1" applyProtection="1">
      <alignment horizontal="center" vertical="center" wrapText="1" readingOrder="1"/>
      <protection hidden="1"/>
    </xf>
    <xf numFmtId="0" fontId="32" fillId="11" borderId="24" xfId="0" applyFont="1" applyFill="1" applyBorder="1" applyAlignment="1" applyProtection="1">
      <alignment horizontal="center" vertical="center" wrapText="1" readingOrder="1"/>
      <protection hidden="1"/>
    </xf>
    <xf numFmtId="0" fontId="32" fillId="11" borderId="21" xfId="0" applyFont="1" applyFill="1" applyBorder="1" applyAlignment="1" applyProtection="1">
      <alignment horizontal="center" vertical="center" wrapText="1" readingOrder="1"/>
      <protection hidden="1"/>
    </xf>
    <xf numFmtId="0" fontId="32" fillId="11" borderId="0" xfId="0" applyFont="1" applyFill="1" applyBorder="1" applyAlignment="1" applyProtection="1">
      <alignment horizontal="center" vertical="center" wrapText="1" readingOrder="1"/>
      <protection hidden="1"/>
    </xf>
    <xf numFmtId="0" fontId="32" fillId="11" borderId="18" xfId="0" applyFont="1" applyFill="1" applyBorder="1" applyAlignment="1" applyProtection="1">
      <alignment horizontal="center" vertical="center" wrapText="1" readingOrder="1"/>
      <protection hidden="1"/>
    </xf>
    <xf numFmtId="0" fontId="32" fillId="11" borderId="0" xfId="0" applyFont="1" applyFill="1" applyAlignment="1" applyProtection="1">
      <alignment horizontal="center" vertical="center" wrapText="1" readingOrder="1"/>
      <protection hidden="1"/>
    </xf>
    <xf numFmtId="0" fontId="32" fillId="11" borderId="22" xfId="0" applyFont="1" applyFill="1" applyBorder="1" applyAlignment="1" applyProtection="1">
      <alignment horizontal="center" vertical="center" wrapText="1" readingOrder="1"/>
      <protection hidden="1"/>
    </xf>
    <xf numFmtId="0" fontId="32" fillId="11" borderId="23" xfId="0" applyFont="1" applyFill="1" applyBorder="1" applyAlignment="1" applyProtection="1">
      <alignment horizontal="center" vertical="center" wrapText="1" readingOrder="1"/>
      <protection hidden="1"/>
    </xf>
    <xf numFmtId="0" fontId="32" fillId="11" borderId="25" xfId="0" applyFont="1" applyFill="1" applyBorder="1" applyAlignment="1" applyProtection="1">
      <alignment horizontal="center" vertical="center" wrapText="1" readingOrder="1"/>
      <protection hidden="1"/>
    </xf>
    <xf numFmtId="0" fontId="32" fillId="12" borderId="19" xfId="0" applyFont="1" applyFill="1" applyBorder="1" applyAlignment="1" applyProtection="1">
      <alignment horizontal="center" wrapText="1" readingOrder="1"/>
      <protection hidden="1"/>
    </xf>
    <xf numFmtId="0" fontId="32" fillId="12" borderId="20" xfId="0" applyFont="1" applyFill="1" applyBorder="1" applyAlignment="1" applyProtection="1">
      <alignment horizontal="center" wrapText="1" readingOrder="1"/>
      <protection hidden="1"/>
    </xf>
    <xf numFmtId="0" fontId="32" fillId="12" borderId="24" xfId="0" applyFont="1" applyFill="1" applyBorder="1" applyAlignment="1" applyProtection="1">
      <alignment horizontal="center" wrapText="1" readingOrder="1"/>
      <protection hidden="1"/>
    </xf>
    <xf numFmtId="0" fontId="32" fillId="12" borderId="21" xfId="0" applyFont="1" applyFill="1" applyBorder="1" applyAlignment="1" applyProtection="1">
      <alignment horizontal="center" wrapText="1" readingOrder="1"/>
      <protection hidden="1"/>
    </xf>
    <xf numFmtId="0" fontId="32" fillId="12" borderId="0" xfId="0" applyFont="1" applyFill="1" applyBorder="1" applyAlignment="1" applyProtection="1">
      <alignment horizontal="center" wrapText="1" readingOrder="1"/>
      <protection hidden="1"/>
    </xf>
    <xf numFmtId="0" fontId="32" fillId="12" borderId="18" xfId="0" applyFont="1" applyFill="1" applyBorder="1" applyAlignment="1" applyProtection="1">
      <alignment horizontal="center" wrapText="1" readingOrder="1"/>
      <protection hidden="1"/>
    </xf>
    <xf numFmtId="0" fontId="32" fillId="12" borderId="22" xfId="0" applyFont="1" applyFill="1" applyBorder="1" applyAlignment="1" applyProtection="1">
      <alignment horizontal="center" wrapText="1" readingOrder="1"/>
      <protection hidden="1"/>
    </xf>
    <xf numFmtId="0" fontId="32" fillId="12" borderId="23" xfId="0" applyFont="1" applyFill="1" applyBorder="1" applyAlignment="1" applyProtection="1">
      <alignment horizontal="center" wrapText="1" readingOrder="1"/>
      <protection hidden="1"/>
    </xf>
    <xf numFmtId="0" fontId="32" fillId="12" borderId="25" xfId="0" applyFont="1" applyFill="1" applyBorder="1" applyAlignment="1" applyProtection="1">
      <alignment horizontal="center" wrapText="1" readingOrder="1"/>
      <protection hidden="1"/>
    </xf>
    <xf numFmtId="0" fontId="32" fillId="5" borderId="19" xfId="0" applyFont="1" applyFill="1" applyBorder="1" applyAlignment="1" applyProtection="1">
      <alignment horizontal="center" wrapText="1" readingOrder="1"/>
      <protection hidden="1"/>
    </xf>
    <xf numFmtId="0" fontId="32" fillId="5" borderId="20" xfId="0" applyFont="1" applyFill="1" applyBorder="1" applyAlignment="1" applyProtection="1">
      <alignment horizontal="center" wrapText="1" readingOrder="1"/>
      <protection hidden="1"/>
    </xf>
    <xf numFmtId="0" fontId="32" fillId="5" borderId="24" xfId="0" applyFont="1" applyFill="1" applyBorder="1" applyAlignment="1" applyProtection="1">
      <alignment horizontal="center" wrapText="1" readingOrder="1"/>
      <protection hidden="1"/>
    </xf>
    <xf numFmtId="0" fontId="32" fillId="5" borderId="21" xfId="0" applyFont="1" applyFill="1" applyBorder="1" applyAlignment="1" applyProtection="1">
      <alignment horizontal="center" wrapText="1" readingOrder="1"/>
      <protection hidden="1"/>
    </xf>
    <xf numFmtId="0" fontId="32" fillId="5" borderId="0" xfId="0" applyFont="1" applyFill="1" applyBorder="1" applyAlignment="1" applyProtection="1">
      <alignment horizontal="center" wrapText="1" readingOrder="1"/>
      <protection hidden="1"/>
    </xf>
    <xf numFmtId="0" fontId="32" fillId="5" borderId="18" xfId="0" applyFont="1" applyFill="1" applyBorder="1" applyAlignment="1" applyProtection="1">
      <alignment horizontal="center" wrapText="1" readingOrder="1"/>
      <protection hidden="1"/>
    </xf>
    <xf numFmtId="0" fontId="32" fillId="5" borderId="22" xfId="0" applyFont="1" applyFill="1" applyBorder="1" applyAlignment="1" applyProtection="1">
      <alignment horizontal="center" wrapText="1" readingOrder="1"/>
      <protection hidden="1"/>
    </xf>
    <xf numFmtId="0" fontId="32" fillId="5" borderId="23" xfId="0" applyFont="1" applyFill="1" applyBorder="1" applyAlignment="1" applyProtection="1">
      <alignment horizontal="center" wrapText="1" readingOrder="1"/>
      <protection hidden="1"/>
    </xf>
    <xf numFmtId="0" fontId="32" fillId="5" borderId="25" xfId="0" applyFont="1" applyFill="1" applyBorder="1" applyAlignment="1" applyProtection="1">
      <alignment horizontal="center" wrapText="1" readingOrder="1"/>
      <protection hidden="1"/>
    </xf>
    <xf numFmtId="0" fontId="33" fillId="12" borderId="20" xfId="0" applyFont="1" applyFill="1" applyBorder="1" applyAlignment="1" applyProtection="1">
      <alignment horizontal="center" wrapText="1" readingOrder="1"/>
      <protection hidden="1"/>
    </xf>
    <xf numFmtId="0" fontId="32" fillId="13" borderId="19" xfId="0" applyFont="1" applyFill="1" applyBorder="1" applyAlignment="1" applyProtection="1">
      <alignment horizontal="center" wrapText="1" readingOrder="1"/>
      <protection hidden="1"/>
    </xf>
    <xf numFmtId="0" fontId="32" fillId="13" borderId="20" xfId="0" applyFont="1" applyFill="1" applyBorder="1" applyAlignment="1" applyProtection="1">
      <alignment horizontal="center" wrapText="1" readingOrder="1"/>
      <protection hidden="1"/>
    </xf>
    <xf numFmtId="0" fontId="32" fillId="13" borderId="24" xfId="0" applyFont="1" applyFill="1" applyBorder="1" applyAlignment="1" applyProtection="1">
      <alignment horizontal="center" wrapText="1" readingOrder="1"/>
      <protection hidden="1"/>
    </xf>
    <xf numFmtId="0" fontId="32" fillId="13" borderId="21" xfId="0" applyFont="1" applyFill="1" applyBorder="1" applyAlignment="1" applyProtection="1">
      <alignment horizontal="center" wrapText="1" readingOrder="1"/>
      <protection hidden="1"/>
    </xf>
    <xf numFmtId="0" fontId="32" fillId="13" borderId="0" xfId="0" applyFont="1" applyFill="1" applyBorder="1" applyAlignment="1" applyProtection="1">
      <alignment horizontal="center" wrapText="1" readingOrder="1"/>
      <protection hidden="1"/>
    </xf>
    <xf numFmtId="0" fontId="32" fillId="13" borderId="18" xfId="0" applyFont="1" applyFill="1" applyBorder="1" applyAlignment="1" applyProtection="1">
      <alignment horizontal="center" wrapText="1" readingOrder="1"/>
      <protection hidden="1"/>
    </xf>
    <xf numFmtId="0" fontId="32" fillId="13" borderId="22" xfId="0" applyFont="1" applyFill="1" applyBorder="1" applyAlignment="1" applyProtection="1">
      <alignment horizontal="center" wrapText="1" readingOrder="1"/>
      <protection hidden="1"/>
    </xf>
    <xf numFmtId="0" fontId="32" fillId="13" borderId="23" xfId="0" applyFont="1" applyFill="1" applyBorder="1" applyAlignment="1" applyProtection="1">
      <alignment horizontal="center" wrapText="1" readingOrder="1"/>
      <protection hidden="1"/>
    </xf>
    <xf numFmtId="0" fontId="32" fillId="13" borderId="25" xfId="0" applyFont="1" applyFill="1" applyBorder="1" applyAlignment="1" applyProtection="1">
      <alignment horizontal="center" wrapText="1" readingOrder="1"/>
      <protection hidden="1"/>
    </xf>
    <xf numFmtId="0" fontId="37" fillId="12" borderId="19" xfId="0" applyFont="1" applyFill="1" applyBorder="1" applyAlignment="1" applyProtection="1">
      <alignment horizontal="center" wrapText="1" readingOrder="1"/>
      <protection hidden="1"/>
    </xf>
    <xf numFmtId="0" fontId="37" fillId="12" borderId="20" xfId="0" applyFont="1" applyFill="1" applyBorder="1" applyAlignment="1" applyProtection="1">
      <alignment horizontal="center" wrapText="1" readingOrder="1"/>
      <protection hidden="1"/>
    </xf>
    <xf numFmtId="0" fontId="37" fillId="12" borderId="24" xfId="0" applyFont="1" applyFill="1" applyBorder="1" applyAlignment="1" applyProtection="1">
      <alignment horizontal="center" wrapText="1" readingOrder="1"/>
      <protection hidden="1"/>
    </xf>
    <xf numFmtId="0" fontId="37" fillId="12" borderId="21" xfId="0" applyFont="1" applyFill="1" applyBorder="1" applyAlignment="1" applyProtection="1">
      <alignment horizontal="center" wrapText="1" readingOrder="1"/>
      <protection hidden="1"/>
    </xf>
    <xf numFmtId="0" fontId="37" fillId="12" borderId="0" xfId="0" applyFont="1" applyFill="1" applyBorder="1" applyAlignment="1" applyProtection="1">
      <alignment horizontal="center" wrapText="1" readingOrder="1"/>
      <protection hidden="1"/>
    </xf>
    <xf numFmtId="0" fontId="37" fillId="12" borderId="18" xfId="0" applyFont="1" applyFill="1" applyBorder="1" applyAlignment="1" applyProtection="1">
      <alignment horizontal="center" wrapText="1" readingOrder="1"/>
      <protection hidden="1"/>
    </xf>
    <xf numFmtId="0" fontId="37" fillId="12" borderId="22" xfId="0" applyFont="1" applyFill="1" applyBorder="1" applyAlignment="1" applyProtection="1">
      <alignment horizontal="center" wrapText="1" readingOrder="1"/>
      <protection hidden="1"/>
    </xf>
    <xf numFmtId="0" fontId="37" fillId="12" borderId="23" xfId="0" applyFont="1" applyFill="1" applyBorder="1" applyAlignment="1" applyProtection="1">
      <alignment horizontal="center" wrapText="1" readingOrder="1"/>
      <protection hidden="1"/>
    </xf>
    <xf numFmtId="0" fontId="37" fillId="12" borderId="25" xfId="0" applyFont="1" applyFill="1" applyBorder="1" applyAlignment="1" applyProtection="1">
      <alignment horizontal="center" wrapText="1" readingOrder="1"/>
      <protection hidden="1"/>
    </xf>
    <xf numFmtId="0" fontId="39" fillId="18" borderId="12" xfId="0" applyFont="1" applyFill="1" applyBorder="1" applyAlignment="1">
      <alignment horizontal="center" vertical="center"/>
    </xf>
    <xf numFmtId="0" fontId="0" fillId="0" borderId="12" xfId="0" applyFont="1" applyBorder="1" applyAlignment="1">
      <alignment vertical="center" wrapText="1"/>
    </xf>
    <xf numFmtId="0" fontId="40" fillId="0" borderId="0" xfId="0" applyFont="1" applyAlignment="1">
      <alignment vertical="center"/>
    </xf>
    <xf numFmtId="0" fontId="0" fillId="0" borderId="0" xfId="0" applyAlignment="1">
      <alignment vertical="center"/>
    </xf>
    <xf numFmtId="0" fontId="0" fillId="0" borderId="0" xfId="0" applyFont="1" applyAlignment="1">
      <alignment vertical="center"/>
    </xf>
    <xf numFmtId="0" fontId="40" fillId="0" borderId="0" xfId="0" applyFont="1" applyAlignment="1">
      <alignment horizontal="center" vertical="center"/>
    </xf>
    <xf numFmtId="9" fontId="0" fillId="0" borderId="0" xfId="0" applyNumberFormat="1" applyAlignment="1">
      <alignment vertical="center"/>
    </xf>
    <xf numFmtId="3" fontId="41" fillId="0" borderId="0" xfId="0" applyNumberFormat="1" applyFont="1"/>
    <xf numFmtId="41" fontId="0" fillId="0" borderId="0" xfId="2" applyFont="1" applyAlignment="1">
      <alignment vertical="center"/>
    </xf>
    <xf numFmtId="0" fontId="42" fillId="0" borderId="34" xfId="0" applyFont="1" applyBorder="1" applyAlignment="1">
      <alignment vertical="center" wrapText="1"/>
    </xf>
    <xf numFmtId="0" fontId="0" fillId="0" borderId="0" xfId="0" applyAlignment="1">
      <alignment vertical="center" wrapText="1"/>
    </xf>
    <xf numFmtId="0" fontId="42" fillId="0" borderId="35" xfId="0" applyFont="1" applyBorder="1" applyAlignment="1">
      <alignment vertical="center" wrapText="1"/>
    </xf>
    <xf numFmtId="0" fontId="0" fillId="0" borderId="0" xfId="0" applyAlignment="1">
      <alignment horizontal="center" vertical="center" wrapText="1"/>
    </xf>
    <xf numFmtId="0" fontId="43" fillId="0" borderId="0" xfId="0" applyFont="1" applyAlignment="1">
      <alignment vertical="center" wrapText="1"/>
    </xf>
    <xf numFmtId="0" fontId="17" fillId="0" borderId="0" xfId="0" applyFont="1" applyAlignment="1">
      <alignment vertical="center" wrapText="1"/>
    </xf>
    <xf numFmtId="0" fontId="16" fillId="0" borderId="0" xfId="0" applyFont="1" applyFill="1" applyAlignment="1">
      <alignment horizontal="center" vertical="center"/>
    </xf>
    <xf numFmtId="0" fontId="44" fillId="0" borderId="0" xfId="0" applyFont="1" applyAlignment="1">
      <alignment vertical="center"/>
    </xf>
    <xf numFmtId="0" fontId="44" fillId="0" borderId="0" xfId="0" applyFont="1" applyAlignment="1">
      <alignment horizontal="center" vertical="center"/>
    </xf>
    <xf numFmtId="0" fontId="44" fillId="0" borderId="0" xfId="0" applyFont="1"/>
    <xf numFmtId="0" fontId="44" fillId="2" borderId="0" xfId="0" applyFont="1" applyFill="1" applyAlignment="1">
      <alignment horizontal="center" vertical="center"/>
    </xf>
    <xf numFmtId="0" fontId="44" fillId="2" borderId="0" xfId="0" applyFont="1" applyFill="1"/>
    <xf numFmtId="0" fontId="45" fillId="19" borderId="43" xfId="0" applyFont="1" applyFill="1" applyBorder="1" applyAlignment="1">
      <alignment vertical="center" textRotation="90"/>
    </xf>
    <xf numFmtId="0" fontId="16" fillId="19" borderId="44" xfId="0" applyFont="1" applyFill="1" applyBorder="1" applyAlignment="1">
      <alignment horizontal="center" vertical="center"/>
    </xf>
    <xf numFmtId="0" fontId="16" fillId="19" borderId="44" xfId="0" applyFont="1" applyFill="1" applyBorder="1" applyAlignment="1">
      <alignment horizontal="center" vertical="center" wrapText="1"/>
    </xf>
    <xf numFmtId="0" fontId="16" fillId="19" borderId="45" xfId="0" applyFont="1" applyFill="1" applyBorder="1" applyAlignment="1">
      <alignment horizontal="center" vertical="center"/>
    </xf>
    <xf numFmtId="0" fontId="16" fillId="19" borderId="43" xfId="0" applyFont="1" applyFill="1" applyBorder="1" applyAlignment="1">
      <alignment horizontal="center" vertical="center" textRotation="90" wrapText="1"/>
    </xf>
    <xf numFmtId="0" fontId="16" fillId="19" borderId="45" xfId="0" applyFont="1" applyFill="1" applyBorder="1" applyAlignment="1">
      <alignment horizontal="center" vertical="center" wrapText="1"/>
    </xf>
    <xf numFmtId="0" fontId="44" fillId="20" borderId="46" xfId="0" applyFont="1" applyFill="1" applyBorder="1" applyAlignment="1" applyProtection="1">
      <alignment vertical="center"/>
    </xf>
    <xf numFmtId="0" fontId="44" fillId="21" borderId="47" xfId="0" applyFont="1" applyFill="1" applyBorder="1" applyAlignment="1" applyProtection="1">
      <alignment vertical="center"/>
    </xf>
    <xf numFmtId="0" fontId="44" fillId="21" borderId="47" xfId="0" applyFont="1" applyFill="1" applyBorder="1" applyAlignment="1" applyProtection="1">
      <alignment vertical="center" wrapText="1"/>
      <protection locked="0"/>
    </xf>
    <xf numFmtId="0" fontId="46" fillId="20" borderId="47" xfId="0" applyFont="1" applyFill="1" applyBorder="1" applyAlignment="1" applyProtection="1">
      <alignment vertical="center" wrapText="1"/>
    </xf>
    <xf numFmtId="0" fontId="44" fillId="21" borderId="47" xfId="0" applyFont="1" applyFill="1" applyBorder="1" applyAlignment="1" applyProtection="1">
      <alignment horizontal="center" vertical="center"/>
    </xf>
    <xf numFmtId="0" fontId="47" fillId="20" borderId="47" xfId="0" applyFont="1" applyFill="1" applyBorder="1" applyAlignment="1" applyProtection="1">
      <alignment horizontal="justify" vertical="center" wrapText="1"/>
    </xf>
    <xf numFmtId="0" fontId="44" fillId="20" borderId="48" xfId="0" applyFont="1" applyFill="1" applyBorder="1" applyAlignment="1" applyProtection="1">
      <alignment vertical="center"/>
    </xf>
    <xf numFmtId="0" fontId="44" fillId="21" borderId="49" xfId="0" applyFont="1" applyFill="1" applyBorder="1" applyAlignment="1" applyProtection="1">
      <alignment vertical="center"/>
    </xf>
    <xf numFmtId="0" fontId="44" fillId="21" borderId="49" xfId="0" applyFont="1" applyFill="1" applyBorder="1" applyAlignment="1" applyProtection="1">
      <alignment vertical="center" wrapText="1"/>
      <protection locked="0"/>
    </xf>
    <xf numFmtId="0" fontId="46" fillId="20" borderId="49" xfId="0" applyFont="1" applyFill="1" applyBorder="1" applyAlignment="1" applyProtection="1">
      <alignment vertical="center" wrapText="1"/>
    </xf>
    <xf numFmtId="0" fontId="44" fillId="21" borderId="49" xfId="0" applyFont="1" applyFill="1" applyBorder="1" applyAlignment="1" applyProtection="1">
      <alignment horizontal="center" vertical="center"/>
    </xf>
    <xf numFmtId="0" fontId="47" fillId="20" borderId="49" xfId="0" applyFont="1" applyFill="1" applyBorder="1" applyAlignment="1" applyProtection="1">
      <alignment horizontal="justify" vertical="center" wrapText="1"/>
    </xf>
    <xf numFmtId="0" fontId="44" fillId="20" borderId="49" xfId="0" applyFont="1" applyFill="1" applyBorder="1" applyAlignment="1" applyProtection="1">
      <alignment horizontal="justify" vertical="center"/>
    </xf>
    <xf numFmtId="0" fontId="16" fillId="19" borderId="43" xfId="0" applyFont="1" applyFill="1" applyBorder="1" applyAlignment="1">
      <alignment horizontal="center" vertical="center" wrapText="1"/>
    </xf>
    <xf numFmtId="0" fontId="48" fillId="19" borderId="45" xfId="0" applyFont="1" applyFill="1" applyBorder="1" applyAlignment="1">
      <alignment horizontal="center" vertical="center" wrapText="1"/>
    </xf>
    <xf numFmtId="0" fontId="16" fillId="19" borderId="46" xfId="0" applyFont="1" applyFill="1" applyBorder="1" applyAlignment="1">
      <alignment horizontal="center" vertical="center" wrapText="1"/>
    </xf>
    <xf numFmtId="0" fontId="16" fillId="19" borderId="47" xfId="0" applyFont="1" applyFill="1" applyBorder="1" applyAlignment="1">
      <alignment horizontal="center" vertical="center" wrapText="1"/>
    </xf>
    <xf numFmtId="0" fontId="16" fillId="19" borderId="50" xfId="0" applyFont="1" applyFill="1" applyBorder="1" applyAlignment="1">
      <alignment horizontal="center" vertical="center" wrapText="1"/>
    </xf>
    <xf numFmtId="167" fontId="44" fillId="21" borderId="47" xfId="1" applyNumberFormat="1" applyFont="1" applyFill="1" applyBorder="1" applyAlignment="1">
      <alignment horizontal="center" vertical="center"/>
    </xf>
    <xf numFmtId="0" fontId="16" fillId="21" borderId="47" xfId="0" applyFont="1" applyFill="1" applyBorder="1" applyAlignment="1" applyProtection="1">
      <alignment horizontal="center" vertical="center" textRotation="90" wrapText="1"/>
      <protection hidden="1"/>
    </xf>
    <xf numFmtId="0" fontId="44" fillId="20" borderId="47" xfId="0" applyFont="1" applyFill="1" applyBorder="1" applyAlignment="1" applyProtection="1">
      <alignment horizontal="center" vertical="center" textRotation="90"/>
    </xf>
    <xf numFmtId="0" fontId="44" fillId="20" borderId="50" xfId="0" applyFont="1" applyFill="1" applyBorder="1" applyAlignment="1" applyProtection="1">
      <alignment vertical="center"/>
    </xf>
    <xf numFmtId="0" fontId="44" fillId="0" borderId="48" xfId="0" applyFont="1" applyBorder="1"/>
    <xf numFmtId="0" fontId="44" fillId="0" borderId="49" xfId="0" applyFont="1" applyBorder="1"/>
    <xf numFmtId="0" fontId="44" fillId="0" borderId="51" xfId="0" applyFont="1" applyBorder="1"/>
    <xf numFmtId="167" fontId="44" fillId="21" borderId="49" xfId="1" applyNumberFormat="1" applyFont="1" applyFill="1" applyBorder="1" applyAlignment="1">
      <alignment horizontal="center" vertical="center"/>
    </xf>
    <xf numFmtId="0" fontId="16" fillId="21" borderId="49" xfId="0" applyFont="1" applyFill="1" applyBorder="1" applyAlignment="1" applyProtection="1">
      <alignment horizontal="center" vertical="center" textRotation="90" wrapText="1"/>
      <protection hidden="1"/>
    </xf>
    <xf numFmtId="0" fontId="44" fillId="20" borderId="49" xfId="0" applyFont="1" applyFill="1" applyBorder="1" applyAlignment="1" applyProtection="1">
      <alignment horizontal="center" vertical="center" textRotation="90"/>
    </xf>
    <xf numFmtId="0" fontId="44" fillId="20" borderId="51" xfId="0" applyFont="1" applyFill="1" applyBorder="1" applyProtection="1"/>
    <xf numFmtId="0" fontId="49" fillId="22" borderId="61" xfId="0" applyFont="1" applyFill="1" applyBorder="1" applyAlignment="1">
      <alignment horizontal="center" vertical="center" wrapText="1"/>
    </xf>
    <xf numFmtId="0" fontId="49" fillId="22" borderId="47" xfId="0" applyFont="1" applyFill="1" applyBorder="1" applyAlignment="1">
      <alignment horizontal="center" vertical="center" wrapText="1"/>
    </xf>
    <xf numFmtId="0" fontId="49" fillId="22" borderId="38" xfId="0" applyFont="1" applyFill="1" applyBorder="1" applyAlignment="1">
      <alignment horizontal="center" vertical="center" wrapText="1"/>
    </xf>
    <xf numFmtId="0" fontId="16" fillId="24" borderId="48" xfId="0" applyFont="1" applyFill="1" applyBorder="1" applyAlignment="1">
      <alignment horizontal="center" vertical="center" wrapText="1"/>
    </xf>
    <xf numFmtId="0" fontId="16" fillId="24" borderId="49" xfId="0" applyFont="1" applyFill="1" applyBorder="1" applyAlignment="1">
      <alignment horizontal="center" vertical="center" wrapText="1"/>
    </xf>
    <xf numFmtId="0" fontId="44" fillId="0" borderId="62" xfId="0" applyFont="1" applyBorder="1"/>
    <xf numFmtId="0" fontId="44" fillId="0" borderId="49" xfId="0" applyFont="1" applyBorder="1" applyAlignment="1">
      <alignment vertical="center"/>
    </xf>
    <xf numFmtId="0" fontId="44" fillId="0" borderId="63" xfId="0" applyFont="1" applyBorder="1" applyAlignment="1">
      <alignment vertical="center"/>
    </xf>
    <xf numFmtId="0" fontId="44" fillId="0" borderId="63" xfId="0" applyFont="1" applyBorder="1"/>
    <xf numFmtId="0" fontId="50" fillId="25" borderId="46" xfId="0" applyFont="1" applyFill="1" applyBorder="1" applyAlignment="1">
      <alignment horizontal="center" vertical="center" wrapText="1"/>
    </xf>
    <xf numFmtId="0" fontId="16" fillId="19" borderId="49" xfId="0" applyFont="1" applyFill="1" applyBorder="1" applyAlignment="1">
      <alignment horizontal="center" vertical="center" wrapText="1"/>
    </xf>
    <xf numFmtId="0" fontId="50" fillId="25" borderId="48" xfId="0" applyFont="1" applyFill="1" applyBorder="1" applyAlignment="1">
      <alignment horizontal="center" vertical="center" wrapText="1"/>
    </xf>
    <xf numFmtId="0" fontId="16" fillId="26" borderId="49" xfId="0" applyFont="1" applyFill="1" applyBorder="1" applyAlignment="1">
      <alignment horizontal="center" vertical="center" wrapText="1"/>
    </xf>
    <xf numFmtId="0" fontId="16" fillId="26" borderId="51" xfId="0" applyFont="1" applyFill="1" applyBorder="1" applyAlignment="1">
      <alignment horizontal="center" vertical="center" wrapText="1"/>
    </xf>
    <xf numFmtId="0" fontId="44" fillId="0" borderId="51" xfId="0" applyFont="1" applyBorder="1" applyAlignment="1">
      <alignment vertical="center"/>
    </xf>
    <xf numFmtId="0" fontId="44" fillId="18" borderId="48" xfId="0" applyFont="1" applyFill="1" applyBorder="1" applyAlignment="1">
      <alignment vertical="center"/>
    </xf>
    <xf numFmtId="0" fontId="44" fillId="18" borderId="48" xfId="0" applyFont="1" applyFill="1" applyBorder="1"/>
    <xf numFmtId="0" fontId="16" fillId="27" borderId="38" xfId="0" applyFont="1" applyFill="1" applyBorder="1" applyAlignment="1">
      <alignment horizontal="center" vertical="center" wrapText="1"/>
    </xf>
    <xf numFmtId="0" fontId="16" fillId="28" borderId="46" xfId="0" applyFont="1" applyFill="1" applyBorder="1" applyAlignment="1">
      <alignment horizontal="center" vertical="center" wrapText="1"/>
    </xf>
    <xf numFmtId="0" fontId="16" fillId="19" borderId="72" xfId="0" applyFont="1" applyFill="1" applyBorder="1" applyAlignment="1">
      <alignment horizontal="center" vertical="center" wrapText="1"/>
    </xf>
    <xf numFmtId="0" fontId="16" fillId="27" borderId="47" xfId="0" applyFont="1" applyFill="1" applyBorder="1" applyAlignment="1">
      <alignment horizontal="center" vertical="center" wrapText="1"/>
    </xf>
    <xf numFmtId="0" fontId="16" fillId="28" borderId="48" xfId="0" applyFont="1" applyFill="1" applyBorder="1" applyAlignment="1">
      <alignment horizontal="center" vertical="center" wrapText="1"/>
    </xf>
    <xf numFmtId="0" fontId="16" fillId="29" borderId="49" xfId="0" applyFont="1" applyFill="1" applyBorder="1" applyAlignment="1">
      <alignment horizontal="center" vertical="center" wrapText="1"/>
    </xf>
    <xf numFmtId="0" fontId="16" fillId="29" borderId="51" xfId="0" applyFont="1" applyFill="1" applyBorder="1" applyAlignment="1">
      <alignment horizontal="center" vertical="center" wrapText="1"/>
    </xf>
    <xf numFmtId="0" fontId="44" fillId="18" borderId="49" xfId="0" applyFont="1" applyFill="1" applyBorder="1" applyAlignment="1">
      <alignment vertical="center"/>
    </xf>
    <xf numFmtId="0" fontId="44" fillId="18" borderId="63" xfId="0" applyFont="1" applyFill="1" applyBorder="1" applyAlignment="1">
      <alignment vertical="center"/>
    </xf>
    <xf numFmtId="0" fontId="44" fillId="18" borderId="51" xfId="0" applyFont="1" applyFill="1" applyBorder="1" applyAlignment="1">
      <alignment vertical="center"/>
    </xf>
    <xf numFmtId="0" fontId="44" fillId="18" borderId="73" xfId="0" applyFont="1" applyFill="1" applyBorder="1" applyAlignment="1">
      <alignment vertical="center"/>
    </xf>
    <xf numFmtId="0" fontId="44" fillId="18" borderId="49" xfId="0" applyFont="1" applyFill="1" applyBorder="1"/>
    <xf numFmtId="0" fontId="44" fillId="18" borderId="63" xfId="0" applyFont="1" applyFill="1" applyBorder="1"/>
    <xf numFmtId="0" fontId="44" fillId="18" borderId="73" xfId="0" applyFont="1" applyFill="1" applyBorder="1"/>
    <xf numFmtId="0" fontId="50" fillId="33" borderId="80" xfId="0" applyFont="1" applyFill="1" applyBorder="1" applyAlignment="1">
      <alignment horizontal="center" vertical="center" wrapText="1"/>
    </xf>
    <xf numFmtId="0" fontId="16" fillId="31" borderId="82" xfId="0" applyFont="1" applyFill="1" applyBorder="1" applyAlignment="1">
      <alignment horizontal="center" vertical="center" wrapText="1"/>
    </xf>
    <xf numFmtId="0" fontId="16" fillId="32" borderId="82" xfId="0" applyFont="1" applyFill="1" applyBorder="1" applyAlignment="1">
      <alignment horizontal="center" vertical="center" wrapText="1"/>
    </xf>
    <xf numFmtId="0" fontId="50" fillId="33" borderId="82" xfId="0" applyFont="1" applyFill="1" applyBorder="1" applyAlignment="1">
      <alignment horizontal="center" vertical="center" wrapText="1"/>
    </xf>
    <xf numFmtId="0" fontId="44" fillId="18" borderId="83" xfId="0" applyFont="1" applyFill="1" applyBorder="1" applyAlignment="1">
      <alignment vertical="center"/>
    </xf>
    <xf numFmtId="0" fontId="44" fillId="0" borderId="82" xfId="0" applyFont="1" applyBorder="1"/>
    <xf numFmtId="0" fontId="44" fillId="0" borderId="82" xfId="0" applyFont="1" applyBorder="1" applyAlignment="1">
      <alignment vertical="center"/>
    </xf>
    <xf numFmtId="0" fontId="44" fillId="18" borderId="83" xfId="0" applyFont="1" applyFill="1" applyBorder="1"/>
    <xf numFmtId="0" fontId="16" fillId="28" borderId="80" xfId="0" applyFont="1" applyFill="1" applyBorder="1" applyAlignment="1">
      <alignment horizontal="center" vertical="center" wrapText="1"/>
    </xf>
    <xf numFmtId="0" fontId="16" fillId="34" borderId="82" xfId="0" applyFont="1" applyFill="1" applyBorder="1" applyAlignment="1">
      <alignment horizontal="center" vertical="center" wrapText="1"/>
    </xf>
    <xf numFmtId="0" fontId="16" fillId="34" borderId="89" xfId="0" applyFont="1" applyFill="1" applyBorder="1" applyAlignment="1">
      <alignment horizontal="center" vertical="center" wrapText="1"/>
    </xf>
    <xf numFmtId="0" fontId="16" fillId="19" borderId="90" xfId="0" applyFont="1" applyFill="1" applyBorder="1" applyAlignment="1">
      <alignment horizontal="center" vertical="center" wrapText="1"/>
    </xf>
    <xf numFmtId="0" fontId="16" fillId="19" borderId="82" xfId="0" applyFont="1" applyFill="1" applyBorder="1" applyAlignment="1">
      <alignment horizontal="center" vertical="center" wrapText="1"/>
    </xf>
    <xf numFmtId="0" fontId="16" fillId="27" borderId="82" xfId="0" applyFont="1" applyFill="1" applyBorder="1" applyAlignment="1">
      <alignment horizontal="center" vertical="center" wrapText="1"/>
    </xf>
    <xf numFmtId="0" fontId="16" fillId="28" borderId="82" xfId="0" applyFont="1" applyFill="1" applyBorder="1" applyAlignment="1">
      <alignment horizontal="center" vertical="center" wrapText="1"/>
    </xf>
    <xf numFmtId="0" fontId="16" fillId="29" borderId="82" xfId="0" applyFont="1" applyFill="1" applyBorder="1" applyAlignment="1">
      <alignment horizontal="center" vertical="center" wrapText="1"/>
    </xf>
    <xf numFmtId="0" fontId="44" fillId="0" borderId="89" xfId="0" applyFont="1" applyBorder="1" applyAlignment="1">
      <alignment vertical="center"/>
    </xf>
    <xf numFmtId="0" fontId="44" fillId="18" borderId="90" xfId="0" applyFont="1" applyFill="1" applyBorder="1" applyAlignment="1">
      <alignment vertical="center"/>
    </xf>
    <xf numFmtId="0" fontId="44" fillId="18" borderId="82" xfId="0" applyFont="1" applyFill="1" applyBorder="1" applyAlignment="1">
      <alignment vertical="center"/>
    </xf>
    <xf numFmtId="0" fontId="44" fillId="0" borderId="89" xfId="0" applyFont="1" applyBorder="1"/>
    <xf numFmtId="0" fontId="44" fillId="18" borderId="90" xfId="0" applyFont="1" applyFill="1" applyBorder="1"/>
    <xf numFmtId="0" fontId="44" fillId="18" borderId="82" xfId="0" applyFont="1" applyFill="1" applyBorder="1"/>
    <xf numFmtId="0" fontId="16" fillId="37" borderId="99" xfId="0" applyFont="1" applyFill="1" applyBorder="1" applyAlignment="1">
      <alignment horizontal="center" vertical="center" wrapText="1"/>
    </xf>
    <xf numFmtId="0" fontId="16" fillId="29" borderId="89" xfId="0" applyFont="1" applyFill="1" applyBorder="1" applyAlignment="1">
      <alignment horizontal="center" vertical="center" wrapText="1"/>
    </xf>
    <xf numFmtId="0" fontId="16" fillId="36" borderId="99" xfId="0" applyFont="1" applyFill="1" applyBorder="1" applyAlignment="1">
      <alignment horizontal="center" vertical="center" wrapText="1"/>
    </xf>
    <xf numFmtId="0" fontId="44" fillId="18" borderId="89" xfId="0" applyFont="1" applyFill="1" applyBorder="1" applyAlignment="1">
      <alignment vertical="center"/>
    </xf>
    <xf numFmtId="0" fontId="44" fillId="18" borderId="100" xfId="0" applyFont="1" applyFill="1" applyBorder="1" applyAlignment="1">
      <alignment vertical="center"/>
    </xf>
    <xf numFmtId="0" fontId="44" fillId="0" borderId="99" xfId="0" applyFont="1" applyBorder="1"/>
    <xf numFmtId="0" fontId="44" fillId="0" borderId="99" xfId="0" applyFont="1" applyBorder="1" applyAlignment="1">
      <alignment vertical="center"/>
    </xf>
    <xf numFmtId="0" fontId="44" fillId="18" borderId="100" xfId="0" applyFont="1" applyFill="1" applyBorder="1"/>
    <xf numFmtId="0" fontId="44" fillId="18" borderId="89" xfId="0" applyFont="1" applyFill="1" applyBorder="1"/>
    <xf numFmtId="0" fontId="50" fillId="38" borderId="99" xfId="0" applyFont="1" applyFill="1" applyBorder="1" applyAlignment="1">
      <alignment horizontal="center" vertical="center" wrapText="1"/>
    </xf>
    <xf numFmtId="0" fontId="16" fillId="39" borderId="99" xfId="0" applyFont="1" applyFill="1" applyBorder="1" applyAlignment="1">
      <alignment horizontal="center" vertical="center" wrapText="1"/>
    </xf>
    <xf numFmtId="0" fontId="16" fillId="39" borderId="103" xfId="0" applyFont="1" applyFill="1" applyBorder="1" applyAlignment="1">
      <alignment horizontal="center" vertical="center" wrapText="1"/>
    </xf>
    <xf numFmtId="0" fontId="16" fillId="19" borderId="104" xfId="0" applyFont="1" applyFill="1" applyBorder="1" applyAlignment="1">
      <alignment horizontal="center" vertical="center" wrapText="1"/>
    </xf>
    <xf numFmtId="0" fontId="16" fillId="19" borderId="99" xfId="0" applyFont="1" applyFill="1" applyBorder="1" applyAlignment="1">
      <alignment horizontal="center" vertical="center" wrapText="1"/>
    </xf>
    <xf numFmtId="0" fontId="16" fillId="27" borderId="99" xfId="0" applyFont="1" applyFill="1" applyBorder="1" applyAlignment="1">
      <alignment horizontal="center" vertical="center" wrapText="1"/>
    </xf>
    <xf numFmtId="0" fontId="44" fillId="0" borderId="103" xfId="0" applyFont="1" applyBorder="1" applyAlignment="1">
      <alignment vertical="center"/>
    </xf>
    <xf numFmtId="0" fontId="44" fillId="18" borderId="104" xfId="0" applyFont="1" applyFill="1" applyBorder="1" applyAlignment="1">
      <alignment vertical="center"/>
    </xf>
    <xf numFmtId="0" fontId="44" fillId="18" borderId="99" xfId="0" applyFont="1" applyFill="1" applyBorder="1" applyAlignment="1">
      <alignment vertical="center"/>
    </xf>
    <xf numFmtId="0" fontId="44" fillId="0" borderId="103" xfId="0" applyFont="1" applyBorder="1"/>
    <xf numFmtId="0" fontId="44" fillId="18" borderId="104" xfId="0" applyFont="1" applyFill="1" applyBorder="1"/>
    <xf numFmtId="0" fontId="44" fillId="18" borderId="99" xfId="0" applyFont="1" applyFill="1" applyBorder="1"/>
    <xf numFmtId="0" fontId="16" fillId="28" borderId="99" xfId="0" applyFont="1" applyFill="1" applyBorder="1" applyAlignment="1">
      <alignment horizontal="center" vertical="center" wrapText="1"/>
    </xf>
    <xf numFmtId="0" fontId="16" fillId="29" borderId="99" xfId="0" applyFont="1" applyFill="1" applyBorder="1" applyAlignment="1">
      <alignment horizontal="center" vertical="center" wrapText="1"/>
    </xf>
    <xf numFmtId="0" fontId="16" fillId="29" borderId="103" xfId="0" applyFont="1" applyFill="1" applyBorder="1" applyAlignment="1">
      <alignment horizontal="center" vertical="center" wrapText="1"/>
    </xf>
    <xf numFmtId="0" fontId="44" fillId="18" borderId="103" xfId="0" applyFont="1" applyFill="1" applyBorder="1" applyAlignment="1">
      <alignment vertical="center"/>
    </xf>
    <xf numFmtId="0" fontId="44" fillId="18" borderId="103" xfId="0" applyFont="1" applyFill="1" applyBorder="1"/>
    <xf numFmtId="0" fontId="44" fillId="0" borderId="108" xfId="0" applyFont="1" applyBorder="1" applyAlignment="1">
      <alignment horizontal="center" vertical="center"/>
    </xf>
    <xf numFmtId="0" fontId="44" fillId="0" borderId="109" xfId="0" applyFont="1" applyBorder="1" applyAlignment="1">
      <alignment horizontal="center" vertical="center"/>
    </xf>
    <xf numFmtId="0" fontId="44" fillId="0" borderId="109" xfId="0" applyFont="1" applyBorder="1" applyAlignment="1">
      <alignment vertical="center" wrapText="1"/>
    </xf>
    <xf numFmtId="0" fontId="44" fillId="0" borderId="110" xfId="0" applyFont="1" applyBorder="1"/>
    <xf numFmtId="0" fontId="44" fillId="0" borderId="108" xfId="0" applyFont="1" applyBorder="1"/>
    <xf numFmtId="0" fontId="44" fillId="0" borderId="109" xfId="0" applyFont="1" applyBorder="1"/>
    <xf numFmtId="0" fontId="44" fillId="0" borderId="109" xfId="0" applyFont="1" applyBorder="1" applyAlignment="1">
      <alignment vertical="center"/>
    </xf>
    <xf numFmtId="0" fontId="44" fillId="0" borderId="111" xfId="0" applyFont="1" applyBorder="1"/>
    <xf numFmtId="0" fontId="44" fillId="0" borderId="112" xfId="0" applyFont="1" applyBorder="1"/>
    <xf numFmtId="0" fontId="44" fillId="0" borderId="113" xfId="0" applyFont="1" applyBorder="1"/>
    <xf numFmtId="0" fontId="44" fillId="0" borderId="114" xfId="0" applyFont="1" applyBorder="1"/>
    <xf numFmtId="0" fontId="44" fillId="0" borderId="114" xfId="0" applyFont="1" applyBorder="1" applyAlignment="1">
      <alignment vertical="center"/>
    </xf>
    <xf numFmtId="0" fontId="44" fillId="0" borderId="115" xfId="0" applyFont="1" applyBorder="1"/>
    <xf numFmtId="0" fontId="44" fillId="0" borderId="116" xfId="0" applyFont="1" applyBorder="1"/>
    <xf numFmtId="0" fontId="44" fillId="0" borderId="117" xfId="0" applyFont="1" applyBorder="1"/>
    <xf numFmtId="0" fontId="44" fillId="0" borderId="118" xfId="0" applyFont="1" applyBorder="1"/>
    <xf numFmtId="0" fontId="44" fillId="0" borderId="118" xfId="0" applyFont="1" applyBorder="1" applyAlignment="1">
      <alignment vertical="center"/>
    </xf>
    <xf numFmtId="0" fontId="44" fillId="0" borderId="119" xfId="0" applyFont="1" applyBorder="1"/>
    <xf numFmtId="0" fontId="44" fillId="0" borderId="120" xfId="0" applyFont="1" applyBorder="1"/>
    <xf numFmtId="0" fontId="16" fillId="0" borderId="0" xfId="0" applyFont="1" applyFill="1" applyAlignment="1">
      <alignment horizontal="center" vertical="center" wrapText="1"/>
    </xf>
    <xf numFmtId="0" fontId="44" fillId="0" borderId="0" xfId="0" applyFont="1" applyAlignment="1">
      <alignment vertical="center" wrapText="1"/>
    </xf>
    <xf numFmtId="0" fontId="44" fillId="0" borderId="0" xfId="0" applyFont="1" applyAlignment="1">
      <alignment horizontal="center" vertical="center" wrapText="1"/>
    </xf>
    <xf numFmtId="0" fontId="44" fillId="0" borderId="0" xfId="0" applyFont="1" applyAlignment="1">
      <alignment wrapText="1"/>
    </xf>
    <xf numFmtId="0" fontId="44" fillId="0" borderId="0" xfId="0" applyFont="1" applyAlignment="1">
      <alignment horizontal="center" wrapText="1"/>
    </xf>
    <xf numFmtId="0" fontId="44" fillId="0" borderId="0" xfId="0" applyFont="1" applyAlignment="1">
      <alignment horizontal="left" wrapText="1"/>
    </xf>
    <xf numFmtId="0" fontId="44" fillId="2" borderId="0" xfId="0" applyFont="1" applyFill="1" applyAlignment="1">
      <alignment horizontal="center" vertical="center" wrapText="1"/>
    </xf>
    <xf numFmtId="0" fontId="44" fillId="2" borderId="0" xfId="0" applyFont="1" applyFill="1" applyAlignment="1">
      <alignment wrapText="1"/>
    </xf>
    <xf numFmtId="0" fontId="44" fillId="2" borderId="0" xfId="0" applyFont="1" applyFill="1" applyAlignment="1">
      <alignment horizontal="center" wrapText="1"/>
    </xf>
    <xf numFmtId="0" fontId="45" fillId="19" borderId="122" xfId="0" applyFont="1" applyFill="1" applyBorder="1" applyAlignment="1">
      <alignment vertical="center" textRotation="90" wrapText="1"/>
    </xf>
    <xf numFmtId="0" fontId="45" fillId="19" borderId="122" xfId="0" applyFont="1" applyFill="1" applyBorder="1" applyAlignment="1">
      <alignment horizontal="center" vertical="center" textRotation="90" wrapText="1"/>
    </xf>
    <xf numFmtId="0" fontId="16" fillId="19" borderId="122" xfId="0" applyFont="1" applyFill="1" applyBorder="1" applyAlignment="1">
      <alignment horizontal="center" vertical="center" wrapText="1"/>
    </xf>
    <xf numFmtId="0" fontId="45" fillId="19" borderId="72" xfId="0" applyFont="1" applyFill="1" applyBorder="1" applyAlignment="1">
      <alignment vertical="center" textRotation="90" wrapText="1"/>
    </xf>
    <xf numFmtId="0" fontId="45" fillId="19" borderId="72" xfId="0" applyFont="1" applyFill="1" applyBorder="1" applyAlignment="1">
      <alignment horizontal="center" vertical="center" textRotation="90" wrapText="1"/>
    </xf>
    <xf numFmtId="0" fontId="45" fillId="19" borderId="47" xfId="0" applyFont="1" applyFill="1" applyBorder="1" applyAlignment="1">
      <alignment vertical="center" textRotation="90" wrapText="1"/>
    </xf>
    <xf numFmtId="0" fontId="51" fillId="19" borderId="49" xfId="0" applyFont="1" applyFill="1" applyBorder="1" applyAlignment="1">
      <alignment horizontal="center" vertical="center" wrapText="1"/>
    </xf>
    <xf numFmtId="0" fontId="44" fillId="0" borderId="49" xfId="0" applyFont="1" applyFill="1" applyBorder="1" applyAlignment="1" applyProtection="1">
      <alignment vertical="center" wrapText="1"/>
      <protection locked="0"/>
    </xf>
    <xf numFmtId="0" fontId="44" fillId="21" borderId="49" xfId="0" applyFont="1" applyFill="1" applyBorder="1" applyAlignment="1" applyProtection="1">
      <alignment vertical="center" wrapText="1"/>
    </xf>
    <xf numFmtId="0" fontId="44" fillId="0" borderId="49" xfId="0" applyFont="1" applyBorder="1" applyAlignment="1" applyProtection="1">
      <alignment vertical="center" wrapText="1"/>
      <protection locked="0"/>
    </xf>
    <xf numFmtId="0" fontId="46" fillId="0" borderId="49" xfId="0" applyFont="1" applyBorder="1" applyAlignment="1" applyProtection="1">
      <alignment horizontal="center" vertical="center" wrapText="1"/>
      <protection locked="0"/>
    </xf>
    <xf numFmtId="0" fontId="16" fillId="19" borderId="62" xfId="0" applyFont="1" applyFill="1" applyBorder="1" applyAlignment="1">
      <alignment horizontal="center" vertical="center" wrapText="1"/>
    </xf>
    <xf numFmtId="0" fontId="16" fillId="19" borderId="122" xfId="0" applyFont="1" applyFill="1" applyBorder="1" applyAlignment="1">
      <alignment horizontal="center" vertical="center" textRotation="90" wrapText="1"/>
    </xf>
    <xf numFmtId="0" fontId="16" fillId="19" borderId="72" xfId="0" applyFont="1" applyFill="1" applyBorder="1" applyAlignment="1">
      <alignment horizontal="center" vertical="center" textRotation="90" wrapText="1"/>
    </xf>
    <xf numFmtId="0" fontId="16" fillId="19" borderId="47" xfId="0" applyFont="1" applyFill="1" applyBorder="1" applyAlignment="1">
      <alignment horizontal="center" vertical="center" textRotation="90" wrapText="1"/>
    </xf>
    <xf numFmtId="0" fontId="16" fillId="21" borderId="49" xfId="0" applyFont="1" applyFill="1" applyBorder="1" applyAlignment="1" applyProtection="1">
      <alignment horizontal="center" vertical="center" wrapText="1"/>
      <protection hidden="1"/>
    </xf>
    <xf numFmtId="0" fontId="46" fillId="20" borderId="49" xfId="0" applyFont="1" applyFill="1" applyBorder="1" applyAlignment="1" applyProtection="1">
      <alignment vertical="center" wrapText="1"/>
      <protection hidden="1"/>
    </xf>
    <xf numFmtId="0" fontId="46" fillId="20" borderId="49" xfId="0" applyFont="1" applyFill="1" applyBorder="1" applyAlignment="1" applyProtection="1">
      <alignment horizontal="center" vertical="center" wrapText="1"/>
      <protection hidden="1"/>
    </xf>
    <xf numFmtId="0" fontId="44" fillId="20" borderId="49" xfId="0" applyFont="1" applyFill="1" applyBorder="1" applyAlignment="1" applyProtection="1">
      <alignment horizontal="center" vertical="center" wrapText="1"/>
      <protection hidden="1"/>
    </xf>
    <xf numFmtId="0" fontId="47" fillId="0" borderId="123" xfId="0" applyFont="1" applyBorder="1" applyAlignment="1">
      <alignment horizontal="left" vertical="center" wrapText="1"/>
    </xf>
    <xf numFmtId="0" fontId="44" fillId="0" borderId="49" xfId="0" applyFont="1" applyBorder="1" applyAlignment="1" applyProtection="1">
      <alignment horizontal="center" vertical="center" wrapText="1"/>
      <protection locked="0"/>
    </xf>
    <xf numFmtId="0" fontId="44" fillId="20" borderId="49" xfId="0" applyFont="1" applyFill="1" applyBorder="1" applyAlignment="1" applyProtection="1">
      <alignment horizontal="center" vertical="center" wrapText="1"/>
      <protection locked="0"/>
    </xf>
    <xf numFmtId="0" fontId="47" fillId="0" borderId="49" xfId="0" applyFont="1" applyBorder="1" applyAlignment="1" applyProtection="1">
      <alignment horizontal="justify" vertical="center" wrapText="1"/>
      <protection locked="0"/>
    </xf>
    <xf numFmtId="0" fontId="44" fillId="0" borderId="49" xfId="0" applyFont="1" applyBorder="1" applyAlignment="1" applyProtection="1">
      <alignment horizontal="justify" vertical="center" wrapText="1"/>
      <protection locked="0"/>
    </xf>
    <xf numFmtId="0" fontId="46" fillId="0" borderId="123" xfId="0" applyFont="1" applyBorder="1" applyAlignment="1">
      <alignment horizontal="left" vertical="center" wrapText="1"/>
    </xf>
    <xf numFmtId="0" fontId="16" fillId="19" borderId="49" xfId="0" applyFont="1" applyFill="1" applyBorder="1" applyAlignment="1">
      <alignment vertical="center" textRotation="90" wrapText="1"/>
    </xf>
    <xf numFmtId="0" fontId="16" fillId="19" borderId="122" xfId="0" applyFont="1" applyFill="1" applyBorder="1" applyAlignment="1">
      <alignment vertical="center" textRotation="90" wrapText="1"/>
    </xf>
    <xf numFmtId="167" fontId="44" fillId="20" borderId="49" xfId="1" applyNumberFormat="1" applyFont="1" applyFill="1" applyBorder="1" applyAlignment="1" applyProtection="1">
      <alignment horizontal="center" vertical="center" wrapText="1"/>
      <protection hidden="1"/>
    </xf>
    <xf numFmtId="0" fontId="48" fillId="19" borderId="49" xfId="0" applyFont="1" applyFill="1" applyBorder="1" applyAlignment="1">
      <alignment horizontal="center" vertical="center" wrapText="1"/>
    </xf>
    <xf numFmtId="0" fontId="48" fillId="19" borderId="49" xfId="0" applyFont="1" applyFill="1" applyBorder="1" applyAlignment="1">
      <alignment vertical="center" wrapText="1"/>
    </xf>
    <xf numFmtId="0" fontId="16" fillId="19" borderId="122" xfId="0" applyFont="1" applyFill="1" applyBorder="1" applyAlignment="1">
      <alignment vertical="center" wrapText="1"/>
    </xf>
    <xf numFmtId="0" fontId="48" fillId="19" borderId="122" xfId="0" applyFont="1" applyFill="1" applyBorder="1" applyAlignment="1">
      <alignment vertical="center" wrapText="1"/>
    </xf>
    <xf numFmtId="0" fontId="16" fillId="19" borderId="72" xfId="0" applyFont="1" applyFill="1" applyBorder="1" applyAlignment="1">
      <alignment vertical="center" wrapText="1"/>
    </xf>
    <xf numFmtId="0" fontId="46" fillId="19" borderId="122" xfId="0" applyFont="1" applyFill="1" applyBorder="1" applyAlignment="1">
      <alignment horizontal="center" vertical="center" wrapText="1"/>
    </xf>
    <xf numFmtId="0" fontId="48" fillId="19" borderId="47" xfId="0" applyFont="1" applyFill="1" applyBorder="1" applyAlignment="1">
      <alignment horizontal="center" vertical="center" wrapText="1"/>
    </xf>
    <xf numFmtId="0" fontId="44" fillId="0" borderId="49" xfId="0" applyFont="1" applyBorder="1" applyAlignment="1" applyProtection="1">
      <alignment horizontal="center" vertical="center" textRotation="90" wrapText="1"/>
      <protection locked="0"/>
    </xf>
    <xf numFmtId="0" fontId="44" fillId="2" borderId="49" xfId="0" applyFont="1" applyFill="1" applyBorder="1" applyAlignment="1" applyProtection="1">
      <alignment vertical="center" wrapText="1"/>
      <protection locked="0"/>
    </xf>
    <xf numFmtId="0" fontId="44" fillId="0" borderId="123" xfId="0" applyFont="1" applyBorder="1" applyAlignment="1">
      <alignment vertical="center" wrapText="1"/>
    </xf>
    <xf numFmtId="14" fontId="44" fillId="0" borderId="123" xfId="0" applyNumberFormat="1" applyFont="1" applyBorder="1" applyAlignment="1">
      <alignment vertical="center" wrapText="1"/>
    </xf>
    <xf numFmtId="0" fontId="44" fillId="40" borderId="123" xfId="0" applyFont="1" applyFill="1" applyBorder="1" applyAlignment="1">
      <alignment vertical="center" wrapText="1"/>
    </xf>
    <xf numFmtId="14" fontId="44" fillId="0" borderId="49" xfId="0" applyNumberFormat="1" applyFont="1" applyBorder="1" applyAlignment="1" applyProtection="1">
      <alignment vertical="center" wrapText="1"/>
      <protection locked="0"/>
    </xf>
    <xf numFmtId="0" fontId="44" fillId="0" borderId="122" xfId="0" applyFont="1" applyBorder="1" applyAlignment="1" applyProtection="1">
      <alignment horizontal="center" vertical="center" textRotation="90" wrapText="1"/>
      <protection locked="0"/>
    </xf>
    <xf numFmtId="0" fontId="44" fillId="0" borderId="49" xfId="0" applyFont="1" applyBorder="1" applyAlignment="1" applyProtection="1">
      <alignment wrapText="1"/>
      <protection locked="0"/>
    </xf>
    <xf numFmtId="0" fontId="44" fillId="0" borderId="47" xfId="0" applyFont="1" applyBorder="1" applyAlignment="1" applyProtection="1">
      <alignment horizontal="center" vertical="center" textRotation="90" wrapText="1"/>
      <protection locked="0"/>
    </xf>
    <xf numFmtId="0" fontId="46" fillId="2" borderId="49" xfId="0" applyFont="1" applyFill="1" applyBorder="1" applyAlignment="1" applyProtection="1">
      <alignment vertical="center" wrapText="1"/>
      <protection locked="0"/>
    </xf>
    <xf numFmtId="14" fontId="46" fillId="2" borderId="49" xfId="0" applyNumberFormat="1" applyFont="1" applyFill="1" applyBorder="1" applyAlignment="1" applyProtection="1">
      <alignment vertical="center" wrapText="1"/>
      <protection locked="0"/>
    </xf>
    <xf numFmtId="0" fontId="46" fillId="0" borderId="49" xfId="0" applyFont="1" applyBorder="1" applyAlignment="1" applyProtection="1">
      <alignment vertical="center" wrapText="1"/>
      <protection locked="0"/>
    </xf>
    <xf numFmtId="0" fontId="44" fillId="2" borderId="49" xfId="0" applyFont="1" applyFill="1" applyBorder="1" applyAlignment="1" applyProtection="1">
      <alignment wrapText="1"/>
      <protection locked="0"/>
    </xf>
    <xf numFmtId="0" fontId="44" fillId="0" borderId="48" xfId="0" applyFont="1" applyBorder="1" applyAlignment="1">
      <alignment vertical="center" wrapText="1"/>
    </xf>
    <xf numFmtId="0" fontId="44" fillId="0" borderId="49" xfId="0" applyFont="1" applyBorder="1" applyAlignment="1">
      <alignment vertical="center" wrapText="1"/>
    </xf>
    <xf numFmtId="0" fontId="44" fillId="2" borderId="48" xfId="0" applyFont="1" applyFill="1" applyBorder="1" applyAlignment="1">
      <alignment vertical="center" wrapText="1"/>
    </xf>
    <xf numFmtId="0" fontId="47" fillId="2" borderId="49" xfId="0" applyFont="1" applyFill="1" applyBorder="1" applyAlignment="1" applyProtection="1">
      <alignment horizontal="justify" vertical="center" wrapText="1"/>
      <protection locked="0"/>
    </xf>
    <xf numFmtId="0" fontId="44" fillId="0" borderId="48" xfId="0" applyFont="1" applyBorder="1" applyAlignment="1">
      <alignment horizontal="center" vertical="center" wrapText="1"/>
    </xf>
    <xf numFmtId="0" fontId="44" fillId="0" borderId="49" xfId="0" applyFont="1" applyBorder="1" applyAlignment="1">
      <alignment horizontal="center" vertical="center" wrapText="1"/>
    </xf>
    <xf numFmtId="0" fontId="46" fillId="0" borderId="49" xfId="0" applyFont="1" applyBorder="1" applyAlignment="1" applyProtection="1">
      <alignment wrapText="1"/>
      <protection locked="0"/>
    </xf>
    <xf numFmtId="0" fontId="44" fillId="0" borderId="48" xfId="0" applyFont="1" applyBorder="1" applyAlignment="1">
      <alignment horizontal="left" vertical="center" wrapText="1"/>
    </xf>
    <xf numFmtId="0" fontId="44" fillId="0" borderId="49" xfId="0" applyFont="1" applyBorder="1" applyAlignment="1">
      <alignment horizontal="left" vertical="center" wrapText="1"/>
    </xf>
    <xf numFmtId="0" fontId="44" fillId="0" borderId="49" xfId="0" applyFont="1" applyBorder="1" applyAlignment="1">
      <alignment horizontal="center" vertical="center"/>
    </xf>
    <xf numFmtId="0" fontId="16" fillId="19" borderId="49" xfId="0" applyFont="1" applyFill="1" applyBorder="1" applyAlignment="1">
      <alignment horizontal="left" vertical="center" wrapText="1"/>
    </xf>
    <xf numFmtId="0" fontId="44" fillId="18" borderId="48" xfId="0" applyFont="1" applyFill="1" applyBorder="1" applyAlignment="1">
      <alignment vertical="center" wrapText="1"/>
    </xf>
    <xf numFmtId="0" fontId="44" fillId="18" borderId="49" xfId="0" applyFont="1" applyFill="1" applyBorder="1" applyAlignment="1">
      <alignment vertical="center" wrapText="1"/>
    </xf>
    <xf numFmtId="0" fontId="44" fillId="0" borderId="49" xfId="0" applyFont="1" applyFill="1" applyBorder="1" applyAlignment="1">
      <alignment vertical="center" wrapText="1"/>
    </xf>
    <xf numFmtId="0" fontId="44" fillId="0" borderId="49" xfId="0" applyFont="1" applyBorder="1" applyAlignment="1">
      <alignment horizontal="left" vertical="center"/>
    </xf>
    <xf numFmtId="0" fontId="44" fillId="18" borderId="73" xfId="0" applyFont="1" applyFill="1" applyBorder="1" applyAlignment="1">
      <alignment vertical="center" wrapText="1"/>
    </xf>
    <xf numFmtId="0" fontId="44" fillId="18" borderId="83" xfId="0" applyFont="1" applyFill="1" applyBorder="1" applyAlignment="1">
      <alignment horizontal="center" vertical="center"/>
    </xf>
    <xf numFmtId="0" fontId="44" fillId="18" borderId="63" xfId="0" applyFont="1" applyFill="1" applyBorder="1" applyAlignment="1">
      <alignment vertical="center" wrapText="1"/>
    </xf>
    <xf numFmtId="0" fontId="44" fillId="18" borderId="124" xfId="0" applyFont="1" applyFill="1" applyBorder="1" applyAlignment="1">
      <alignment horizontal="center" vertical="center"/>
    </xf>
    <xf numFmtId="0" fontId="44" fillId="18" borderId="81" xfId="0" applyFont="1" applyFill="1" applyBorder="1" applyAlignment="1">
      <alignment horizontal="center" vertical="center"/>
    </xf>
    <xf numFmtId="0" fontId="44" fillId="0" borderId="49" xfId="0" applyFont="1" applyBorder="1" applyAlignment="1">
      <alignment wrapText="1"/>
    </xf>
    <xf numFmtId="14" fontId="44" fillId="0" borderId="0" xfId="0" applyNumberFormat="1" applyFont="1" applyAlignment="1">
      <alignment vertical="center" wrapText="1"/>
    </xf>
    <xf numFmtId="0" fontId="44" fillId="2" borderId="0" xfId="0" applyFont="1" applyFill="1" applyAlignment="1">
      <alignment vertical="center" wrapText="1"/>
    </xf>
    <xf numFmtId="0" fontId="16" fillId="21" borderId="49" xfId="0" applyFont="1" applyFill="1" applyBorder="1" applyAlignment="1" applyProtection="1">
      <alignment vertical="center" wrapText="1"/>
      <protection hidden="1"/>
    </xf>
    <xf numFmtId="9" fontId="44" fillId="21" borderId="49" xfId="0" applyNumberFormat="1" applyFont="1" applyFill="1" applyBorder="1" applyAlignment="1" applyProtection="1">
      <alignment vertical="center" wrapText="1"/>
      <protection hidden="1"/>
    </xf>
    <xf numFmtId="0" fontId="44" fillId="21" borderId="49" xfId="0" applyFont="1" applyFill="1" applyBorder="1" applyAlignment="1" applyProtection="1">
      <alignment horizontal="center" vertical="center" wrapText="1"/>
      <protection hidden="1"/>
    </xf>
    <xf numFmtId="9" fontId="44" fillId="0" borderId="49" xfId="0" applyNumberFormat="1" applyFont="1" applyBorder="1" applyAlignment="1" applyProtection="1">
      <alignment vertical="center" wrapText="1"/>
      <protection locked="0"/>
    </xf>
    <xf numFmtId="9" fontId="44" fillId="21" borderId="49" xfId="0" applyNumberFormat="1" applyFont="1" applyFill="1" applyBorder="1" applyAlignment="1" applyProtection="1">
      <alignment horizontal="center" vertical="center" wrapText="1"/>
      <protection hidden="1"/>
    </xf>
    <xf numFmtId="0" fontId="52" fillId="0" borderId="123" xfId="0" applyFont="1" applyFill="1" applyBorder="1" applyAlignment="1">
      <alignment horizontal="left" vertical="center" wrapText="1"/>
    </xf>
    <xf numFmtId="0" fontId="44" fillId="41" borderId="49" xfId="0" applyFont="1" applyFill="1" applyBorder="1" applyAlignment="1" applyProtection="1">
      <alignment horizontal="justify" vertical="center" wrapText="1"/>
      <protection locked="0"/>
    </xf>
    <xf numFmtId="0" fontId="44" fillId="41" borderId="49" xfId="0" applyFont="1" applyFill="1" applyBorder="1" applyAlignment="1" applyProtection="1">
      <alignment horizontal="center" vertical="center" wrapText="1"/>
      <protection hidden="1"/>
    </xf>
    <xf numFmtId="0" fontId="44" fillId="41" borderId="49" xfId="0" applyFont="1" applyFill="1" applyBorder="1" applyAlignment="1" applyProtection="1">
      <alignment horizontal="center" vertical="center" textRotation="90" wrapText="1"/>
      <protection locked="0"/>
    </xf>
    <xf numFmtId="9" fontId="44" fillId="41" borderId="49" xfId="0" applyNumberFormat="1" applyFont="1" applyFill="1" applyBorder="1" applyAlignment="1" applyProtection="1">
      <alignment horizontal="center" vertical="center" wrapText="1"/>
      <protection hidden="1"/>
    </xf>
    <xf numFmtId="0" fontId="16" fillId="21" borderId="122" xfId="0" applyFont="1" applyFill="1" applyBorder="1" applyAlignment="1" applyProtection="1">
      <alignment horizontal="center" vertical="center" textRotation="90" wrapText="1"/>
      <protection hidden="1"/>
    </xf>
    <xf numFmtId="167" fontId="44" fillId="21" borderId="49" xfId="1" applyNumberFormat="1" applyFont="1" applyFill="1" applyBorder="1" applyAlignment="1" applyProtection="1">
      <alignment horizontal="center" vertical="center" wrapText="1"/>
      <protection hidden="1"/>
    </xf>
    <xf numFmtId="9" fontId="44" fillId="21" borderId="49" xfId="1" applyFont="1" applyFill="1" applyBorder="1" applyAlignment="1" applyProtection="1">
      <alignment horizontal="center" vertical="center" wrapText="1"/>
      <protection hidden="1"/>
    </xf>
    <xf numFmtId="0" fontId="46" fillId="40" borderId="123" xfId="0" applyFont="1" applyFill="1" applyBorder="1" applyAlignment="1">
      <alignment vertical="center" wrapText="1"/>
    </xf>
    <xf numFmtId="0" fontId="46" fillId="2" borderId="123" xfId="0" applyFont="1" applyFill="1" applyBorder="1" applyAlignment="1">
      <alignment vertical="center" wrapText="1"/>
    </xf>
    <xf numFmtId="0" fontId="46" fillId="0" borderId="123" xfId="0" applyFont="1" applyFill="1" applyBorder="1" applyAlignment="1">
      <alignment vertical="center" wrapText="1"/>
    </xf>
    <xf numFmtId="0" fontId="44" fillId="41" borderId="49" xfId="0" applyFont="1" applyFill="1" applyBorder="1" applyAlignment="1" applyProtection="1">
      <alignment vertical="center" wrapText="1"/>
      <protection locked="0"/>
    </xf>
    <xf numFmtId="167" fontId="44" fillId="41" borderId="49" xfId="1" applyNumberFormat="1" applyFont="1" applyFill="1" applyBorder="1" applyAlignment="1" applyProtection="1">
      <alignment horizontal="center" vertical="center" wrapText="1"/>
      <protection hidden="1"/>
    </xf>
    <xf numFmtId="0" fontId="16" fillId="41" borderId="49" xfId="0" applyFont="1" applyFill="1" applyBorder="1" applyAlignment="1" applyProtection="1">
      <alignment horizontal="center" vertical="center" textRotation="90" wrapText="1"/>
      <protection hidden="1"/>
    </xf>
    <xf numFmtId="14" fontId="16" fillId="19" borderId="72" xfId="0" applyNumberFormat="1" applyFont="1" applyFill="1" applyBorder="1" applyAlignment="1">
      <alignment vertical="center" wrapText="1"/>
    </xf>
    <xf numFmtId="14" fontId="16" fillId="19" borderId="47" xfId="0" applyNumberFormat="1" applyFont="1" applyFill="1" applyBorder="1" applyAlignment="1">
      <alignment horizontal="center" vertical="center" wrapText="1"/>
    </xf>
    <xf numFmtId="0" fontId="46" fillId="0" borderId="123" xfId="0" applyFont="1" applyBorder="1" applyAlignment="1">
      <alignment vertical="center" wrapText="1"/>
    </xf>
    <xf numFmtId="168" fontId="46" fillId="0" borderId="123" xfId="0" applyNumberFormat="1" applyFont="1" applyBorder="1" applyAlignment="1">
      <alignment vertical="center" wrapText="1"/>
    </xf>
    <xf numFmtId="168" fontId="46" fillId="0" borderId="123" xfId="0" applyNumberFormat="1" applyFont="1" applyFill="1" applyBorder="1" applyAlignment="1">
      <alignment vertical="center"/>
    </xf>
    <xf numFmtId="168" fontId="46" fillId="0" borderId="123" xfId="0" applyNumberFormat="1" applyFont="1" applyFill="1" applyBorder="1" applyAlignment="1">
      <alignment vertical="center" wrapText="1"/>
    </xf>
    <xf numFmtId="14" fontId="44" fillId="0" borderId="123" xfId="0" applyNumberFormat="1" applyFont="1" applyBorder="1" applyAlignment="1">
      <alignment horizontal="center" vertical="center"/>
    </xf>
    <xf numFmtId="168" fontId="44" fillId="0" borderId="123" xfId="0" applyNumberFormat="1" applyFont="1" applyBorder="1" applyAlignment="1">
      <alignment vertical="center" wrapText="1"/>
    </xf>
    <xf numFmtId="0" fontId="44" fillId="0" borderId="123" xfId="0" applyFont="1" applyFill="1" applyBorder="1" applyAlignment="1">
      <alignment vertical="center" wrapText="1"/>
    </xf>
    <xf numFmtId="0" fontId="44" fillId="0" borderId="123" xfId="0" applyFont="1" applyFill="1" applyBorder="1" applyAlignment="1">
      <alignment horizontal="left" vertical="center" wrapText="1"/>
    </xf>
    <xf numFmtId="0" fontId="44" fillId="12" borderId="49" xfId="0" applyFont="1" applyFill="1" applyBorder="1" applyAlignment="1" applyProtection="1">
      <alignment vertical="center" wrapText="1"/>
      <protection locked="0"/>
    </xf>
    <xf numFmtId="14" fontId="44" fillId="12" borderId="49" xfId="0" applyNumberFormat="1" applyFont="1" applyFill="1" applyBorder="1" applyAlignment="1" applyProtection="1">
      <alignment vertical="center" wrapText="1"/>
      <protection locked="0"/>
    </xf>
    <xf numFmtId="14" fontId="44" fillId="41" borderId="49" xfId="0" applyNumberFormat="1" applyFont="1" applyFill="1" applyBorder="1" applyAlignment="1" applyProtection="1">
      <alignment vertical="center" wrapText="1"/>
      <protection locked="0"/>
    </xf>
    <xf numFmtId="0" fontId="46" fillId="0" borderId="123" xfId="0" applyFont="1" applyFill="1" applyBorder="1" applyAlignment="1">
      <alignment horizontal="left" vertical="center" wrapText="1"/>
    </xf>
    <xf numFmtId="0" fontId="44" fillId="0" borderId="48" xfId="0" applyFont="1" applyBorder="1" applyAlignment="1">
      <alignment wrapText="1"/>
    </xf>
    <xf numFmtId="0" fontId="44" fillId="42" borderId="123" xfId="0" applyFont="1" applyFill="1" applyBorder="1" applyAlignment="1">
      <alignment vertical="center" wrapText="1"/>
    </xf>
    <xf numFmtId="0" fontId="44" fillId="0" borderId="48" xfId="0" applyFont="1" applyBorder="1" applyAlignment="1">
      <alignment vertical="top" wrapText="1"/>
    </xf>
    <xf numFmtId="0" fontId="46" fillId="0" borderId="49" xfId="0" applyFont="1" applyBorder="1" applyAlignment="1">
      <alignment vertical="center"/>
    </xf>
    <xf numFmtId="0" fontId="44" fillId="0" borderId="49" xfId="0" applyFont="1" applyBorder="1" applyAlignment="1">
      <alignment vertical="top" wrapText="1"/>
    </xf>
    <xf numFmtId="0" fontId="44" fillId="2" borderId="48" xfId="0" applyFont="1" applyFill="1" applyBorder="1" applyAlignment="1">
      <alignment horizontal="left" vertical="center" wrapText="1"/>
    </xf>
    <xf numFmtId="0" fontId="44" fillId="2" borderId="49" xfId="0" applyFont="1" applyFill="1" applyBorder="1" applyAlignment="1">
      <alignment vertical="center" wrapText="1"/>
    </xf>
    <xf numFmtId="0" fontId="44" fillId="0" borderId="48" xfId="0" applyFont="1" applyFill="1" applyBorder="1" applyAlignment="1">
      <alignment horizontal="left" vertical="center" wrapText="1"/>
    </xf>
    <xf numFmtId="0" fontId="44" fillId="0" borderId="49" xfId="0" applyFont="1" applyFill="1" applyBorder="1" applyAlignment="1">
      <alignment vertical="center"/>
    </xf>
    <xf numFmtId="0" fontId="46" fillId="2" borderId="49" xfId="0" applyFont="1" applyFill="1" applyBorder="1" applyAlignment="1">
      <alignment vertical="center" wrapText="1"/>
    </xf>
    <xf numFmtId="0" fontId="44" fillId="2" borderId="49" xfId="0" applyFont="1" applyFill="1" applyBorder="1" applyAlignment="1" applyProtection="1">
      <alignment horizontal="justify" vertical="center" wrapText="1"/>
      <protection locked="0"/>
    </xf>
    <xf numFmtId="0" fontId="44" fillId="2" borderId="49" xfId="0" applyFont="1" applyFill="1" applyBorder="1" applyAlignment="1">
      <alignment horizontal="left" vertical="center" wrapText="1"/>
    </xf>
    <xf numFmtId="0" fontId="44" fillId="0" borderId="0" xfId="0" applyFont="1" applyFill="1" applyBorder="1" applyAlignment="1">
      <alignment horizontal="justify" vertical="center" wrapText="1"/>
    </xf>
    <xf numFmtId="0" fontId="16" fillId="0" borderId="0" xfId="0" applyFont="1" applyFill="1" applyBorder="1" applyAlignment="1">
      <alignment horizontal="center" vertical="center" wrapText="1"/>
    </xf>
    <xf numFmtId="0" fontId="0" fillId="0" borderId="0" xfId="0" applyAlignment="1">
      <alignment horizontal="center" vertical="center"/>
    </xf>
    <xf numFmtId="0" fontId="44" fillId="0" borderId="51" xfId="0" applyFont="1" applyBorder="1" applyAlignment="1">
      <alignment vertical="center" wrapText="1"/>
    </xf>
    <xf numFmtId="0" fontId="44" fillId="42" borderId="123" xfId="0" applyFont="1" applyFill="1" applyBorder="1" applyAlignment="1">
      <alignment vertical="center"/>
    </xf>
    <xf numFmtId="0" fontId="53" fillId="42" borderId="123" xfId="0" applyFont="1" applyFill="1" applyBorder="1" applyAlignment="1">
      <alignment vertical="center" wrapText="1"/>
    </xf>
    <xf numFmtId="0" fontId="44" fillId="0" borderId="123" xfId="0" applyFont="1" applyBorder="1" applyAlignment="1">
      <alignment vertical="center"/>
    </xf>
    <xf numFmtId="0" fontId="53" fillId="0" borderId="126" xfId="0" applyFont="1" applyBorder="1" applyAlignment="1">
      <alignment horizontal="left" vertical="center" wrapText="1"/>
    </xf>
    <xf numFmtId="0" fontId="53" fillId="0" borderId="127" xfId="0" applyFont="1" applyBorder="1" applyAlignment="1">
      <alignment horizontal="left" vertical="center" wrapText="1"/>
    </xf>
    <xf numFmtId="0" fontId="44" fillId="18" borderId="48" xfId="0" applyFont="1" applyFill="1" applyBorder="1" applyAlignment="1">
      <alignment horizontal="center" vertical="center" wrapText="1"/>
    </xf>
    <xf numFmtId="0" fontId="44" fillId="0" borderId="51" xfId="0" applyFont="1" applyBorder="1" applyAlignment="1">
      <alignment horizontal="center" vertical="center" wrapText="1"/>
    </xf>
    <xf numFmtId="0" fontId="44" fillId="2" borderId="49" xfId="0" applyFont="1" applyFill="1" applyBorder="1" applyAlignment="1">
      <alignment vertical="center"/>
    </xf>
    <xf numFmtId="0" fontId="44" fillId="0" borderId="123" xfId="0" applyFont="1" applyFill="1" applyBorder="1" applyAlignment="1">
      <alignment horizontal="justify" vertical="center" wrapText="1"/>
    </xf>
    <xf numFmtId="0" fontId="44" fillId="0" borderId="0" xfId="0" applyFont="1" applyFill="1" applyBorder="1" applyAlignment="1">
      <alignment horizontal="center" vertical="center" wrapText="1"/>
    </xf>
    <xf numFmtId="0" fontId="44" fillId="0" borderId="123" xfId="0" applyFont="1" applyFill="1" applyBorder="1" applyAlignment="1">
      <alignment horizontal="center" vertical="center" wrapText="1"/>
    </xf>
    <xf numFmtId="0" fontId="44" fillId="18" borderId="51" xfId="0" applyFont="1" applyFill="1" applyBorder="1" applyAlignment="1">
      <alignment vertical="center" wrapText="1"/>
    </xf>
    <xf numFmtId="0" fontId="44" fillId="43" borderId="123" xfId="0" applyFont="1" applyFill="1" applyBorder="1" applyAlignment="1">
      <alignment vertical="center" wrapText="1"/>
    </xf>
    <xf numFmtId="0" fontId="44" fillId="43" borderId="123" xfId="0" applyFont="1" applyFill="1" applyBorder="1" applyAlignment="1">
      <alignment vertical="center"/>
    </xf>
    <xf numFmtId="0" fontId="44" fillId="0" borderId="82" xfId="0" applyFont="1" applyBorder="1" applyAlignment="1">
      <alignment horizontal="justify" vertical="center" wrapText="1"/>
    </xf>
    <xf numFmtId="0" fontId="54" fillId="0" borderId="0" xfId="0" applyFont="1" applyAlignment="1">
      <alignment horizontal="justify" vertical="center"/>
    </xf>
    <xf numFmtId="0" fontId="44" fillId="0" borderId="99" xfId="0" applyFont="1" applyBorder="1" applyAlignment="1">
      <alignment horizontal="justify" vertical="top"/>
    </xf>
    <xf numFmtId="0" fontId="44" fillId="0" borderId="122" xfId="0" applyFont="1" applyFill="1" applyBorder="1" applyAlignment="1" applyProtection="1">
      <alignment vertical="center" wrapText="1"/>
      <protection locked="0"/>
    </xf>
    <xf numFmtId="0" fontId="44" fillId="21" borderId="122" xfId="0" applyFont="1" applyFill="1" applyBorder="1" applyAlignment="1" applyProtection="1">
      <alignment vertical="center" wrapText="1"/>
    </xf>
    <xf numFmtId="0" fontId="44" fillId="0" borderId="122" xfId="0" applyFont="1" applyBorder="1" applyAlignment="1" applyProtection="1">
      <alignment vertical="center" wrapText="1"/>
      <protection locked="0"/>
    </xf>
    <xf numFmtId="0" fontId="44" fillId="0" borderId="47" xfId="0" applyFont="1" applyFill="1" applyBorder="1" applyAlignment="1" applyProtection="1">
      <alignment vertical="center" wrapText="1"/>
      <protection locked="0"/>
    </xf>
    <xf numFmtId="0" fontId="53" fillId="41" borderId="126" xfId="0" applyFont="1" applyFill="1" applyBorder="1" applyAlignment="1" applyProtection="1">
      <alignment vertical="center" wrapText="1"/>
      <protection locked="0"/>
    </xf>
    <xf numFmtId="14" fontId="46" fillId="0" borderId="49" xfId="0" applyNumberFormat="1" applyFont="1" applyBorder="1" applyAlignment="1" applyProtection="1">
      <alignment horizontal="center" vertical="center"/>
      <protection locked="0"/>
    </xf>
    <xf numFmtId="168" fontId="44" fillId="0" borderId="49" xfId="0" applyNumberFormat="1" applyFont="1" applyBorder="1" applyAlignment="1" applyProtection="1">
      <alignment vertical="center" wrapText="1"/>
      <protection locked="0"/>
    </xf>
    <xf numFmtId="14" fontId="44" fillId="0" borderId="49" xfId="0" applyNumberFormat="1" applyFont="1" applyBorder="1" applyAlignment="1">
      <alignment vertical="center" wrapText="1"/>
    </xf>
    <xf numFmtId="0" fontId="0" fillId="0" borderId="12" xfId="0" applyFill="1" applyBorder="1" applyAlignment="1">
      <alignment vertical="center" wrapText="1"/>
    </xf>
    <xf numFmtId="0" fontId="44" fillId="0" borderId="48" xfId="0" applyFont="1" applyBorder="1" applyAlignment="1">
      <alignment vertical="center"/>
    </xf>
    <xf numFmtId="0" fontId="44" fillId="12" borderId="49" xfId="0" applyFont="1" applyFill="1" applyBorder="1" applyAlignment="1">
      <alignment vertical="center" wrapText="1"/>
    </xf>
    <xf numFmtId="0" fontId="44" fillId="0" borderId="123" xfId="0" applyFont="1" applyBorder="1" applyAlignment="1">
      <alignment horizontal="center" vertical="center" wrapText="1"/>
    </xf>
    <xf numFmtId="0" fontId="54" fillId="0" borderId="0" xfId="0" applyFont="1" applyAlignment="1">
      <alignment horizontal="justify" vertical="center" wrapText="1"/>
    </xf>
    <xf numFmtId="0" fontId="16" fillId="19" borderId="0" xfId="0" applyFont="1" applyFill="1" applyAlignment="1">
      <alignment horizontal="center" vertical="center" wrapText="1"/>
    </xf>
    <xf numFmtId="0" fontId="44" fillId="2" borderId="0" xfId="0" applyFont="1" applyFill="1" applyAlignment="1">
      <alignment horizontal="left" vertical="center" wrapText="1"/>
    </xf>
    <xf numFmtId="0" fontId="44" fillId="21" borderId="49" xfId="0" applyFont="1" applyFill="1" applyBorder="1" applyAlignment="1" applyProtection="1">
      <alignment horizontal="center" vertical="center" wrapText="1"/>
    </xf>
    <xf numFmtId="0" fontId="46" fillId="0" borderId="49" xfId="0" applyFont="1" applyFill="1" applyBorder="1" applyAlignment="1" applyProtection="1">
      <alignment vertical="center" wrapText="1"/>
      <protection locked="0"/>
    </xf>
    <xf numFmtId="0" fontId="44" fillId="0" borderId="0" xfId="0" applyFont="1" applyBorder="1" applyAlignment="1">
      <alignment vertical="center" wrapText="1"/>
    </xf>
    <xf numFmtId="0" fontId="44" fillId="0" borderId="123" xfId="0" applyFont="1" applyBorder="1" applyAlignment="1">
      <alignment horizontal="left" vertical="center" wrapText="1"/>
    </xf>
    <xf numFmtId="0" fontId="55" fillId="0" borderId="49" xfId="0" applyFont="1" applyBorder="1" applyAlignment="1" applyProtection="1">
      <alignment vertical="center" wrapText="1"/>
      <protection locked="0"/>
    </xf>
    <xf numFmtId="0" fontId="16" fillId="2" borderId="0" xfId="0" applyFont="1" applyFill="1" applyAlignment="1">
      <alignment horizontal="center" vertical="center" wrapText="1"/>
    </xf>
    <xf numFmtId="0" fontId="44" fillId="2" borderId="49" xfId="0" applyFont="1" applyFill="1" applyBorder="1" applyAlignment="1" applyProtection="1">
      <alignment horizontal="center" vertical="center" wrapText="1"/>
      <protection locked="0"/>
    </xf>
    <xf numFmtId="0" fontId="44" fillId="40" borderId="123" xfId="0" applyFont="1" applyFill="1" applyBorder="1" applyAlignment="1">
      <alignment horizontal="center" vertical="center" wrapText="1"/>
    </xf>
    <xf numFmtId="0" fontId="44" fillId="0" borderId="123" xfId="0" applyFont="1" applyBorder="1" applyAlignment="1">
      <alignment horizontal="center" vertical="center"/>
    </xf>
    <xf numFmtId="0" fontId="44" fillId="40" borderId="123" xfId="0" applyFont="1" applyFill="1" applyBorder="1" applyAlignment="1">
      <alignment horizontal="center" vertical="center"/>
    </xf>
    <xf numFmtId="0" fontId="44" fillId="0" borderId="63" xfId="0" applyFont="1" applyBorder="1" applyAlignment="1">
      <alignment horizontal="center" vertical="center" wrapText="1"/>
    </xf>
    <xf numFmtId="0" fontId="44" fillId="0" borderId="63" xfId="0" applyFont="1" applyBorder="1" applyAlignment="1">
      <alignment vertical="center" wrapText="1"/>
    </xf>
    <xf numFmtId="0" fontId="44" fillId="0" borderId="73" xfId="0" applyFont="1" applyBorder="1" applyAlignment="1">
      <alignment vertical="center" wrapText="1"/>
    </xf>
    <xf numFmtId="0" fontId="16" fillId="0" borderId="0" xfId="0" applyFont="1" applyAlignment="1">
      <alignment horizontal="left" vertical="center" wrapText="1"/>
    </xf>
    <xf numFmtId="0" fontId="56" fillId="0" borderId="0" xfId="6"/>
    <xf numFmtId="0" fontId="57" fillId="0" borderId="0" xfId="6" applyFont="1"/>
    <xf numFmtId="0" fontId="58" fillId="0" borderId="0" xfId="6" applyFont="1" applyAlignment="1">
      <alignment horizontal="center" vertical="center" wrapText="1"/>
    </xf>
    <xf numFmtId="0" fontId="60" fillId="0" borderId="0" xfId="6" applyFont="1" applyAlignment="1">
      <alignment horizontal="center" vertical="center" wrapText="1"/>
    </xf>
    <xf numFmtId="0" fontId="61" fillId="44" borderId="135" xfId="6" applyFont="1" applyFill="1" applyBorder="1" applyAlignment="1">
      <alignment horizontal="center" vertical="center" wrapText="1"/>
    </xf>
    <xf numFmtId="0" fontId="63" fillId="44" borderId="131" xfId="6" applyFont="1" applyFill="1" applyBorder="1" applyAlignment="1">
      <alignment horizontal="center" vertical="center" wrapText="1"/>
    </xf>
    <xf numFmtId="0" fontId="63" fillId="44" borderId="137" xfId="6" applyFont="1" applyFill="1" applyBorder="1" applyAlignment="1">
      <alignment horizontal="center" vertical="center" wrapText="1"/>
    </xf>
    <xf numFmtId="0" fontId="57" fillId="0" borderId="12" xfId="6" applyFont="1" applyBorder="1" applyAlignment="1">
      <alignment horizontal="center" vertical="center"/>
    </xf>
    <xf numFmtId="0" fontId="57" fillId="0" borderId="131" xfId="6" applyFont="1" applyBorder="1" applyAlignment="1">
      <alignment horizontal="left" vertical="center" wrapText="1"/>
    </xf>
    <xf numFmtId="0" fontId="57" fillId="0" borderId="131" xfId="6" applyFont="1" applyBorder="1" applyAlignment="1">
      <alignment horizontal="center" vertical="center" wrapText="1"/>
    </xf>
    <xf numFmtId="0" fontId="57" fillId="0" borderId="137" xfId="6" applyFont="1" applyBorder="1" applyAlignment="1">
      <alignment horizontal="left" vertical="center" wrapText="1"/>
    </xf>
    <xf numFmtId="0" fontId="64" fillId="0" borderId="0" xfId="6" applyFont="1" applyAlignment="1">
      <alignment wrapText="1"/>
    </xf>
    <xf numFmtId="0" fontId="57" fillId="0" borderId="137" xfId="6" applyFont="1" applyBorder="1" applyAlignment="1">
      <alignment vertical="center" wrapText="1"/>
    </xf>
    <xf numFmtId="0" fontId="58" fillId="0" borderId="0" xfId="6" applyFont="1" applyAlignment="1">
      <alignment vertical="center" wrapText="1"/>
    </xf>
    <xf numFmtId="0" fontId="52" fillId="2" borderId="141" xfId="3" applyFont="1" applyFill="1" applyBorder="1" applyProtection="1"/>
    <xf numFmtId="0" fontId="52" fillId="2" borderId="142" xfId="3" applyFont="1" applyFill="1" applyBorder="1" applyProtection="1"/>
    <xf numFmtId="0" fontId="52" fillId="2" borderId="143" xfId="3" applyFont="1" applyFill="1" applyBorder="1" applyProtection="1"/>
    <xf numFmtId="0" fontId="66" fillId="2" borderId="21" xfId="3" applyFont="1" applyFill="1" applyBorder="1" applyAlignment="1" applyProtection="1">
      <alignment horizontal="left" vertical="top" wrapText="1"/>
    </xf>
    <xf numFmtId="0" fontId="48" fillId="2" borderId="0" xfId="3" applyFont="1" applyFill="1" applyBorder="1" applyAlignment="1" applyProtection="1">
      <alignment horizontal="left" vertical="top" wrapText="1"/>
    </xf>
    <xf numFmtId="0" fontId="48" fillId="2" borderId="18" xfId="3" applyFont="1" applyFill="1" applyBorder="1" applyAlignment="1" applyProtection="1">
      <alignment horizontal="left" vertical="top" wrapText="1"/>
    </xf>
    <xf numFmtId="0" fontId="52" fillId="2" borderId="21" xfId="3" applyFont="1" applyFill="1" applyBorder="1" applyProtection="1"/>
    <xf numFmtId="0" fontId="52" fillId="2" borderId="0" xfId="3" applyFont="1" applyFill="1" applyBorder="1" applyProtection="1"/>
    <xf numFmtId="0" fontId="67" fillId="2" borderId="0" xfId="3" applyFont="1" applyFill="1" applyBorder="1" applyAlignment="1" applyProtection="1">
      <alignment horizontal="left" vertical="center" wrapText="1"/>
    </xf>
    <xf numFmtId="0" fontId="52" fillId="2" borderId="0" xfId="3" applyFont="1" applyFill="1" applyBorder="1" applyAlignment="1" applyProtection="1">
      <alignment horizontal="left" vertical="center" wrapText="1"/>
    </xf>
    <xf numFmtId="0" fontId="52" fillId="2" borderId="18" xfId="3" applyFont="1" applyFill="1" applyBorder="1" applyAlignment="1" applyProtection="1"/>
    <xf numFmtId="0" fontId="52" fillId="2" borderId="18" xfId="3" applyFont="1" applyFill="1" applyBorder="1" applyProtection="1"/>
    <xf numFmtId="0" fontId="68" fillId="2" borderId="0" xfId="0" applyFont="1" applyFill="1" applyBorder="1" applyAlignment="1" applyProtection="1">
      <alignment horizontal="left" vertical="center" wrapText="1"/>
    </xf>
    <xf numFmtId="0" fontId="69" fillId="2" borderId="0" xfId="0" applyFont="1" applyFill="1" applyBorder="1" applyAlignment="1" applyProtection="1">
      <alignment horizontal="left" vertical="top" wrapText="1"/>
    </xf>
    <xf numFmtId="0" fontId="52" fillId="2" borderId="22" xfId="3" applyFont="1" applyFill="1" applyBorder="1" applyProtection="1"/>
    <xf numFmtId="0" fontId="52" fillId="2" borderId="23" xfId="3" applyFont="1" applyFill="1" applyBorder="1" applyProtection="1"/>
    <xf numFmtId="0" fontId="52" fillId="2" borderId="25" xfId="3" applyFont="1" applyFill="1" applyBorder="1" applyProtection="1"/>
    <xf numFmtId="0" fontId="65" fillId="24" borderId="138" xfId="3" applyFont="1" applyFill="1" applyBorder="1" applyAlignment="1" applyProtection="1">
      <alignment horizontal="center" vertical="center" wrapText="1"/>
    </xf>
    <xf numFmtId="0" fontId="65" fillId="24" borderId="139" xfId="3" applyFont="1" applyFill="1" applyBorder="1" applyAlignment="1" applyProtection="1">
      <alignment horizontal="center" vertical="center" wrapText="1"/>
    </xf>
    <xf numFmtId="0" fontId="65" fillId="24" borderId="140" xfId="3" applyFont="1" applyFill="1" applyBorder="1" applyAlignment="1" applyProtection="1">
      <alignment horizontal="center" vertical="center" wrapText="1"/>
    </xf>
    <xf numFmtId="0" fontId="66" fillId="2" borderId="141" xfId="3" quotePrefix="1" applyFont="1" applyFill="1" applyBorder="1" applyAlignment="1" applyProtection="1">
      <alignment horizontal="left" vertical="top" wrapText="1"/>
    </xf>
    <xf numFmtId="0" fontId="48" fillId="2" borderId="142" xfId="3" applyFont="1" applyFill="1" applyBorder="1" applyAlignment="1" applyProtection="1">
      <alignment horizontal="left" vertical="top" wrapText="1"/>
    </xf>
    <xf numFmtId="0" fontId="48" fillId="2" borderId="143" xfId="3" applyFont="1" applyFill="1" applyBorder="1" applyAlignment="1" applyProtection="1">
      <alignment horizontal="left" vertical="top" wrapText="1"/>
    </xf>
    <xf numFmtId="0" fontId="46" fillId="2" borderId="144" xfId="3" quotePrefix="1" applyFont="1" applyFill="1" applyBorder="1" applyAlignment="1" applyProtection="1">
      <alignment horizontal="justify" vertical="center" wrapText="1"/>
    </xf>
    <xf numFmtId="0" fontId="46" fillId="2" borderId="145" xfId="3" applyFont="1" applyFill="1" applyBorder="1" applyAlignment="1" applyProtection="1">
      <alignment horizontal="justify" vertical="center" wrapText="1"/>
    </xf>
    <xf numFmtId="0" fontId="46" fillId="2" borderId="146" xfId="3" applyFont="1" applyFill="1" applyBorder="1" applyAlignment="1" applyProtection="1">
      <alignment horizontal="justify" vertical="center" wrapText="1"/>
    </xf>
    <xf numFmtId="0" fontId="68" fillId="24" borderId="147" xfId="5" applyFont="1" applyFill="1" applyBorder="1" applyAlignment="1" applyProtection="1">
      <alignment horizontal="center" vertical="center" wrapText="1"/>
    </xf>
    <xf numFmtId="0" fontId="68" fillId="24" borderId="148" xfId="5" applyFont="1" applyFill="1" applyBorder="1" applyAlignment="1" applyProtection="1">
      <alignment horizontal="center" vertical="center" wrapText="1"/>
    </xf>
    <xf numFmtId="0" fontId="68" fillId="24" borderId="149" xfId="3" applyFont="1" applyFill="1" applyBorder="1" applyAlignment="1" applyProtection="1">
      <alignment horizontal="center" vertical="center"/>
    </xf>
    <xf numFmtId="0" fontId="68" fillId="24" borderId="150" xfId="3" applyFont="1" applyFill="1" applyBorder="1" applyAlignment="1" applyProtection="1">
      <alignment horizontal="center" vertical="center"/>
    </xf>
    <xf numFmtId="0" fontId="68" fillId="2" borderId="151" xfId="5" applyFont="1" applyFill="1" applyBorder="1" applyAlignment="1" applyProtection="1">
      <alignment horizontal="left" vertical="top" wrapText="1" readingOrder="1"/>
    </xf>
    <xf numFmtId="0" fontId="68" fillId="2" borderId="152" xfId="5" applyFont="1" applyFill="1" applyBorder="1" applyAlignment="1" applyProtection="1">
      <alignment horizontal="left" vertical="top" wrapText="1" readingOrder="1"/>
    </xf>
    <xf numFmtId="0" fontId="69" fillId="2" borderId="153" xfId="3" applyFont="1" applyFill="1" applyBorder="1" applyAlignment="1" applyProtection="1">
      <alignment horizontal="justify" vertical="center" wrapText="1"/>
    </xf>
    <xf numFmtId="0" fontId="69" fillId="2" borderId="154" xfId="3" applyFont="1" applyFill="1" applyBorder="1" applyAlignment="1" applyProtection="1">
      <alignment horizontal="justify" vertical="center" wrapText="1"/>
    </xf>
    <xf numFmtId="0" fontId="68" fillId="2" borderId="155" xfId="0" applyFont="1" applyFill="1" applyBorder="1" applyAlignment="1" applyProtection="1">
      <alignment horizontal="left" vertical="center" wrapText="1"/>
    </xf>
    <xf numFmtId="0" fontId="68" fillId="2" borderId="156" xfId="0" applyFont="1" applyFill="1" applyBorder="1" applyAlignment="1" applyProtection="1">
      <alignment horizontal="left" vertical="center" wrapText="1"/>
    </xf>
    <xf numFmtId="0" fontId="69" fillId="2" borderId="157" xfId="3" applyFont="1" applyFill="1" applyBorder="1" applyAlignment="1" applyProtection="1">
      <alignment horizontal="justify" vertical="center" wrapText="1"/>
    </xf>
    <xf numFmtId="0" fontId="69" fillId="2" borderId="158" xfId="3" applyFont="1" applyFill="1" applyBorder="1" applyAlignment="1" applyProtection="1">
      <alignment horizontal="justify" vertical="center" wrapText="1"/>
    </xf>
    <xf numFmtId="0" fontId="68" fillId="2" borderId="159" xfId="0" applyFont="1" applyFill="1" applyBorder="1" applyAlignment="1" applyProtection="1">
      <alignment horizontal="left" vertical="center" wrapText="1"/>
    </xf>
    <xf numFmtId="0" fontId="68" fillId="2" borderId="160" xfId="0" applyFont="1" applyFill="1" applyBorder="1" applyAlignment="1" applyProtection="1">
      <alignment horizontal="left" vertical="center" wrapText="1"/>
    </xf>
    <xf numFmtId="0" fontId="68" fillId="2" borderId="161" xfId="0" applyFont="1" applyFill="1" applyBorder="1" applyAlignment="1" applyProtection="1">
      <alignment horizontal="left" vertical="center" wrapText="1"/>
    </xf>
    <xf numFmtId="0" fontId="68" fillId="2" borderId="162" xfId="0" applyFont="1" applyFill="1" applyBorder="1" applyAlignment="1" applyProtection="1">
      <alignment horizontal="left" vertical="center" wrapText="1"/>
    </xf>
    <xf numFmtId="0" fontId="69" fillId="2" borderId="163" xfId="0" applyFont="1" applyFill="1" applyBorder="1" applyAlignment="1" applyProtection="1">
      <alignment horizontal="justify" vertical="center" wrapText="1"/>
    </xf>
    <xf numFmtId="0" fontId="69" fillId="2" borderId="164" xfId="0" applyFont="1" applyFill="1" applyBorder="1" applyAlignment="1" applyProtection="1">
      <alignment horizontal="justify" vertical="center" wrapText="1"/>
    </xf>
    <xf numFmtId="0" fontId="52" fillId="2" borderId="21" xfId="3" applyFont="1" applyFill="1" applyBorder="1" applyAlignment="1" applyProtection="1">
      <alignment horizontal="left" vertical="top" wrapText="1"/>
    </xf>
    <xf numFmtId="0" fontId="52" fillId="2" borderId="0" xfId="3" applyFont="1" applyFill="1" applyBorder="1" applyAlignment="1" applyProtection="1">
      <alignment horizontal="left" vertical="top" wrapText="1"/>
    </xf>
    <xf numFmtId="0" fontId="52" fillId="2" borderId="18" xfId="3" applyFont="1" applyFill="1" applyBorder="1" applyAlignment="1" applyProtection="1">
      <alignment horizontal="left" vertical="top" wrapText="1"/>
    </xf>
    <xf numFmtId="0" fontId="52" fillId="0" borderId="21" xfId="3" quotePrefix="1" applyFont="1" applyBorder="1" applyAlignment="1" applyProtection="1">
      <alignment horizontal="left" vertical="center" wrapText="1"/>
    </xf>
    <xf numFmtId="0" fontId="52" fillId="0" borderId="0" xfId="3" applyFont="1" applyBorder="1" applyAlignment="1" applyProtection="1">
      <alignment horizontal="left" vertical="center" wrapText="1"/>
    </xf>
    <xf numFmtId="0" fontId="52" fillId="0" borderId="18" xfId="3" applyFont="1" applyBorder="1" applyAlignment="1" applyProtection="1">
      <alignment horizontal="left" vertical="center" wrapText="1"/>
    </xf>
    <xf numFmtId="0" fontId="52" fillId="0" borderId="144" xfId="3" applyFont="1" applyBorder="1" applyAlignment="1" applyProtection="1">
      <alignment horizontal="left" vertical="center" wrapText="1"/>
    </xf>
    <xf numFmtId="0" fontId="52" fillId="0" borderId="145" xfId="3" applyFont="1" applyBorder="1" applyAlignment="1" applyProtection="1">
      <alignment horizontal="left" vertical="center" wrapText="1"/>
    </xf>
    <xf numFmtId="0" fontId="52" fillId="0" borderId="146" xfId="3" applyFont="1" applyBorder="1" applyAlignment="1" applyProtection="1">
      <alignment horizontal="left" vertical="center" wrapText="1"/>
    </xf>
    <xf numFmtId="0" fontId="52" fillId="0" borderId="21" xfId="3" quotePrefix="1" applyFont="1" applyBorder="1" applyAlignment="1" applyProtection="1">
      <alignment horizontal="left" vertical="top" wrapText="1"/>
    </xf>
    <xf numFmtId="0" fontId="52" fillId="0" borderId="0" xfId="3" applyFont="1" applyBorder="1" applyAlignment="1" applyProtection="1">
      <alignment horizontal="left" vertical="top" wrapText="1"/>
    </xf>
    <xf numFmtId="0" fontId="52" fillId="0" borderId="18" xfId="3" applyFont="1" applyBorder="1" applyAlignment="1" applyProtection="1">
      <alignment horizontal="left" vertical="top" wrapText="1"/>
    </xf>
    <xf numFmtId="0" fontId="52" fillId="0" borderId="21" xfId="3" applyFont="1" applyBorder="1" applyAlignment="1" applyProtection="1">
      <alignment horizontal="left" vertical="top" wrapText="1"/>
    </xf>
    <xf numFmtId="0" fontId="60" fillId="0" borderId="130" xfId="6" applyFont="1" applyBorder="1" applyAlignment="1">
      <alignment horizontal="center" vertical="center" wrapText="1"/>
    </xf>
    <xf numFmtId="0" fontId="59" fillId="0" borderId="131" xfId="6" applyFont="1" applyBorder="1"/>
    <xf numFmtId="0" fontId="62" fillId="44" borderId="130" xfId="6" applyFont="1" applyFill="1" applyBorder="1" applyAlignment="1">
      <alignment horizontal="center" vertical="center" wrapText="1"/>
    </xf>
    <xf numFmtId="0" fontId="59" fillId="0" borderId="136" xfId="6" applyFont="1" applyBorder="1"/>
    <xf numFmtId="0" fontId="58" fillId="0" borderId="128" xfId="6" applyFont="1" applyBorder="1" applyAlignment="1">
      <alignment horizontal="center" vertical="center" wrapText="1"/>
    </xf>
    <xf numFmtId="0" fontId="59" fillId="0" borderId="129" xfId="6" applyFont="1" applyBorder="1"/>
    <xf numFmtId="0" fontId="59" fillId="0" borderId="0" xfId="6" applyFont="1"/>
    <xf numFmtId="0" fontId="59" fillId="0" borderId="132" xfId="6" applyFont="1" applyBorder="1"/>
    <xf numFmtId="0" fontId="59" fillId="0" borderId="133" xfId="6" applyFont="1" applyBorder="1"/>
    <xf numFmtId="0" fontId="59" fillId="0" borderId="134" xfId="6" applyFont="1" applyBorder="1"/>
    <xf numFmtId="0" fontId="16" fillId="19" borderId="63" xfId="0" applyFont="1" applyFill="1" applyBorder="1" applyAlignment="1">
      <alignment horizontal="center" vertical="center" wrapText="1"/>
    </xf>
    <xf numFmtId="0" fontId="16" fillId="19" borderId="73" xfId="0" applyFont="1" applyFill="1" applyBorder="1" applyAlignment="1">
      <alignment horizontal="center" vertical="center" wrapText="1"/>
    </xf>
    <xf numFmtId="0" fontId="16" fillId="19" borderId="49" xfId="0" applyFont="1" applyFill="1" applyBorder="1" applyAlignment="1">
      <alignment horizontal="center" vertical="center" wrapText="1"/>
    </xf>
    <xf numFmtId="0" fontId="35" fillId="19" borderId="121" xfId="0" applyFont="1" applyFill="1" applyBorder="1" applyAlignment="1">
      <alignment horizontal="center" vertical="center" wrapText="1"/>
    </xf>
    <xf numFmtId="0" fontId="35" fillId="19" borderId="0" xfId="0" applyFont="1" applyFill="1" applyBorder="1" applyAlignment="1">
      <alignment horizontal="center" vertical="center" wrapText="1"/>
    </xf>
    <xf numFmtId="0" fontId="16" fillId="19" borderId="62" xfId="0" applyFont="1" applyFill="1" applyBorder="1" applyAlignment="1">
      <alignment horizontal="center" vertical="center" wrapText="1"/>
    </xf>
    <xf numFmtId="0" fontId="16" fillId="23" borderId="53" xfId="0" applyFont="1" applyFill="1" applyBorder="1" applyAlignment="1">
      <alignment horizontal="center" vertical="center" wrapText="1"/>
    </xf>
    <xf numFmtId="0" fontId="16" fillId="23" borderId="54" xfId="0" applyFont="1" applyFill="1" applyBorder="1" applyAlignment="1">
      <alignment horizontal="center" vertical="center" wrapText="1"/>
    </xf>
    <xf numFmtId="0" fontId="16" fillId="23" borderId="68" xfId="0" applyFont="1" applyFill="1" applyBorder="1" applyAlignment="1">
      <alignment horizontal="center" vertical="center" wrapText="1"/>
    </xf>
    <xf numFmtId="0" fontId="16" fillId="23" borderId="74" xfId="0" applyFont="1" applyFill="1" applyBorder="1" applyAlignment="1">
      <alignment horizontal="center" vertical="center" wrapText="1"/>
    </xf>
    <xf numFmtId="0" fontId="48" fillId="30" borderId="75" xfId="0" applyFont="1" applyFill="1" applyBorder="1" applyAlignment="1">
      <alignment horizontal="center" vertical="center" wrapText="1"/>
    </xf>
    <xf numFmtId="0" fontId="48" fillId="30" borderId="84" xfId="0" applyFont="1" applyFill="1" applyBorder="1" applyAlignment="1">
      <alignment horizontal="center" vertical="center" wrapText="1"/>
    </xf>
    <xf numFmtId="0" fontId="16" fillId="35" borderId="91" xfId="0" applyFont="1" applyFill="1" applyBorder="1" applyAlignment="1">
      <alignment horizontal="center" vertical="center" wrapText="1"/>
    </xf>
    <xf numFmtId="0" fontId="16" fillId="35" borderId="92" xfId="0" applyFont="1" applyFill="1" applyBorder="1" applyAlignment="1">
      <alignment horizontal="center" vertical="center" wrapText="1"/>
    </xf>
    <xf numFmtId="0" fontId="16" fillId="35" borderId="106" xfId="0" applyFont="1" applyFill="1" applyBorder="1" applyAlignment="1">
      <alignment horizontal="center" vertical="center" wrapText="1"/>
    </xf>
    <xf numFmtId="0" fontId="16" fillId="35" borderId="107" xfId="0" applyFont="1" applyFill="1" applyBorder="1" applyAlignment="1">
      <alignment horizontal="center" vertical="center" wrapText="1"/>
    </xf>
    <xf numFmtId="0" fontId="16" fillId="23" borderId="56" xfId="0" applyFont="1" applyFill="1" applyBorder="1" applyAlignment="1">
      <alignment horizontal="center" vertical="center" wrapText="1"/>
    </xf>
    <xf numFmtId="0" fontId="16" fillId="23" borderId="57" xfId="0" applyFont="1" applyFill="1" applyBorder="1" applyAlignment="1">
      <alignment horizontal="center" vertical="center" wrapText="1"/>
    </xf>
    <xf numFmtId="0" fontId="16" fillId="23" borderId="64" xfId="0" applyFont="1" applyFill="1" applyBorder="1" applyAlignment="1">
      <alignment horizontal="center" vertical="center" wrapText="1"/>
    </xf>
    <xf numFmtId="0" fontId="16" fillId="23" borderId="65" xfId="0" applyFont="1" applyFill="1" applyBorder="1" applyAlignment="1">
      <alignment horizontal="center" vertical="center" wrapText="1"/>
    </xf>
    <xf numFmtId="0" fontId="16" fillId="23" borderId="69" xfId="0" applyFont="1" applyFill="1" applyBorder="1" applyAlignment="1">
      <alignment horizontal="center" vertical="center" wrapText="1"/>
    </xf>
    <xf numFmtId="0" fontId="16" fillId="23" borderId="70" xfId="0" applyFont="1" applyFill="1" applyBorder="1" applyAlignment="1">
      <alignment horizontal="center" vertical="center" wrapText="1"/>
    </xf>
    <xf numFmtId="0" fontId="48" fillId="23" borderId="65" xfId="0" applyFont="1" applyFill="1" applyBorder="1" applyAlignment="1">
      <alignment horizontal="center" vertical="center"/>
    </xf>
    <xf numFmtId="0" fontId="48" fillId="23" borderId="69" xfId="0" applyFont="1" applyFill="1" applyBorder="1" applyAlignment="1">
      <alignment horizontal="center" vertical="center"/>
    </xf>
    <xf numFmtId="0" fontId="48" fillId="23" borderId="76" xfId="0" applyFont="1" applyFill="1" applyBorder="1" applyAlignment="1">
      <alignment horizontal="center" vertical="center"/>
    </xf>
    <xf numFmtId="0" fontId="48" fillId="30" borderId="85" xfId="0" applyFont="1" applyFill="1" applyBorder="1" applyAlignment="1">
      <alignment horizontal="center" vertical="center" wrapText="1"/>
    </xf>
    <xf numFmtId="0" fontId="48" fillId="30" borderId="86" xfId="0" applyFont="1" applyFill="1" applyBorder="1" applyAlignment="1">
      <alignment horizontal="center" vertical="center" wrapText="1"/>
    </xf>
    <xf numFmtId="0" fontId="48" fillId="30" borderId="93" xfId="0" applyFont="1" applyFill="1" applyBorder="1" applyAlignment="1">
      <alignment horizontal="center" vertical="center" wrapText="1"/>
    </xf>
    <xf numFmtId="0" fontId="48" fillId="30" borderId="94" xfId="0" applyFont="1" applyFill="1" applyBorder="1" applyAlignment="1">
      <alignment horizontal="center" vertical="center"/>
    </xf>
    <xf numFmtId="0" fontId="48" fillId="30" borderId="75" xfId="0" applyFont="1" applyFill="1" applyBorder="1" applyAlignment="1">
      <alignment horizontal="center" vertical="center"/>
    </xf>
    <xf numFmtId="0" fontId="48" fillId="30" borderId="84" xfId="0" applyFont="1" applyFill="1" applyBorder="1" applyAlignment="1">
      <alignment horizontal="center" vertical="center"/>
    </xf>
    <xf numFmtId="0" fontId="16" fillId="35" borderId="95" xfId="0" applyFont="1" applyFill="1" applyBorder="1" applyAlignment="1">
      <alignment horizontal="center" vertical="center" wrapText="1"/>
    </xf>
    <xf numFmtId="0" fontId="16" fillId="35" borderId="101" xfId="0" applyFont="1" applyFill="1" applyBorder="1" applyAlignment="1">
      <alignment horizontal="center" vertical="center" wrapText="1"/>
    </xf>
    <xf numFmtId="0" fontId="16" fillId="35" borderId="102" xfId="0" applyFont="1" applyFill="1" applyBorder="1" applyAlignment="1">
      <alignment horizontal="center" vertical="center" wrapText="1"/>
    </xf>
    <xf numFmtId="0" fontId="48" fillId="35" borderId="102" xfId="0" applyFont="1" applyFill="1" applyBorder="1" applyAlignment="1">
      <alignment horizontal="center" vertical="center"/>
    </xf>
    <xf numFmtId="0" fontId="48" fillId="35" borderId="95" xfId="0" applyFont="1" applyFill="1" applyBorder="1" applyAlignment="1">
      <alignment horizontal="center" vertical="center"/>
    </xf>
    <xf numFmtId="0" fontId="48" fillId="35" borderId="101" xfId="0" applyFont="1" applyFill="1" applyBorder="1" applyAlignment="1">
      <alignment horizontal="center" vertical="center"/>
    </xf>
    <xf numFmtId="0" fontId="16" fillId="24" borderId="59" xfId="0" applyFont="1" applyFill="1" applyBorder="1" applyAlignment="1">
      <alignment horizontal="center" vertical="center" wrapText="1"/>
    </xf>
    <xf numFmtId="0" fontId="16" fillId="24" borderId="60" xfId="0" applyFont="1" applyFill="1" applyBorder="1" applyAlignment="1">
      <alignment horizontal="center" vertical="center" wrapText="1"/>
    </xf>
    <xf numFmtId="0" fontId="16" fillId="19" borderId="38" xfId="0" applyFont="1" applyFill="1" applyBorder="1" applyAlignment="1">
      <alignment horizontal="center" vertical="center" wrapText="1"/>
    </xf>
    <xf numFmtId="0" fontId="16" fillId="19" borderId="39" xfId="0" applyFont="1" applyFill="1" applyBorder="1" applyAlignment="1">
      <alignment horizontal="center" vertical="center" wrapText="1"/>
    </xf>
    <xf numFmtId="0" fontId="16" fillId="19" borderId="66" xfId="0" applyFont="1" applyFill="1" applyBorder="1" applyAlignment="1">
      <alignment horizontal="center" vertical="center" wrapText="1"/>
    </xf>
    <xf numFmtId="0" fontId="16" fillId="26" borderId="39" xfId="0" applyFont="1" applyFill="1" applyBorder="1" applyAlignment="1">
      <alignment horizontal="center" vertical="center" wrapText="1"/>
    </xf>
    <xf numFmtId="0" fontId="16" fillId="26" borderId="66" xfId="0" applyFont="1" applyFill="1" applyBorder="1" applyAlignment="1">
      <alignment horizontal="center" vertical="center" wrapText="1"/>
    </xf>
    <xf numFmtId="0" fontId="16" fillId="19" borderId="67" xfId="0" applyFont="1" applyFill="1" applyBorder="1" applyAlignment="1">
      <alignment horizontal="center" vertical="center" wrapText="1"/>
    </xf>
    <xf numFmtId="0" fontId="16" fillId="19" borderId="61" xfId="0" applyFont="1" applyFill="1" applyBorder="1" applyAlignment="1">
      <alignment horizontal="center" vertical="center" wrapText="1"/>
    </xf>
    <xf numFmtId="0" fontId="16" fillId="27" borderId="38" xfId="0" applyFont="1" applyFill="1" applyBorder="1" applyAlignment="1">
      <alignment horizontal="center" vertical="center" wrapText="1"/>
    </xf>
    <xf numFmtId="0" fontId="16" fillId="27" borderId="39" xfId="0" applyFont="1" applyFill="1" applyBorder="1" applyAlignment="1">
      <alignment horizontal="center" vertical="center" wrapText="1"/>
    </xf>
    <xf numFmtId="0" fontId="16" fillId="29" borderId="38" xfId="0" applyFont="1" applyFill="1" applyBorder="1" applyAlignment="1">
      <alignment horizontal="center" vertical="center" wrapText="1"/>
    </xf>
    <xf numFmtId="0" fontId="16" fillId="29" borderId="66" xfId="0" applyFont="1" applyFill="1" applyBorder="1" applyAlignment="1">
      <alignment horizontal="center" vertical="center" wrapText="1"/>
    </xf>
    <xf numFmtId="0" fontId="16" fillId="31" borderId="78" xfId="0" applyFont="1" applyFill="1" applyBorder="1" applyAlignment="1">
      <alignment horizontal="center" vertical="center" wrapText="1"/>
    </xf>
    <xf numFmtId="0" fontId="16" fillId="31" borderId="79" xfId="0" applyFont="1" applyFill="1" applyBorder="1" applyAlignment="1">
      <alignment horizontal="center" vertical="center" wrapText="1"/>
    </xf>
    <xf numFmtId="0" fontId="16" fillId="32" borderId="80" xfId="0" applyFont="1" applyFill="1" applyBorder="1" applyAlignment="1">
      <alignment horizontal="center" vertical="center" wrapText="1"/>
    </xf>
    <xf numFmtId="0" fontId="16" fillId="34" borderId="80" xfId="0" applyFont="1" applyFill="1" applyBorder="1" applyAlignment="1">
      <alignment horizontal="center" vertical="center" wrapText="1"/>
    </xf>
    <xf numFmtId="0" fontId="16" fillId="34" borderId="87" xfId="0" applyFont="1" applyFill="1" applyBorder="1" applyAlignment="1">
      <alignment horizontal="center" vertical="center" wrapText="1"/>
    </xf>
    <xf numFmtId="0" fontId="16" fillId="19" borderId="88" xfId="0" applyFont="1" applyFill="1" applyBorder="1" applyAlignment="1">
      <alignment horizontal="center" vertical="center" wrapText="1"/>
    </xf>
    <xf numFmtId="0" fontId="16" fillId="19" borderId="80" xfId="0" applyFont="1" applyFill="1" applyBorder="1" applyAlignment="1">
      <alignment horizontal="center" vertical="center" wrapText="1"/>
    </xf>
    <xf numFmtId="0" fontId="16" fillId="27" borderId="80" xfId="0" applyFont="1" applyFill="1" applyBorder="1" applyAlignment="1">
      <alignment horizontal="center" vertical="center" wrapText="1"/>
    </xf>
    <xf numFmtId="0" fontId="16" fillId="29" borderId="80" xfId="0" applyFont="1" applyFill="1" applyBorder="1" applyAlignment="1">
      <alignment horizontal="center" vertical="center" wrapText="1"/>
    </xf>
    <xf numFmtId="0" fontId="16" fillId="29" borderId="87" xfId="0" applyFont="1" applyFill="1" applyBorder="1" applyAlignment="1">
      <alignment horizontal="center" vertical="center" wrapText="1"/>
    </xf>
    <xf numFmtId="0" fontId="16" fillId="36" borderId="97" xfId="0" applyFont="1" applyFill="1" applyBorder="1" applyAlignment="1">
      <alignment horizontal="center" vertical="center" wrapText="1"/>
    </xf>
    <xf numFmtId="0" fontId="16" fillId="36" borderId="98" xfId="0" applyFont="1" applyFill="1" applyBorder="1" applyAlignment="1">
      <alignment horizontal="center" vertical="center" wrapText="1"/>
    </xf>
    <xf numFmtId="0" fontId="16" fillId="37" borderId="99" xfId="0" applyFont="1" applyFill="1" applyBorder="1" applyAlignment="1">
      <alignment horizontal="center" vertical="center" wrapText="1"/>
    </xf>
    <xf numFmtId="0" fontId="16" fillId="39" borderId="99" xfId="0" applyFont="1" applyFill="1" applyBorder="1" applyAlignment="1">
      <alignment horizontal="center" vertical="center" wrapText="1"/>
    </xf>
    <xf numFmtId="0" fontId="16" fillId="39" borderId="103" xfId="0" applyFont="1" applyFill="1" applyBorder="1" applyAlignment="1">
      <alignment horizontal="center" vertical="center" wrapText="1"/>
    </xf>
    <xf numFmtId="0" fontId="16" fillId="19" borderId="104" xfId="0" applyFont="1" applyFill="1" applyBorder="1" applyAlignment="1">
      <alignment horizontal="center" vertical="center" wrapText="1"/>
    </xf>
    <xf numFmtId="0" fontId="16" fillId="19" borderId="99" xfId="0" applyFont="1" applyFill="1" applyBorder="1" applyAlignment="1">
      <alignment horizontal="center" vertical="center" wrapText="1"/>
    </xf>
    <xf numFmtId="0" fontId="16" fillId="27" borderId="99" xfId="0" applyFont="1" applyFill="1" applyBorder="1" applyAlignment="1">
      <alignment horizontal="center" vertical="center" wrapText="1"/>
    </xf>
    <xf numFmtId="0" fontId="16" fillId="29" borderId="99" xfId="0" applyFont="1" applyFill="1" applyBorder="1" applyAlignment="1">
      <alignment horizontal="center" vertical="center" wrapText="1"/>
    </xf>
    <xf numFmtId="0" fontId="16" fillId="29" borderId="103" xfId="0" applyFont="1" applyFill="1" applyBorder="1" applyAlignment="1">
      <alignment horizontal="center" vertical="center" wrapText="1"/>
    </xf>
    <xf numFmtId="0" fontId="44" fillId="0" borderId="122" xfId="0" applyFont="1" applyFill="1" applyBorder="1" applyAlignment="1" applyProtection="1">
      <alignment horizontal="center" vertical="center" wrapText="1"/>
      <protection locked="0"/>
    </xf>
    <xf numFmtId="0" fontId="44" fillId="0" borderId="47" xfId="0" applyFont="1" applyFill="1" applyBorder="1" applyAlignment="1" applyProtection="1">
      <alignment horizontal="center" vertical="center" wrapText="1"/>
      <protection locked="0"/>
    </xf>
    <xf numFmtId="0" fontId="44" fillId="0" borderId="72" xfId="0" applyFont="1" applyFill="1" applyBorder="1" applyAlignment="1" applyProtection="1">
      <alignment horizontal="center" vertical="center" wrapText="1"/>
      <protection locked="0"/>
    </xf>
    <xf numFmtId="0" fontId="44" fillId="21" borderId="122" xfId="0" applyFont="1" applyFill="1" applyBorder="1" applyAlignment="1" applyProtection="1">
      <alignment horizontal="center" vertical="center" wrapText="1"/>
    </xf>
    <xf numFmtId="0" fontId="44" fillId="21" borderId="47" xfId="0" applyFont="1" applyFill="1" applyBorder="1" applyAlignment="1" applyProtection="1">
      <alignment horizontal="center" vertical="center" wrapText="1"/>
    </xf>
    <xf numFmtId="0" fontId="44" fillId="21" borderId="72" xfId="0" applyFont="1" applyFill="1" applyBorder="1" applyAlignment="1" applyProtection="1">
      <alignment horizontal="center" vertical="center" wrapText="1"/>
    </xf>
    <xf numFmtId="0" fontId="44" fillId="21" borderId="122" xfId="0" applyFont="1" applyFill="1" applyBorder="1" applyAlignment="1" applyProtection="1">
      <alignment horizontal="left" vertical="center" wrapText="1"/>
    </xf>
    <xf numFmtId="0" fontId="44" fillId="21" borderId="47" xfId="0" applyFont="1" applyFill="1" applyBorder="1" applyAlignment="1" applyProtection="1">
      <alignment horizontal="left" vertical="center" wrapText="1"/>
    </xf>
    <xf numFmtId="0" fontId="44" fillId="0" borderId="122" xfId="0" applyFont="1" applyBorder="1" applyAlignment="1" applyProtection="1">
      <alignment horizontal="center" vertical="center" wrapText="1"/>
      <protection locked="0"/>
    </xf>
    <xf numFmtId="0" fontId="44" fillId="0" borderId="47" xfId="0" applyFont="1" applyBorder="1" applyAlignment="1" applyProtection="1">
      <alignment horizontal="center" vertical="center" wrapText="1"/>
      <protection locked="0"/>
    </xf>
    <xf numFmtId="0" fontId="44" fillId="0" borderId="72" xfId="0" applyFont="1" applyBorder="1" applyAlignment="1" applyProtection="1">
      <alignment horizontal="center" vertical="center" wrapText="1"/>
      <protection locked="0"/>
    </xf>
    <xf numFmtId="0" fontId="46" fillId="0" borderId="122" xfId="0" applyFont="1" applyBorder="1" applyAlignment="1">
      <alignment horizontal="center" vertical="center" wrapText="1"/>
    </xf>
    <xf numFmtId="0" fontId="46" fillId="0" borderId="47" xfId="0" applyFont="1" applyBorder="1" applyAlignment="1">
      <alignment horizontal="center" vertical="center" wrapText="1"/>
    </xf>
    <xf numFmtId="0" fontId="16" fillId="21" borderId="122" xfId="0" applyFont="1" applyFill="1" applyBorder="1" applyAlignment="1" applyProtection="1">
      <alignment horizontal="center" vertical="center" wrapText="1"/>
      <protection hidden="1"/>
    </xf>
    <xf numFmtId="0" fontId="16" fillId="21" borderId="47" xfId="0" applyFont="1" applyFill="1" applyBorder="1" applyAlignment="1" applyProtection="1">
      <alignment horizontal="center" vertical="center" wrapText="1"/>
      <protection hidden="1"/>
    </xf>
    <xf numFmtId="0" fontId="16" fillId="21" borderId="72" xfId="0" applyFont="1" applyFill="1" applyBorder="1" applyAlignment="1" applyProtection="1">
      <alignment horizontal="center" vertical="center" wrapText="1"/>
      <protection hidden="1"/>
    </xf>
    <xf numFmtId="9" fontId="44" fillId="21" borderId="122" xfId="0" applyNumberFormat="1" applyFont="1" applyFill="1" applyBorder="1" applyAlignment="1" applyProtection="1">
      <alignment horizontal="center" vertical="center" wrapText="1"/>
      <protection hidden="1"/>
    </xf>
    <xf numFmtId="9" fontId="44" fillId="21" borderId="47" xfId="0" applyNumberFormat="1" applyFont="1" applyFill="1" applyBorder="1" applyAlignment="1" applyProtection="1">
      <alignment horizontal="center" vertical="center" wrapText="1"/>
      <protection hidden="1"/>
    </xf>
    <xf numFmtId="9" fontId="44" fillId="21" borderId="72" xfId="0" applyNumberFormat="1" applyFont="1" applyFill="1" applyBorder="1" applyAlignment="1" applyProtection="1">
      <alignment horizontal="center" vertical="center" wrapText="1"/>
      <protection hidden="1"/>
    </xf>
    <xf numFmtId="9" fontId="44" fillId="0" borderId="122" xfId="0" applyNumberFormat="1" applyFont="1" applyBorder="1" applyAlignment="1" applyProtection="1">
      <alignment horizontal="center" vertical="center" wrapText="1"/>
      <protection locked="0"/>
    </xf>
    <xf numFmtId="9" fontId="44" fillId="0" borderId="47" xfId="0" applyNumberFormat="1" applyFont="1" applyBorder="1" applyAlignment="1" applyProtection="1">
      <alignment horizontal="center" vertical="center" wrapText="1"/>
      <protection locked="0"/>
    </xf>
    <xf numFmtId="9" fontId="44" fillId="0" borderId="72" xfId="0" applyNumberFormat="1" applyFont="1" applyBorder="1" applyAlignment="1" applyProtection="1">
      <alignment horizontal="center" vertical="center" wrapText="1"/>
      <protection locked="0"/>
    </xf>
    <xf numFmtId="0" fontId="44" fillId="21" borderId="122" xfId="0" applyFont="1" applyFill="1" applyBorder="1" applyAlignment="1" applyProtection="1">
      <alignment horizontal="center" vertical="center" wrapText="1"/>
      <protection hidden="1"/>
    </xf>
    <xf numFmtId="0" fontId="44" fillId="21" borderId="72" xfId="0" applyFont="1" applyFill="1" applyBorder="1" applyAlignment="1" applyProtection="1">
      <alignment horizontal="center" vertical="center" wrapText="1"/>
      <protection hidden="1"/>
    </xf>
    <xf numFmtId="0" fontId="44" fillId="21" borderId="47" xfId="0" applyFont="1" applyFill="1" applyBorder="1" applyAlignment="1" applyProtection="1">
      <alignment horizontal="center" vertical="center" wrapText="1"/>
      <protection hidden="1"/>
    </xf>
    <xf numFmtId="0" fontId="47" fillId="0" borderId="122" xfId="0" applyFont="1" applyBorder="1" applyAlignment="1" applyProtection="1">
      <alignment horizontal="center" vertical="center" wrapText="1"/>
      <protection locked="0"/>
    </xf>
    <xf numFmtId="0" fontId="47" fillId="0" borderId="72" xfId="0" applyFont="1" applyBorder="1" applyAlignment="1" applyProtection="1">
      <alignment horizontal="center" vertical="center" wrapText="1"/>
      <protection locked="0"/>
    </xf>
    <xf numFmtId="0" fontId="47" fillId="0" borderId="47" xfId="0" applyFont="1" applyBorder="1" applyAlignment="1" applyProtection="1">
      <alignment horizontal="center" vertical="center" wrapText="1"/>
      <protection locked="0"/>
    </xf>
    <xf numFmtId="0" fontId="44" fillId="0" borderId="122" xfId="0" applyFont="1" applyBorder="1" applyAlignment="1" applyProtection="1">
      <alignment horizontal="center" vertical="center" textRotation="90" wrapText="1"/>
      <protection locked="0"/>
    </xf>
    <xf numFmtId="0" fontId="44" fillId="0" borderId="72" xfId="0" applyFont="1" applyBorder="1" applyAlignment="1" applyProtection="1">
      <alignment horizontal="center" vertical="center" textRotation="90" wrapText="1"/>
      <protection locked="0"/>
    </xf>
    <xf numFmtId="0" fontId="44" fillId="0" borderId="47" xfId="0" applyFont="1" applyBorder="1" applyAlignment="1" applyProtection="1">
      <alignment horizontal="center" vertical="center" textRotation="90" wrapText="1"/>
      <protection locked="0"/>
    </xf>
    <xf numFmtId="167" fontId="44" fillId="21" borderId="122" xfId="1" applyNumberFormat="1" applyFont="1" applyFill="1" applyBorder="1" applyAlignment="1" applyProtection="1">
      <alignment horizontal="center" vertical="center" wrapText="1"/>
      <protection hidden="1"/>
    </xf>
    <xf numFmtId="167" fontId="44" fillId="21" borderId="47" xfId="1" applyNumberFormat="1" applyFont="1" applyFill="1" applyBorder="1" applyAlignment="1" applyProtection="1">
      <alignment horizontal="center" vertical="center" wrapText="1"/>
      <protection hidden="1"/>
    </xf>
    <xf numFmtId="167" fontId="44" fillId="21" borderId="72" xfId="1" applyNumberFormat="1" applyFont="1" applyFill="1" applyBorder="1" applyAlignment="1" applyProtection="1">
      <alignment horizontal="center" vertical="center" wrapText="1"/>
      <protection hidden="1"/>
    </xf>
    <xf numFmtId="167" fontId="44" fillId="41" borderId="122" xfId="1" applyNumberFormat="1" applyFont="1" applyFill="1" applyBorder="1" applyAlignment="1" applyProtection="1">
      <alignment horizontal="center" vertical="center" wrapText="1"/>
      <protection hidden="1"/>
    </xf>
    <xf numFmtId="167" fontId="44" fillId="41" borderId="47" xfId="1" applyNumberFormat="1" applyFont="1" applyFill="1" applyBorder="1" applyAlignment="1" applyProtection="1">
      <alignment horizontal="center" vertical="center" wrapText="1"/>
      <protection hidden="1"/>
    </xf>
    <xf numFmtId="0" fontId="16" fillId="21" borderId="122" xfId="0" applyFont="1" applyFill="1" applyBorder="1" applyAlignment="1" applyProtection="1">
      <alignment horizontal="center" vertical="center" textRotation="90" wrapText="1"/>
      <protection hidden="1"/>
    </xf>
    <xf numFmtId="0" fontId="16" fillId="21" borderId="47" xfId="0" applyFont="1" applyFill="1" applyBorder="1" applyAlignment="1" applyProtection="1">
      <alignment horizontal="center" vertical="center" textRotation="90" wrapText="1"/>
      <protection hidden="1"/>
    </xf>
    <xf numFmtId="0" fontId="16" fillId="21" borderId="72" xfId="0" applyFont="1" applyFill="1" applyBorder="1" applyAlignment="1" applyProtection="1">
      <alignment horizontal="center" vertical="center" textRotation="90" wrapText="1"/>
      <protection hidden="1"/>
    </xf>
    <xf numFmtId="0" fontId="16" fillId="41" borderId="122" xfId="0" applyFont="1" applyFill="1" applyBorder="1" applyAlignment="1" applyProtection="1">
      <alignment horizontal="center" vertical="center" textRotation="90" wrapText="1"/>
      <protection hidden="1"/>
    </xf>
    <xf numFmtId="0" fontId="16" fillId="41" borderId="47" xfId="0" applyFont="1" applyFill="1" applyBorder="1" applyAlignment="1" applyProtection="1">
      <alignment horizontal="center" vertical="center" textRotation="90" wrapText="1"/>
      <protection hidden="1"/>
    </xf>
    <xf numFmtId="9" fontId="44" fillId="41" borderId="122" xfId="0" applyNumberFormat="1" applyFont="1" applyFill="1" applyBorder="1" applyAlignment="1" applyProtection="1">
      <alignment horizontal="center" vertical="center" wrapText="1"/>
      <protection hidden="1"/>
    </xf>
    <xf numFmtId="9" fontId="44" fillId="41" borderId="47" xfId="0" applyNumberFormat="1" applyFont="1" applyFill="1" applyBorder="1" applyAlignment="1" applyProtection="1">
      <alignment horizontal="center" vertical="center" wrapText="1"/>
      <protection hidden="1"/>
    </xf>
    <xf numFmtId="0" fontId="44" fillId="41" borderId="122" xfId="0" applyFont="1" applyFill="1" applyBorder="1" applyAlignment="1" applyProtection="1">
      <alignment horizontal="center" vertical="center" textRotation="90" wrapText="1"/>
      <protection locked="0"/>
    </xf>
    <xf numFmtId="0" fontId="44" fillId="41" borderId="47" xfId="0" applyFont="1" applyFill="1" applyBorder="1" applyAlignment="1" applyProtection="1">
      <alignment horizontal="center" vertical="center" textRotation="90" wrapText="1"/>
      <protection locked="0"/>
    </xf>
    <xf numFmtId="0" fontId="44" fillId="2" borderId="122" xfId="0" applyFont="1" applyFill="1" applyBorder="1" applyAlignment="1" applyProtection="1">
      <alignment horizontal="center" vertical="center" wrapText="1"/>
      <protection locked="0"/>
    </xf>
    <xf numFmtId="0" fontId="44" fillId="2" borderId="72" xfId="0" applyFont="1" applyFill="1" applyBorder="1" applyAlignment="1" applyProtection="1">
      <alignment horizontal="center" vertical="center" wrapText="1"/>
      <protection locked="0"/>
    </xf>
    <xf numFmtId="0" fontId="44" fillId="2" borderId="47" xfId="0" applyFont="1" applyFill="1" applyBorder="1" applyAlignment="1" applyProtection="1">
      <alignment horizontal="center" vertical="center" wrapText="1"/>
      <protection locked="0"/>
    </xf>
    <xf numFmtId="0" fontId="44" fillId="43" borderId="105" xfId="0" applyFont="1" applyFill="1" applyBorder="1" applyAlignment="1">
      <alignment horizontal="center" vertical="center" wrapText="1"/>
    </xf>
    <xf numFmtId="0" fontId="44" fillId="43" borderId="125" xfId="0" applyFont="1" applyFill="1" applyBorder="1" applyAlignment="1">
      <alignment horizontal="center" vertical="center" wrapText="1"/>
    </xf>
    <xf numFmtId="0" fontId="44" fillId="43" borderId="61" xfId="0" applyFont="1" applyFill="1" applyBorder="1" applyAlignment="1">
      <alignment horizontal="center" vertical="center" wrapText="1"/>
    </xf>
    <xf numFmtId="0" fontId="44" fillId="18" borderId="122" xfId="0" applyFont="1" applyFill="1" applyBorder="1" applyAlignment="1">
      <alignment horizontal="center" vertical="center" wrapText="1"/>
    </xf>
    <xf numFmtId="0" fontId="44" fillId="18" borderId="72" xfId="0" applyFont="1" applyFill="1" applyBorder="1" applyAlignment="1">
      <alignment horizontal="center" vertical="center" wrapText="1"/>
    </xf>
    <xf numFmtId="0" fontId="44" fillId="18" borderId="47" xfId="0" applyFont="1" applyFill="1" applyBorder="1" applyAlignment="1">
      <alignment horizontal="center" vertical="center" wrapText="1"/>
    </xf>
    <xf numFmtId="0" fontId="16" fillId="19" borderId="71" xfId="0" applyFont="1" applyFill="1" applyBorder="1" applyAlignment="1">
      <alignment horizontal="center" vertical="center" wrapText="1"/>
    </xf>
    <xf numFmtId="0" fontId="16" fillId="19" borderId="46" xfId="0" applyFont="1" applyFill="1" applyBorder="1" applyAlignment="1">
      <alignment horizontal="center" vertical="center" wrapText="1"/>
    </xf>
    <xf numFmtId="0" fontId="16" fillId="19" borderId="72" xfId="0" applyFont="1" applyFill="1" applyBorder="1" applyAlignment="1">
      <alignment horizontal="center" vertical="center" wrapText="1"/>
    </xf>
    <xf numFmtId="0" fontId="16" fillId="19" borderId="47" xfId="0" applyFont="1" applyFill="1" applyBorder="1" applyAlignment="1">
      <alignment horizontal="center" vertical="center" wrapText="1"/>
    </xf>
    <xf numFmtId="0" fontId="16" fillId="19" borderId="77" xfId="0" applyFont="1" applyFill="1" applyBorder="1" applyAlignment="1">
      <alignment horizontal="center" vertical="center" wrapText="1"/>
    </xf>
    <xf numFmtId="0" fontId="16" fillId="19" borderId="81" xfId="0" applyFont="1" applyFill="1" applyBorder="1" applyAlignment="1">
      <alignment horizontal="center" vertical="center" wrapText="1"/>
    </xf>
    <xf numFmtId="0" fontId="44" fillId="18" borderId="124" xfId="0" applyFont="1" applyFill="1" applyBorder="1" applyAlignment="1">
      <alignment horizontal="center" vertical="center"/>
    </xf>
    <xf numFmtId="0" fontId="44" fillId="18" borderId="81" xfId="0" applyFont="1" applyFill="1" applyBorder="1" applyAlignment="1">
      <alignment horizontal="center" vertical="center"/>
    </xf>
    <xf numFmtId="0" fontId="44" fillId="18" borderId="77" xfId="0" applyFont="1" applyFill="1" applyBorder="1" applyAlignment="1">
      <alignment horizontal="center" vertical="center"/>
    </xf>
    <xf numFmtId="0" fontId="16" fillId="19" borderId="96" xfId="0" applyFont="1" applyFill="1" applyBorder="1" applyAlignment="1">
      <alignment horizontal="center" vertical="center" wrapText="1"/>
    </xf>
    <xf numFmtId="0" fontId="16" fillId="19" borderId="100" xfId="0" applyFont="1" applyFill="1" applyBorder="1" applyAlignment="1">
      <alignment horizontal="center" vertical="center" wrapText="1"/>
    </xf>
    <xf numFmtId="0" fontId="16" fillId="19" borderId="82" xfId="0" applyFont="1" applyFill="1" applyBorder="1" applyAlignment="1">
      <alignment horizontal="center" vertical="center" wrapText="1"/>
    </xf>
    <xf numFmtId="0" fontId="16" fillId="19" borderId="87" xfId="0" applyFont="1" applyFill="1" applyBorder="1" applyAlignment="1">
      <alignment horizontal="center" vertical="center" wrapText="1"/>
    </xf>
    <xf numFmtId="0" fontId="16" fillId="19" borderId="89" xfId="0" applyFont="1" applyFill="1" applyBorder="1" applyAlignment="1">
      <alignment horizontal="center" vertical="center" wrapText="1"/>
    </xf>
    <xf numFmtId="0" fontId="16" fillId="19" borderId="103" xfId="0" applyFont="1" applyFill="1" applyBorder="1" applyAlignment="1">
      <alignment horizontal="center" vertical="center" wrapText="1"/>
    </xf>
    <xf numFmtId="0" fontId="49" fillId="22" borderId="49" xfId="0" applyFont="1" applyFill="1" applyBorder="1" applyAlignment="1">
      <alignment horizontal="center" vertical="center" wrapText="1"/>
    </xf>
    <xf numFmtId="0" fontId="46" fillId="19" borderId="49" xfId="0" applyFont="1" applyFill="1" applyBorder="1" applyAlignment="1">
      <alignment horizontal="center" vertical="center" wrapText="1"/>
    </xf>
    <xf numFmtId="0" fontId="35" fillId="19" borderId="36" xfId="0" applyFont="1" applyFill="1" applyBorder="1" applyAlignment="1">
      <alignment horizontal="center" vertical="center" wrapText="1"/>
    </xf>
    <xf numFmtId="0" fontId="35" fillId="19" borderId="37" xfId="0" applyFont="1" applyFill="1" applyBorder="1" applyAlignment="1">
      <alignment horizontal="center" vertical="center" wrapText="1"/>
    </xf>
    <xf numFmtId="0" fontId="35" fillId="19" borderId="38" xfId="0" applyFont="1" applyFill="1" applyBorder="1" applyAlignment="1">
      <alignment horizontal="center" vertical="center" wrapText="1"/>
    </xf>
    <xf numFmtId="0" fontId="35" fillId="19" borderId="39" xfId="0" applyFont="1" applyFill="1" applyBorder="1" applyAlignment="1">
      <alignment horizontal="center" vertical="center" wrapText="1"/>
    </xf>
    <xf numFmtId="0" fontId="16" fillId="19" borderId="36" xfId="0" applyFont="1" applyFill="1" applyBorder="1" applyAlignment="1">
      <alignment horizontal="center" vertical="center" wrapText="1"/>
    </xf>
    <xf numFmtId="0" fontId="16" fillId="19" borderId="37" xfId="0" applyFont="1" applyFill="1" applyBorder="1" applyAlignment="1">
      <alignment horizontal="center" vertical="center" wrapText="1"/>
    </xf>
    <xf numFmtId="0" fontId="16" fillId="19" borderId="105" xfId="0" applyFont="1" applyFill="1" applyBorder="1" applyAlignment="1">
      <alignment horizontal="center" vertical="center" wrapText="1"/>
    </xf>
    <xf numFmtId="0" fontId="16" fillId="19" borderId="121" xfId="0" applyFont="1" applyFill="1" applyBorder="1" applyAlignment="1">
      <alignment horizontal="center" vertical="center" wrapText="1"/>
    </xf>
    <xf numFmtId="0" fontId="16" fillId="19" borderId="0" xfId="0" applyFont="1" applyFill="1" applyBorder="1" applyAlignment="1">
      <alignment horizontal="center" vertical="center" wrapText="1"/>
    </xf>
    <xf numFmtId="0" fontId="16" fillId="19" borderId="125" xfId="0" applyFont="1" applyFill="1" applyBorder="1" applyAlignment="1">
      <alignment horizontal="center" vertical="center" wrapText="1"/>
    </xf>
    <xf numFmtId="0" fontId="48" fillId="19" borderId="36" xfId="0" applyFont="1" applyFill="1" applyBorder="1" applyAlignment="1">
      <alignment horizontal="center" vertical="center" wrapText="1"/>
    </xf>
    <xf numFmtId="0" fontId="48" fillId="19" borderId="37" xfId="0" applyFont="1" applyFill="1" applyBorder="1" applyAlignment="1">
      <alignment horizontal="center" vertical="center" wrapText="1"/>
    </xf>
    <xf numFmtId="0" fontId="48" fillId="19" borderId="105" xfId="0" applyFont="1" applyFill="1" applyBorder="1" applyAlignment="1">
      <alignment horizontal="center" vertical="center" wrapText="1"/>
    </xf>
    <xf numFmtId="0" fontId="48" fillId="19" borderId="121" xfId="0" applyFont="1" applyFill="1" applyBorder="1" applyAlignment="1">
      <alignment horizontal="center" vertical="center" wrapText="1"/>
    </xf>
    <xf numFmtId="0" fontId="48" fillId="19" borderId="0" xfId="0" applyFont="1" applyFill="1" applyBorder="1" applyAlignment="1">
      <alignment horizontal="center" vertical="center" wrapText="1"/>
    </xf>
    <xf numFmtId="0" fontId="48" fillId="19" borderId="125" xfId="0" applyFont="1" applyFill="1" applyBorder="1" applyAlignment="1">
      <alignment horizontal="center" vertical="center" wrapText="1"/>
    </xf>
    <xf numFmtId="0" fontId="48" fillId="19" borderId="38" xfId="0" applyFont="1" applyFill="1" applyBorder="1" applyAlignment="1">
      <alignment horizontal="center" vertical="center" wrapText="1"/>
    </xf>
    <xf numFmtId="0" fontId="48" fillId="19" borderId="39" xfId="0" applyFont="1" applyFill="1" applyBorder="1" applyAlignment="1">
      <alignment horizontal="center" vertical="center" wrapText="1"/>
    </xf>
    <xf numFmtId="0" fontId="48" fillId="19" borderId="61" xfId="0" applyFont="1" applyFill="1" applyBorder="1" applyAlignment="1">
      <alignment horizontal="center" vertical="center" wrapText="1"/>
    </xf>
    <xf numFmtId="0" fontId="46" fillId="0" borderId="122" xfId="0" applyFont="1" applyBorder="1" applyAlignment="1" applyProtection="1">
      <alignment horizontal="center" vertical="center" wrapText="1"/>
      <protection locked="0"/>
    </xf>
    <xf numFmtId="0" fontId="46" fillId="0" borderId="47" xfId="0" applyFont="1" applyBorder="1" applyAlignment="1" applyProtection="1">
      <alignment horizontal="center" vertical="center" wrapText="1"/>
      <protection locked="0"/>
    </xf>
    <xf numFmtId="0" fontId="46" fillId="0" borderId="72" xfId="0" applyFont="1" applyBorder="1" applyAlignment="1" applyProtection="1">
      <alignment horizontal="center" vertical="center" wrapText="1"/>
      <protection locked="0"/>
    </xf>
    <xf numFmtId="0" fontId="46" fillId="20" borderId="122" xfId="0" applyFont="1" applyFill="1" applyBorder="1" applyAlignment="1" applyProtection="1">
      <alignment horizontal="center" vertical="center" wrapText="1"/>
    </xf>
    <xf numFmtId="0" fontId="46" fillId="20" borderId="47" xfId="0" applyFont="1" applyFill="1" applyBorder="1" applyAlignment="1" applyProtection="1">
      <alignment horizontal="center" vertical="center" wrapText="1"/>
    </xf>
    <xf numFmtId="0" fontId="46" fillId="20" borderId="72" xfId="0" applyFont="1" applyFill="1" applyBorder="1" applyAlignment="1" applyProtection="1">
      <alignment horizontal="center" vertical="center" wrapText="1"/>
    </xf>
    <xf numFmtId="0" fontId="46" fillId="20" borderId="122" xfId="0" applyFont="1" applyFill="1" applyBorder="1" applyAlignment="1" applyProtection="1">
      <alignment horizontal="center" vertical="center" wrapText="1"/>
      <protection hidden="1"/>
    </xf>
    <xf numFmtId="0" fontId="46" fillId="20" borderId="47" xfId="0" applyFont="1" applyFill="1" applyBorder="1" applyAlignment="1" applyProtection="1">
      <alignment horizontal="center" vertical="center" wrapText="1"/>
      <protection hidden="1"/>
    </xf>
    <xf numFmtId="0" fontId="46" fillId="20" borderId="72" xfId="0" applyFont="1" applyFill="1" applyBorder="1" applyAlignment="1" applyProtection="1">
      <alignment horizontal="center" vertical="center" wrapText="1"/>
      <protection hidden="1"/>
    </xf>
    <xf numFmtId="0" fontId="44" fillId="20" borderId="122" xfId="0" applyFont="1" applyFill="1" applyBorder="1" applyAlignment="1" applyProtection="1">
      <alignment horizontal="center" vertical="center" wrapText="1"/>
      <protection hidden="1"/>
    </xf>
    <xf numFmtId="0" fontId="44" fillId="20" borderId="72" xfId="0" applyFont="1" applyFill="1" applyBorder="1" applyAlignment="1" applyProtection="1">
      <alignment horizontal="center" vertical="center" wrapText="1"/>
      <protection hidden="1"/>
    </xf>
    <xf numFmtId="0" fontId="44" fillId="20" borderId="47" xfId="0" applyFont="1" applyFill="1" applyBorder="1" applyAlignment="1" applyProtection="1">
      <alignment horizontal="center" vertical="center" wrapText="1"/>
      <protection hidden="1"/>
    </xf>
    <xf numFmtId="167" fontId="44" fillId="20" borderId="122" xfId="1" applyNumberFormat="1" applyFont="1" applyFill="1" applyBorder="1" applyAlignment="1" applyProtection="1">
      <alignment horizontal="center" vertical="center" wrapText="1"/>
      <protection hidden="1"/>
    </xf>
    <xf numFmtId="167" fontId="44" fillId="20" borderId="47" xfId="1" applyNumberFormat="1" applyFont="1" applyFill="1" applyBorder="1" applyAlignment="1" applyProtection="1">
      <alignment horizontal="center" vertical="center" wrapText="1"/>
      <protection hidden="1"/>
    </xf>
    <xf numFmtId="167" fontId="44" fillId="20" borderId="72" xfId="1" applyNumberFormat="1" applyFont="1" applyFill="1" applyBorder="1" applyAlignment="1" applyProtection="1">
      <alignment horizontal="center" vertical="center" wrapText="1"/>
      <protection hidden="1"/>
    </xf>
    <xf numFmtId="0" fontId="46" fillId="2" borderId="122" xfId="0" applyFont="1" applyFill="1" applyBorder="1" applyAlignment="1" applyProtection="1">
      <alignment horizontal="center" vertical="center" wrapText="1"/>
      <protection locked="0"/>
    </xf>
    <xf numFmtId="0" fontId="46" fillId="2" borderId="47" xfId="0" applyFont="1" applyFill="1" applyBorder="1" applyAlignment="1" applyProtection="1">
      <alignment horizontal="center" vertical="center" wrapText="1"/>
      <protection locked="0"/>
    </xf>
    <xf numFmtId="14" fontId="46" fillId="0" borderId="122" xfId="0" applyNumberFormat="1" applyFont="1" applyBorder="1" applyAlignment="1" applyProtection="1">
      <alignment horizontal="right" vertical="center" wrapText="1"/>
      <protection locked="0"/>
    </xf>
    <xf numFmtId="14" fontId="46" fillId="0" borderId="47" xfId="0" applyNumberFormat="1" applyFont="1" applyBorder="1" applyAlignment="1" applyProtection="1">
      <alignment horizontal="right" vertical="center" wrapText="1"/>
      <protection locked="0"/>
    </xf>
    <xf numFmtId="0" fontId="35" fillId="19" borderId="36" xfId="0" applyFont="1" applyFill="1" applyBorder="1" applyAlignment="1">
      <alignment horizontal="center" vertical="center"/>
    </xf>
    <xf numFmtId="0" fontId="35" fillId="19" borderId="37" xfId="0" applyFont="1" applyFill="1" applyBorder="1" applyAlignment="1">
      <alignment horizontal="center" vertical="center"/>
    </xf>
    <xf numFmtId="0" fontId="35" fillId="19" borderId="105" xfId="0" applyFont="1" applyFill="1" applyBorder="1" applyAlignment="1">
      <alignment horizontal="center" vertical="center"/>
    </xf>
    <xf numFmtId="0" fontId="35" fillId="19" borderId="38" xfId="0" applyFont="1" applyFill="1" applyBorder="1" applyAlignment="1">
      <alignment horizontal="center" vertical="center"/>
    </xf>
    <xf numFmtId="0" fontId="35" fillId="19" borderId="39" xfId="0" applyFont="1" applyFill="1" applyBorder="1" applyAlignment="1">
      <alignment horizontal="center" vertical="center"/>
    </xf>
    <xf numFmtId="0" fontId="35" fillId="19" borderId="61" xfId="0" applyFont="1" applyFill="1" applyBorder="1" applyAlignment="1">
      <alignment horizontal="center" vertical="center"/>
    </xf>
    <xf numFmtId="0" fontId="16" fillId="19" borderId="40" xfId="0" applyFont="1" applyFill="1" applyBorder="1" applyAlignment="1">
      <alignment horizontal="center" vertical="center"/>
    </xf>
    <xf numFmtId="0" fontId="16" fillId="19" borderId="41" xfId="0" applyFont="1" applyFill="1" applyBorder="1" applyAlignment="1">
      <alignment horizontal="center" vertical="center"/>
    </xf>
    <xf numFmtId="0" fontId="16" fillId="19" borderId="42" xfId="0" applyFont="1" applyFill="1" applyBorder="1" applyAlignment="1">
      <alignment horizontal="center" vertical="center"/>
    </xf>
    <xf numFmtId="0" fontId="49" fillId="22" borderId="40" xfId="0" applyFont="1" applyFill="1" applyBorder="1" applyAlignment="1">
      <alignment horizontal="center" vertical="center"/>
    </xf>
    <xf numFmtId="0" fontId="49" fillId="22" borderId="52" xfId="0" applyFont="1" applyFill="1" applyBorder="1" applyAlignment="1">
      <alignment horizontal="center" vertical="center"/>
    </xf>
    <xf numFmtId="0" fontId="49" fillId="22" borderId="41" xfId="0" applyFont="1" applyFill="1" applyBorder="1" applyAlignment="1">
      <alignment horizontal="center" vertical="center"/>
    </xf>
    <xf numFmtId="0" fontId="49" fillId="22" borderId="55" xfId="0" applyFont="1" applyFill="1" applyBorder="1" applyAlignment="1">
      <alignment horizontal="center" vertical="center"/>
    </xf>
    <xf numFmtId="0" fontId="49" fillId="22" borderId="42" xfId="0" applyFont="1" applyFill="1" applyBorder="1" applyAlignment="1">
      <alignment horizontal="center" vertical="center"/>
    </xf>
    <xf numFmtId="0" fontId="49" fillId="22" borderId="58" xfId="0" applyFont="1" applyFill="1" applyBorder="1" applyAlignment="1">
      <alignment horizontal="center" vertical="center"/>
    </xf>
    <xf numFmtId="0" fontId="16" fillId="19" borderId="40" xfId="0" applyFont="1" applyFill="1" applyBorder="1" applyAlignment="1">
      <alignment horizontal="center" vertical="center" wrapText="1"/>
    </xf>
    <xf numFmtId="0" fontId="16" fillId="19" borderId="41" xfId="0" applyFont="1" applyFill="1" applyBorder="1" applyAlignment="1">
      <alignment horizontal="center" vertical="center" wrapText="1"/>
    </xf>
    <xf numFmtId="0" fontId="16" fillId="19" borderId="42" xfId="0" applyFont="1" applyFill="1" applyBorder="1" applyAlignment="1">
      <alignment horizontal="center" vertical="center" wrapText="1"/>
    </xf>
    <xf numFmtId="0" fontId="40" fillId="0" borderId="0" xfId="0" applyFont="1" applyAlignment="1">
      <alignment horizontal="center" vertical="center"/>
    </xf>
    <xf numFmtId="0" fontId="36" fillId="17" borderId="19" xfId="0" applyFont="1" applyFill="1" applyBorder="1" applyAlignment="1">
      <alignment horizontal="center" vertical="center" wrapText="1"/>
    </xf>
    <xf numFmtId="0" fontId="36" fillId="17" borderId="20" xfId="0" applyFont="1" applyFill="1" applyBorder="1" applyAlignment="1">
      <alignment horizontal="center" vertical="center"/>
    </xf>
    <xf numFmtId="0" fontId="36" fillId="17" borderId="24" xfId="0" applyFont="1" applyFill="1" applyBorder="1" applyAlignment="1">
      <alignment horizontal="center" vertical="center"/>
    </xf>
    <xf numFmtId="0" fontId="36" fillId="17" borderId="21" xfId="0" applyFont="1" applyFill="1" applyBorder="1" applyAlignment="1">
      <alignment horizontal="center" vertical="center"/>
    </xf>
    <xf numFmtId="0" fontId="36" fillId="17" borderId="0" xfId="0" applyFont="1" applyFill="1" applyAlignment="1">
      <alignment horizontal="center" vertical="center"/>
    </xf>
    <xf numFmtId="0" fontId="36" fillId="17" borderId="18" xfId="0" applyFont="1" applyFill="1" applyBorder="1" applyAlignment="1">
      <alignment horizontal="center" vertical="center"/>
    </xf>
    <xf numFmtId="0" fontId="36" fillId="17" borderId="22" xfId="0" applyFont="1" applyFill="1" applyBorder="1" applyAlignment="1">
      <alignment horizontal="center" vertical="center"/>
    </xf>
    <xf numFmtId="0" fontId="36" fillId="17" borderId="23" xfId="0" applyFont="1" applyFill="1" applyBorder="1" applyAlignment="1">
      <alignment horizontal="center" vertical="center"/>
    </xf>
    <xf numFmtId="0" fontId="36" fillId="17" borderId="25" xfId="0" applyFont="1" applyFill="1" applyBorder="1" applyAlignment="1">
      <alignment horizontal="center" vertical="center"/>
    </xf>
    <xf numFmtId="0" fontId="36" fillId="0" borderId="19" xfId="0" applyFont="1" applyBorder="1" applyAlignment="1">
      <alignment horizontal="center" vertical="center" wrapText="1"/>
    </xf>
    <xf numFmtId="0" fontId="36" fillId="0" borderId="20" xfId="0" applyFont="1" applyBorder="1" applyAlignment="1">
      <alignment horizontal="center" vertical="center"/>
    </xf>
    <xf numFmtId="0" fontId="36" fillId="0" borderId="24" xfId="0" applyFont="1" applyBorder="1" applyAlignment="1">
      <alignment horizontal="center" vertical="center"/>
    </xf>
    <xf numFmtId="0" fontId="36" fillId="0" borderId="21" xfId="0" applyFont="1" applyBorder="1" applyAlignment="1">
      <alignment horizontal="center" vertical="center"/>
    </xf>
    <xf numFmtId="0" fontId="36" fillId="0" borderId="0" xfId="0" applyFont="1" applyAlignment="1">
      <alignment horizontal="center" vertical="center"/>
    </xf>
    <xf numFmtId="0" fontId="36" fillId="0" borderId="18" xfId="0" applyFont="1" applyBorder="1" applyAlignment="1">
      <alignment horizontal="center" vertical="center"/>
    </xf>
    <xf numFmtId="0" fontId="36" fillId="0" borderId="22" xfId="0" applyFont="1" applyBorder="1" applyAlignment="1">
      <alignment horizontal="center" vertical="center"/>
    </xf>
    <xf numFmtId="0" fontId="36" fillId="0" borderId="23" xfId="0" applyFont="1" applyBorder="1" applyAlignment="1">
      <alignment horizontal="center" vertical="center"/>
    </xf>
    <xf numFmtId="0" fontId="36" fillId="0" borderId="25" xfId="0" applyFont="1" applyBorder="1" applyAlignment="1">
      <alignment horizontal="center" vertical="center"/>
    </xf>
    <xf numFmtId="0" fontId="36" fillId="0" borderId="20" xfId="0" applyFont="1" applyBorder="1" applyAlignment="1">
      <alignment horizontal="center" vertical="center" wrapText="1"/>
    </xf>
    <xf numFmtId="0" fontId="37" fillId="16" borderId="21" xfId="0" applyFont="1" applyFill="1" applyBorder="1" applyAlignment="1" applyProtection="1">
      <alignment horizontal="center" wrapText="1" readingOrder="1"/>
      <protection hidden="1"/>
    </xf>
    <xf numFmtId="0" fontId="37" fillId="16" borderId="0" xfId="0" applyFont="1" applyFill="1" applyBorder="1" applyAlignment="1" applyProtection="1">
      <alignment horizontal="center" wrapText="1" readingOrder="1"/>
      <protection hidden="1"/>
    </xf>
    <xf numFmtId="0" fontId="37" fillId="16" borderId="18" xfId="0" applyFont="1" applyFill="1" applyBorder="1" applyAlignment="1" applyProtection="1">
      <alignment horizontal="center" wrapText="1" readingOrder="1"/>
      <protection hidden="1"/>
    </xf>
    <xf numFmtId="0" fontId="37" fillId="5" borderId="21" xfId="0" applyFont="1" applyFill="1" applyBorder="1" applyAlignment="1" applyProtection="1">
      <alignment horizontal="center" wrapText="1" readingOrder="1"/>
      <protection hidden="1"/>
    </xf>
    <xf numFmtId="0" fontId="37" fillId="5" borderId="0" xfId="0" applyFont="1" applyFill="1" applyBorder="1" applyAlignment="1" applyProtection="1">
      <alignment horizontal="center" wrapText="1" readingOrder="1"/>
      <protection hidden="1"/>
    </xf>
    <xf numFmtId="0" fontId="37" fillId="5" borderId="18" xfId="0" applyFont="1" applyFill="1" applyBorder="1" applyAlignment="1" applyProtection="1">
      <alignment horizontal="center" wrapText="1" readingOrder="1"/>
      <protection hidden="1"/>
    </xf>
    <xf numFmtId="0" fontId="37" fillId="12" borderId="21" xfId="0" applyFont="1" applyFill="1" applyBorder="1" applyAlignment="1" applyProtection="1">
      <alignment horizontal="center" wrapText="1" readingOrder="1"/>
      <protection hidden="1"/>
    </xf>
    <xf numFmtId="0" fontId="37" fillId="12" borderId="0" xfId="0" applyFont="1" applyFill="1" applyBorder="1" applyAlignment="1" applyProtection="1">
      <alignment horizontal="center" wrapText="1" readingOrder="1"/>
      <protection hidden="1"/>
    </xf>
    <xf numFmtId="0" fontId="37" fillId="12" borderId="18" xfId="0" applyFont="1" applyFill="1" applyBorder="1" applyAlignment="1" applyProtection="1">
      <alignment horizontal="center" wrapText="1" readingOrder="1"/>
      <protection hidden="1"/>
    </xf>
    <xf numFmtId="0" fontId="37" fillId="16" borderId="22" xfId="0" applyFont="1" applyFill="1" applyBorder="1" applyAlignment="1" applyProtection="1">
      <alignment horizontal="center" wrapText="1" readingOrder="1"/>
      <protection hidden="1"/>
    </xf>
    <xf numFmtId="0" fontId="37" fillId="16" borderId="23" xfId="0" applyFont="1" applyFill="1" applyBorder="1" applyAlignment="1" applyProtection="1">
      <alignment horizontal="center" wrapText="1" readingOrder="1"/>
      <protection hidden="1"/>
    </xf>
    <xf numFmtId="0" fontId="37" fillId="16" borderId="25" xfId="0" applyFont="1" applyFill="1" applyBorder="1" applyAlignment="1" applyProtection="1">
      <alignment horizontal="center" wrapText="1" readingOrder="1"/>
      <protection hidden="1"/>
    </xf>
    <xf numFmtId="0" fontId="37" fillId="5" borderId="22" xfId="0" applyFont="1" applyFill="1" applyBorder="1" applyAlignment="1" applyProtection="1">
      <alignment horizontal="center" wrapText="1" readingOrder="1"/>
      <protection hidden="1"/>
    </xf>
    <xf numFmtId="0" fontId="37" fillId="5" borderId="23" xfId="0" applyFont="1" applyFill="1" applyBorder="1" applyAlignment="1" applyProtection="1">
      <alignment horizontal="center" wrapText="1" readingOrder="1"/>
      <protection hidden="1"/>
    </xf>
    <xf numFmtId="0" fontId="37" fillId="5" borderId="25" xfId="0" applyFont="1" applyFill="1" applyBorder="1" applyAlignment="1" applyProtection="1">
      <alignment horizontal="center" wrapText="1" readingOrder="1"/>
      <protection hidden="1"/>
    </xf>
    <xf numFmtId="0" fontId="37" fillId="12" borderId="22" xfId="0" applyFont="1" applyFill="1" applyBorder="1" applyAlignment="1" applyProtection="1">
      <alignment horizontal="center" wrapText="1" readingOrder="1"/>
      <protection hidden="1"/>
    </xf>
    <xf numFmtId="0" fontId="37" fillId="12" borderId="23" xfId="0" applyFont="1" applyFill="1" applyBorder="1" applyAlignment="1" applyProtection="1">
      <alignment horizontal="center" wrapText="1" readingOrder="1"/>
      <protection hidden="1"/>
    </xf>
    <xf numFmtId="0" fontId="37" fillId="12" borderId="25" xfId="0" applyFont="1" applyFill="1" applyBorder="1" applyAlignment="1" applyProtection="1">
      <alignment horizontal="center" wrapText="1" readingOrder="1"/>
      <protection hidden="1"/>
    </xf>
    <xf numFmtId="0" fontId="37" fillId="16" borderId="19" xfId="0" applyFont="1" applyFill="1" applyBorder="1" applyAlignment="1" applyProtection="1">
      <alignment horizontal="center" wrapText="1" readingOrder="1"/>
      <protection hidden="1"/>
    </xf>
    <xf numFmtId="0" fontId="37" fillId="16" borderId="20" xfId="0" applyFont="1" applyFill="1" applyBorder="1" applyAlignment="1" applyProtection="1">
      <alignment horizontal="center" wrapText="1" readingOrder="1"/>
      <protection hidden="1"/>
    </xf>
    <xf numFmtId="0" fontId="37" fillId="16" borderId="24" xfId="0" applyFont="1" applyFill="1" applyBorder="1" applyAlignment="1" applyProtection="1">
      <alignment horizontal="center" wrapText="1" readingOrder="1"/>
      <protection hidden="1"/>
    </xf>
    <xf numFmtId="0" fontId="37" fillId="5" borderId="19" xfId="0" applyFont="1" applyFill="1" applyBorder="1" applyAlignment="1" applyProtection="1">
      <alignment horizontal="center" wrapText="1" readingOrder="1"/>
      <protection hidden="1"/>
    </xf>
    <xf numFmtId="0" fontId="37" fillId="5" borderId="20" xfId="0" applyFont="1" applyFill="1" applyBorder="1" applyAlignment="1" applyProtection="1">
      <alignment horizontal="center" wrapText="1" readingOrder="1"/>
      <protection hidden="1"/>
    </xf>
    <xf numFmtId="0" fontId="37" fillId="5" borderId="24" xfId="0" applyFont="1" applyFill="1" applyBorder="1" applyAlignment="1" applyProtection="1">
      <alignment horizontal="center" wrapText="1" readingOrder="1"/>
      <protection hidden="1"/>
    </xf>
    <xf numFmtId="0" fontId="37" fillId="12" borderId="19" xfId="0" applyFont="1" applyFill="1" applyBorder="1" applyAlignment="1" applyProtection="1">
      <alignment horizontal="center" wrapText="1" readingOrder="1"/>
      <protection hidden="1"/>
    </xf>
    <xf numFmtId="0" fontId="37" fillId="12" borderId="20" xfId="0" applyFont="1" applyFill="1" applyBorder="1" applyAlignment="1" applyProtection="1">
      <alignment horizontal="center" wrapText="1" readingOrder="1"/>
      <protection hidden="1"/>
    </xf>
    <xf numFmtId="0" fontId="37" fillId="12" borderId="24" xfId="0" applyFont="1" applyFill="1" applyBorder="1" applyAlignment="1" applyProtection="1">
      <alignment horizontal="center" wrapText="1" readingOrder="1"/>
      <protection hidden="1"/>
    </xf>
    <xf numFmtId="0" fontId="37" fillId="15" borderId="0" xfId="0" applyFont="1" applyFill="1" applyBorder="1" applyAlignment="1" applyProtection="1">
      <alignment horizontal="center" wrapText="1" readingOrder="1"/>
      <protection hidden="1"/>
    </xf>
    <xf numFmtId="0" fontId="37" fillId="15" borderId="18" xfId="0" applyFont="1" applyFill="1" applyBorder="1" applyAlignment="1" applyProtection="1">
      <alignment horizontal="center" wrapText="1" readingOrder="1"/>
      <protection hidden="1"/>
    </xf>
    <xf numFmtId="0" fontId="37" fillId="11" borderId="21" xfId="0" applyFont="1" applyFill="1" applyBorder="1" applyAlignment="1" applyProtection="1">
      <alignment horizontal="center" vertical="center" wrapText="1" readingOrder="1"/>
      <protection hidden="1"/>
    </xf>
    <xf numFmtId="0" fontId="37" fillId="11" borderId="0" xfId="0" applyFont="1" applyFill="1" applyBorder="1" applyAlignment="1" applyProtection="1">
      <alignment horizontal="center" vertical="center" wrapText="1" readingOrder="1"/>
      <protection hidden="1"/>
    </xf>
    <xf numFmtId="0" fontId="37" fillId="11" borderId="0" xfId="0" applyFont="1" applyFill="1" applyAlignment="1" applyProtection="1">
      <alignment horizontal="center" vertical="center" wrapText="1" readingOrder="1"/>
      <protection hidden="1"/>
    </xf>
    <xf numFmtId="0" fontId="37" fillId="11" borderId="18" xfId="0" applyFont="1" applyFill="1" applyBorder="1" applyAlignment="1" applyProtection="1">
      <alignment horizontal="center" vertical="center" wrapText="1" readingOrder="1"/>
      <protection hidden="1"/>
    </xf>
    <xf numFmtId="0" fontId="37" fillId="15" borderId="23" xfId="0" applyFont="1" applyFill="1" applyBorder="1" applyAlignment="1" applyProtection="1">
      <alignment horizontal="center" wrapText="1" readingOrder="1"/>
      <protection hidden="1"/>
    </xf>
    <xf numFmtId="0" fontId="37" fillId="15" borderId="25" xfId="0" applyFont="1" applyFill="1" applyBorder="1" applyAlignment="1" applyProtection="1">
      <alignment horizontal="center" wrapText="1" readingOrder="1"/>
      <protection hidden="1"/>
    </xf>
    <xf numFmtId="0" fontId="37" fillId="11" borderId="22" xfId="0" applyFont="1" applyFill="1" applyBorder="1" applyAlignment="1" applyProtection="1">
      <alignment horizontal="center" vertical="center" wrapText="1" readingOrder="1"/>
      <protection hidden="1"/>
    </xf>
    <xf numFmtId="0" fontId="37" fillId="11" borderId="23" xfId="0" applyFont="1" applyFill="1" applyBorder="1" applyAlignment="1" applyProtection="1">
      <alignment horizontal="center" vertical="center" wrapText="1" readingOrder="1"/>
      <protection hidden="1"/>
    </xf>
    <xf numFmtId="0" fontId="37" fillId="11" borderId="25" xfId="0" applyFont="1" applyFill="1" applyBorder="1" applyAlignment="1" applyProtection="1">
      <alignment horizontal="center" vertical="center" wrapText="1" readingOrder="1"/>
      <protection hidden="1"/>
    </xf>
    <xf numFmtId="0" fontId="37" fillId="15" borderId="20" xfId="0" applyFont="1" applyFill="1" applyBorder="1" applyAlignment="1" applyProtection="1">
      <alignment horizontal="center" wrapText="1" readingOrder="1"/>
      <protection hidden="1"/>
    </xf>
    <xf numFmtId="0" fontId="37" fillId="15" borderId="24" xfId="0" applyFont="1" applyFill="1" applyBorder="1" applyAlignment="1" applyProtection="1">
      <alignment horizontal="center" wrapText="1" readingOrder="1"/>
      <protection hidden="1"/>
    </xf>
    <xf numFmtId="0" fontId="37" fillId="11" borderId="19" xfId="0" applyFont="1" applyFill="1" applyBorder="1" applyAlignment="1" applyProtection="1">
      <alignment horizontal="center" vertical="center" wrapText="1" readingOrder="1"/>
      <protection hidden="1"/>
    </xf>
    <xf numFmtId="0" fontId="37" fillId="11" borderId="20" xfId="0" applyFont="1" applyFill="1" applyBorder="1" applyAlignment="1" applyProtection="1">
      <alignment horizontal="center" vertical="center" wrapText="1" readingOrder="1"/>
      <protection hidden="1"/>
    </xf>
    <xf numFmtId="0" fontId="37" fillId="11" borderId="24" xfId="0" applyFont="1" applyFill="1" applyBorder="1" applyAlignment="1" applyProtection="1">
      <alignment horizontal="center" vertical="center" wrapText="1" readingOrder="1"/>
      <protection hidden="1"/>
    </xf>
    <xf numFmtId="0" fontId="38" fillId="5" borderId="26" xfId="0" applyFont="1" applyFill="1" applyBorder="1" applyAlignment="1">
      <alignment horizontal="center" vertical="center" wrapText="1" readingOrder="1"/>
    </xf>
    <xf numFmtId="0" fontId="38" fillId="5" borderId="27" xfId="0" applyFont="1" applyFill="1" applyBorder="1" applyAlignment="1">
      <alignment horizontal="center" vertical="center" wrapText="1" readingOrder="1"/>
    </xf>
    <xf numFmtId="0" fontId="38" fillId="5" borderId="28" xfId="0" applyFont="1" applyFill="1" applyBorder="1" applyAlignment="1">
      <alignment horizontal="center" vertical="center" wrapText="1" readingOrder="1"/>
    </xf>
    <xf numFmtId="0" fontId="38" fillId="5" borderId="29" xfId="0" applyFont="1" applyFill="1" applyBorder="1" applyAlignment="1">
      <alignment horizontal="center" vertical="center" wrapText="1" readingOrder="1"/>
    </xf>
    <xf numFmtId="0" fontId="38" fillId="5" borderId="0" xfId="0" applyFont="1" applyFill="1" applyBorder="1" applyAlignment="1">
      <alignment horizontal="center" vertical="center" wrapText="1" readingOrder="1"/>
    </xf>
    <xf numFmtId="0" fontId="38" fillId="5" borderId="30" xfId="0" applyFont="1" applyFill="1" applyBorder="1" applyAlignment="1">
      <alignment horizontal="center" vertical="center" wrapText="1" readingOrder="1"/>
    </xf>
    <xf numFmtId="0" fontId="38" fillId="5" borderId="31" xfId="0" applyFont="1" applyFill="1" applyBorder="1" applyAlignment="1">
      <alignment horizontal="center" vertical="center" wrapText="1" readingOrder="1"/>
    </xf>
    <xf numFmtId="0" fontId="38" fillId="5" borderId="32" xfId="0" applyFont="1" applyFill="1" applyBorder="1" applyAlignment="1">
      <alignment horizontal="center" vertical="center" wrapText="1" readingOrder="1"/>
    </xf>
    <xf numFmtId="0" fontId="38" fillId="5" borderId="33" xfId="0" applyFont="1" applyFill="1" applyBorder="1" applyAlignment="1">
      <alignment horizontal="center" vertical="center" wrapText="1" readingOrder="1"/>
    </xf>
    <xf numFmtId="0" fontId="36" fillId="0" borderId="0" xfId="0" applyFont="1" applyBorder="1" applyAlignment="1">
      <alignment horizontal="center" vertical="center"/>
    </xf>
    <xf numFmtId="0" fontId="37" fillId="15" borderId="21" xfId="0" applyFont="1" applyFill="1" applyBorder="1" applyAlignment="1" applyProtection="1">
      <alignment horizontal="center" wrapText="1" readingOrder="1"/>
      <protection hidden="1"/>
    </xf>
    <xf numFmtId="0" fontId="37" fillId="13" borderId="21" xfId="0" applyFont="1" applyFill="1" applyBorder="1" applyAlignment="1" applyProtection="1">
      <alignment horizontal="center" wrapText="1" readingOrder="1"/>
      <protection hidden="1"/>
    </xf>
    <xf numFmtId="0" fontId="37" fillId="13" borderId="0" xfId="0" applyFont="1" applyFill="1" applyBorder="1" applyAlignment="1" applyProtection="1">
      <alignment horizontal="center" wrapText="1" readingOrder="1"/>
      <protection hidden="1"/>
    </xf>
    <xf numFmtId="0" fontId="37" fillId="13" borderId="18" xfId="0" applyFont="1" applyFill="1" applyBorder="1" applyAlignment="1" applyProtection="1">
      <alignment horizontal="center" wrapText="1" readingOrder="1"/>
      <protection hidden="1"/>
    </xf>
    <xf numFmtId="0" fontId="37" fillId="15" borderId="22" xfId="0" applyFont="1" applyFill="1" applyBorder="1" applyAlignment="1" applyProtection="1">
      <alignment horizontal="center" wrapText="1" readingOrder="1"/>
      <protection hidden="1"/>
    </xf>
    <xf numFmtId="0" fontId="37" fillId="13" borderId="22" xfId="0" applyFont="1" applyFill="1" applyBorder="1" applyAlignment="1" applyProtection="1">
      <alignment horizontal="center" wrapText="1" readingOrder="1"/>
      <protection hidden="1"/>
    </xf>
    <xf numFmtId="0" fontId="37" fillId="13" borderId="23" xfId="0" applyFont="1" applyFill="1" applyBorder="1" applyAlignment="1" applyProtection="1">
      <alignment horizontal="center" wrapText="1" readingOrder="1"/>
      <protection hidden="1"/>
    </xf>
    <xf numFmtId="0" fontId="37" fillId="13" borderId="25" xfId="0" applyFont="1" applyFill="1" applyBorder="1" applyAlignment="1" applyProtection="1">
      <alignment horizontal="center" wrapText="1" readingOrder="1"/>
      <protection hidden="1"/>
    </xf>
    <xf numFmtId="0" fontId="37" fillId="15" borderId="19" xfId="0" applyFont="1" applyFill="1" applyBorder="1" applyAlignment="1" applyProtection="1">
      <alignment horizontal="center" wrapText="1" readingOrder="1"/>
      <protection hidden="1"/>
    </xf>
    <xf numFmtId="0" fontId="37" fillId="13" borderId="19" xfId="0" applyFont="1" applyFill="1" applyBorder="1" applyAlignment="1" applyProtection="1">
      <alignment horizontal="center" wrapText="1" readingOrder="1"/>
      <protection hidden="1"/>
    </xf>
    <xf numFmtId="0" fontId="37" fillId="13" borderId="20" xfId="0" applyFont="1" applyFill="1" applyBorder="1" applyAlignment="1" applyProtection="1">
      <alignment horizontal="center" wrapText="1" readingOrder="1"/>
      <protection hidden="1"/>
    </xf>
    <xf numFmtId="0" fontId="37" fillId="13" borderId="24" xfId="0" applyFont="1" applyFill="1" applyBorder="1" applyAlignment="1" applyProtection="1">
      <alignment horizontal="center" wrapText="1" readingOrder="1"/>
      <protection hidden="1"/>
    </xf>
    <xf numFmtId="0" fontId="38" fillId="12" borderId="26" xfId="0" applyFont="1" applyFill="1" applyBorder="1" applyAlignment="1">
      <alignment horizontal="center" vertical="center" wrapText="1" readingOrder="1"/>
    </xf>
    <xf numFmtId="0" fontId="38" fillId="12" borderId="27" xfId="0" applyFont="1" applyFill="1" applyBorder="1" applyAlignment="1">
      <alignment horizontal="center" vertical="center" wrapText="1" readingOrder="1"/>
    </xf>
    <xf numFmtId="0" fontId="38" fillId="12" borderId="28" xfId="0" applyFont="1" applyFill="1" applyBorder="1" applyAlignment="1">
      <alignment horizontal="center" vertical="center" wrapText="1" readingOrder="1"/>
    </xf>
    <xf numFmtId="0" fontId="38" fillId="12" borderId="29" xfId="0" applyFont="1" applyFill="1" applyBorder="1" applyAlignment="1">
      <alignment horizontal="center" vertical="center" wrapText="1" readingOrder="1"/>
    </xf>
    <xf numFmtId="0" fontId="38" fillId="12" borderId="0" xfId="0" applyFont="1" applyFill="1" applyBorder="1" applyAlignment="1">
      <alignment horizontal="center" vertical="center" wrapText="1" readingOrder="1"/>
    </xf>
    <xf numFmtId="0" fontId="38" fillId="12" borderId="30" xfId="0" applyFont="1" applyFill="1" applyBorder="1" applyAlignment="1">
      <alignment horizontal="center" vertical="center" wrapText="1" readingOrder="1"/>
    </xf>
    <xf numFmtId="0" fontId="38" fillId="12" borderId="31" xfId="0" applyFont="1" applyFill="1" applyBorder="1" applyAlignment="1">
      <alignment horizontal="center" vertical="center" wrapText="1" readingOrder="1"/>
    </xf>
    <xf numFmtId="0" fontId="38" fillId="12" borderId="32" xfId="0" applyFont="1" applyFill="1" applyBorder="1" applyAlignment="1">
      <alignment horizontal="center" vertical="center" wrapText="1" readingOrder="1"/>
    </xf>
    <xf numFmtId="0" fontId="38" fillId="12" borderId="33" xfId="0" applyFont="1" applyFill="1" applyBorder="1" applyAlignment="1">
      <alignment horizontal="center" vertical="center" wrapText="1" readingOrder="1"/>
    </xf>
    <xf numFmtId="0" fontId="38" fillId="11" borderId="26" xfId="0" applyFont="1" applyFill="1" applyBorder="1" applyAlignment="1">
      <alignment horizontal="center" vertical="center" wrapText="1" readingOrder="1"/>
    </xf>
    <xf numFmtId="0" fontId="38" fillId="11" borderId="27" xfId="0" applyFont="1" applyFill="1" applyBorder="1" applyAlignment="1">
      <alignment horizontal="center" vertical="center" wrapText="1" readingOrder="1"/>
    </xf>
    <xf numFmtId="0" fontId="38" fillId="11" borderId="28" xfId="0" applyFont="1" applyFill="1" applyBorder="1" applyAlignment="1">
      <alignment horizontal="center" vertical="center" wrapText="1" readingOrder="1"/>
    </xf>
    <xf numFmtId="0" fontId="38" fillId="11" borderId="29" xfId="0" applyFont="1" applyFill="1" applyBorder="1" applyAlignment="1">
      <alignment horizontal="center" vertical="center" wrapText="1" readingOrder="1"/>
    </xf>
    <xf numFmtId="0" fontId="38" fillId="11" borderId="0" xfId="0" applyFont="1" applyFill="1" applyBorder="1" applyAlignment="1">
      <alignment horizontal="center" vertical="center" wrapText="1" readingOrder="1"/>
    </xf>
    <xf numFmtId="0" fontId="38" fillId="11" borderId="30" xfId="0" applyFont="1" applyFill="1" applyBorder="1" applyAlignment="1">
      <alignment horizontal="center" vertical="center" wrapText="1" readingOrder="1"/>
    </xf>
    <xf numFmtId="0" fontId="38" fillId="11" borderId="31" xfId="0" applyFont="1" applyFill="1" applyBorder="1" applyAlignment="1">
      <alignment horizontal="center" vertical="center" wrapText="1" readingOrder="1"/>
    </xf>
    <xf numFmtId="0" fontId="38" fillId="11" borderId="32" xfId="0" applyFont="1" applyFill="1" applyBorder="1" applyAlignment="1">
      <alignment horizontal="center" vertical="center" wrapText="1" readingOrder="1"/>
    </xf>
    <xf numFmtId="0" fontId="38" fillId="11" borderId="33" xfId="0" applyFont="1" applyFill="1" applyBorder="1" applyAlignment="1">
      <alignment horizontal="center" vertical="center" wrapText="1" readingOrder="1"/>
    </xf>
    <xf numFmtId="0" fontId="37" fillId="14" borderId="21" xfId="0" applyFont="1" applyFill="1" applyBorder="1" applyAlignment="1" applyProtection="1">
      <alignment horizontal="center" vertical="center" wrapText="1" readingOrder="1"/>
      <protection hidden="1"/>
    </xf>
    <xf numFmtId="0" fontId="37" fillId="14" borderId="0" xfId="0" applyFont="1" applyFill="1" applyBorder="1" applyAlignment="1" applyProtection="1">
      <alignment horizontal="center" vertical="center" wrapText="1" readingOrder="1"/>
      <protection hidden="1"/>
    </xf>
    <xf numFmtId="0" fontId="37" fillId="14" borderId="0" xfId="0" applyFont="1" applyFill="1" applyAlignment="1" applyProtection="1">
      <alignment horizontal="center" vertical="center" wrapText="1" readingOrder="1"/>
      <protection hidden="1"/>
    </xf>
    <xf numFmtId="0" fontId="37" fillId="14" borderId="18" xfId="0" applyFont="1" applyFill="1" applyBorder="1" applyAlignment="1" applyProtection="1">
      <alignment horizontal="center" vertical="center" wrapText="1" readingOrder="1"/>
      <protection hidden="1"/>
    </xf>
    <xf numFmtId="0" fontId="38" fillId="13" borderId="26" xfId="0" applyFont="1" applyFill="1" applyBorder="1" applyAlignment="1">
      <alignment horizontal="center" vertical="center" wrapText="1" readingOrder="1"/>
    </xf>
    <xf numFmtId="0" fontId="38" fillId="13" borderId="27" xfId="0" applyFont="1" applyFill="1" applyBorder="1" applyAlignment="1">
      <alignment horizontal="center" vertical="center" wrapText="1" readingOrder="1"/>
    </xf>
    <xf numFmtId="0" fontId="38" fillId="13" borderId="28" xfId="0" applyFont="1" applyFill="1" applyBorder="1" applyAlignment="1">
      <alignment horizontal="center" vertical="center" wrapText="1" readingOrder="1"/>
    </xf>
    <xf numFmtId="0" fontId="38" fillId="13" borderId="29" xfId="0" applyFont="1" applyFill="1" applyBorder="1" applyAlignment="1">
      <alignment horizontal="center" vertical="center" wrapText="1" readingOrder="1"/>
    </xf>
    <xf numFmtId="0" fontId="38" fillId="13" borderId="0" xfId="0" applyFont="1" applyFill="1" applyBorder="1" applyAlignment="1">
      <alignment horizontal="center" vertical="center" wrapText="1" readingOrder="1"/>
    </xf>
    <xf numFmtId="0" fontId="38" fillId="13" borderId="30" xfId="0" applyFont="1" applyFill="1" applyBorder="1" applyAlignment="1">
      <alignment horizontal="center" vertical="center" wrapText="1" readingOrder="1"/>
    </xf>
    <xf numFmtId="0" fontId="38" fillId="13" borderId="31" xfId="0" applyFont="1" applyFill="1" applyBorder="1" applyAlignment="1">
      <alignment horizontal="center" vertical="center" wrapText="1" readingOrder="1"/>
    </xf>
    <xf numFmtId="0" fontId="38" fillId="13" borderId="32" xfId="0" applyFont="1" applyFill="1" applyBorder="1" applyAlignment="1">
      <alignment horizontal="center" vertical="center" wrapText="1" readingOrder="1"/>
    </xf>
    <xf numFmtId="0" fontId="38" fillId="13" borderId="33" xfId="0" applyFont="1" applyFill="1" applyBorder="1" applyAlignment="1">
      <alignment horizontal="center" vertical="center" wrapText="1" readingOrder="1"/>
    </xf>
    <xf numFmtId="0" fontId="35" fillId="0" borderId="0" xfId="0" applyFont="1" applyAlignment="1">
      <alignment horizontal="center" vertical="center" wrapText="1"/>
    </xf>
    <xf numFmtId="0" fontId="29" fillId="10" borderId="0" xfId="0" applyFont="1" applyFill="1" applyAlignment="1">
      <alignment horizontal="center" vertical="center" wrapText="1" readingOrder="1"/>
    </xf>
    <xf numFmtId="0" fontId="29" fillId="10" borderId="0" xfId="0" applyFont="1" applyFill="1" applyAlignment="1">
      <alignment horizontal="center" vertical="center" textRotation="90" wrapText="1" readingOrder="1"/>
    </xf>
    <xf numFmtId="0" fontId="29" fillId="10" borderId="18" xfId="0" applyFont="1" applyFill="1" applyBorder="1" applyAlignment="1">
      <alignment horizontal="center" vertical="center" textRotation="90" wrapText="1" readingOrder="1"/>
    </xf>
    <xf numFmtId="0" fontId="37" fillId="14" borderId="19" xfId="0" applyFont="1" applyFill="1" applyBorder="1" applyAlignment="1" applyProtection="1">
      <alignment horizontal="center" vertical="center" wrapText="1" readingOrder="1"/>
      <protection hidden="1"/>
    </xf>
    <xf numFmtId="0" fontId="37" fillId="14" borderId="20" xfId="0" applyFont="1" applyFill="1" applyBorder="1" applyAlignment="1" applyProtection="1">
      <alignment horizontal="center" vertical="center" wrapText="1" readingOrder="1"/>
      <protection hidden="1"/>
    </xf>
    <xf numFmtId="0" fontId="37" fillId="14" borderId="24" xfId="0" applyFont="1" applyFill="1" applyBorder="1" applyAlignment="1" applyProtection="1">
      <alignment horizontal="center" vertical="center" wrapText="1" readingOrder="1"/>
      <protection hidden="1"/>
    </xf>
    <xf numFmtId="0" fontId="30" fillId="0" borderId="19" xfId="0" applyFont="1" applyBorder="1" applyAlignment="1">
      <alignment horizontal="center" vertical="center" wrapText="1"/>
    </xf>
    <xf numFmtId="0" fontId="30" fillId="0" borderId="20" xfId="0" applyFont="1" applyBorder="1" applyAlignment="1">
      <alignment horizontal="center" vertical="center"/>
    </xf>
    <xf numFmtId="0" fontId="30" fillId="0" borderId="24" xfId="0" applyFont="1" applyBorder="1" applyAlignment="1">
      <alignment horizontal="center" vertical="center"/>
    </xf>
    <xf numFmtId="0" fontId="30" fillId="0" borderId="21" xfId="0" applyFont="1" applyBorder="1" applyAlignment="1">
      <alignment horizontal="center" vertical="center"/>
    </xf>
    <xf numFmtId="0" fontId="30" fillId="0" borderId="0" xfId="0" applyFont="1" applyAlignment="1">
      <alignment horizontal="center" vertical="center"/>
    </xf>
    <xf numFmtId="0" fontId="30" fillId="0" borderId="18" xfId="0" applyFont="1" applyBorder="1" applyAlignment="1">
      <alignment horizontal="center" vertical="center"/>
    </xf>
    <xf numFmtId="0" fontId="30" fillId="0" borderId="22" xfId="0" applyFont="1" applyBorder="1" applyAlignment="1">
      <alignment horizontal="center" vertical="center"/>
    </xf>
    <xf numFmtId="0" fontId="30" fillId="0" borderId="23" xfId="0" applyFont="1" applyBorder="1" applyAlignment="1">
      <alignment horizontal="center" vertical="center"/>
    </xf>
    <xf numFmtId="0" fontId="30" fillId="0" borderId="25" xfId="0" applyFont="1" applyBorder="1" applyAlignment="1">
      <alignment horizontal="center" vertical="center"/>
    </xf>
    <xf numFmtId="0" fontId="30" fillId="0" borderId="20" xfId="0" applyFont="1" applyBorder="1" applyAlignment="1">
      <alignment horizontal="center" vertical="center" wrapText="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4" fillId="11" borderId="28" xfId="0" applyFont="1" applyFill="1" applyBorder="1" applyAlignment="1">
      <alignment horizontal="center" vertical="center" wrapText="1" readingOrder="1"/>
    </xf>
    <xf numFmtId="0" fontId="34" fillId="11" borderId="29" xfId="0" applyFont="1" applyFill="1" applyBorder="1" applyAlignment="1">
      <alignment horizontal="center" vertical="center" wrapText="1" readingOrder="1"/>
    </xf>
    <xf numFmtId="0" fontId="34" fillId="11" borderId="0" xfId="0" applyFont="1" applyFill="1" applyBorder="1" applyAlignment="1">
      <alignment horizontal="center" vertical="center" wrapText="1" readingOrder="1"/>
    </xf>
    <xf numFmtId="0" fontId="34" fillId="11" borderId="30" xfId="0" applyFont="1" applyFill="1" applyBorder="1" applyAlignment="1">
      <alignment horizontal="center" vertical="center" wrapText="1" readingOrder="1"/>
    </xf>
    <xf numFmtId="0" fontId="34" fillId="11" borderId="31" xfId="0" applyFont="1" applyFill="1" applyBorder="1" applyAlignment="1">
      <alignment horizontal="center" vertical="center" wrapText="1" readingOrder="1"/>
    </xf>
    <xf numFmtId="0" fontId="34" fillId="11" borderId="32" xfId="0" applyFont="1" applyFill="1" applyBorder="1" applyAlignment="1">
      <alignment horizontal="center" vertical="center" wrapText="1" readingOrder="1"/>
    </xf>
    <xf numFmtId="0" fontId="34" fillId="11" borderId="33" xfId="0" applyFont="1" applyFill="1" applyBorder="1" applyAlignment="1">
      <alignment horizontal="center" vertical="center" wrapText="1" readingOrder="1"/>
    </xf>
    <xf numFmtId="0" fontId="30" fillId="0" borderId="21" xfId="0" applyFont="1" applyBorder="1" applyAlignment="1">
      <alignment horizontal="center" vertical="center" wrapText="1"/>
    </xf>
    <xf numFmtId="0" fontId="30" fillId="0" borderId="0" xfId="0" applyFont="1" applyBorder="1" applyAlignment="1">
      <alignment horizontal="center" vertical="center"/>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4" fillId="13" borderId="28" xfId="0" applyFont="1" applyFill="1" applyBorder="1" applyAlignment="1">
      <alignment horizontal="center" vertical="center" wrapText="1" readingOrder="1"/>
    </xf>
    <xf numFmtId="0" fontId="34" fillId="13" borderId="29" xfId="0" applyFont="1" applyFill="1" applyBorder="1" applyAlignment="1">
      <alignment horizontal="center" vertical="center" wrapText="1" readingOrder="1"/>
    </xf>
    <xf numFmtId="0" fontId="34" fillId="13" borderId="0" xfId="0" applyFont="1" applyFill="1" applyBorder="1" applyAlignment="1">
      <alignment horizontal="center" vertical="center" wrapText="1" readingOrder="1"/>
    </xf>
    <xf numFmtId="0" fontId="34" fillId="13" borderId="30" xfId="0" applyFont="1" applyFill="1" applyBorder="1" applyAlignment="1">
      <alignment horizontal="center" vertical="center" wrapText="1" readingOrder="1"/>
    </xf>
    <xf numFmtId="0" fontId="34" fillId="13" borderId="31" xfId="0" applyFont="1" applyFill="1" applyBorder="1" applyAlignment="1">
      <alignment horizontal="center" vertical="center" wrapText="1" readingOrder="1"/>
    </xf>
    <xf numFmtId="0" fontId="34" fillId="13" borderId="32" xfId="0" applyFont="1" applyFill="1" applyBorder="1" applyAlignment="1">
      <alignment horizontal="center" vertical="center" wrapText="1" readingOrder="1"/>
    </xf>
    <xf numFmtId="0" fontId="34" fillId="13" borderId="33" xfId="0" applyFont="1" applyFill="1" applyBorder="1" applyAlignment="1">
      <alignment horizontal="center" vertical="center" wrapText="1" readingOrder="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5" borderId="28" xfId="0" applyFont="1" applyFill="1" applyBorder="1" applyAlignment="1">
      <alignment horizontal="center" vertical="center" wrapText="1" readingOrder="1"/>
    </xf>
    <xf numFmtId="0" fontId="34" fillId="5" borderId="29" xfId="0" applyFont="1" applyFill="1" applyBorder="1" applyAlignment="1">
      <alignment horizontal="center" vertical="center" wrapText="1" readingOrder="1"/>
    </xf>
    <xf numFmtId="0" fontId="34" fillId="5" borderId="0" xfId="0" applyFont="1" applyFill="1" applyBorder="1" applyAlignment="1">
      <alignment horizontal="center" vertical="center" wrapText="1" readingOrder="1"/>
    </xf>
    <xf numFmtId="0" fontId="34" fillId="5" borderId="30" xfId="0" applyFont="1" applyFill="1" applyBorder="1" applyAlignment="1">
      <alignment horizontal="center" vertical="center" wrapText="1" readingOrder="1"/>
    </xf>
    <xf numFmtId="0" fontId="34" fillId="5" borderId="31" xfId="0" applyFont="1" applyFill="1" applyBorder="1" applyAlignment="1">
      <alignment horizontal="center" vertical="center" wrapText="1" readingOrder="1"/>
    </xf>
    <xf numFmtId="0" fontId="34" fillId="5" borderId="32" xfId="0" applyFont="1" applyFill="1" applyBorder="1" applyAlignment="1">
      <alignment horizontal="center" vertical="center" wrapText="1" readingOrder="1"/>
    </xf>
    <xf numFmtId="0" fontId="34" fillId="5" borderId="33"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4" fillId="12" borderId="28" xfId="0" applyFont="1" applyFill="1" applyBorder="1" applyAlignment="1">
      <alignment horizontal="center" vertical="center" wrapText="1" readingOrder="1"/>
    </xf>
    <xf numFmtId="0" fontId="34" fillId="12" borderId="29" xfId="0" applyFont="1" applyFill="1" applyBorder="1" applyAlignment="1">
      <alignment horizontal="center" vertical="center" wrapText="1" readingOrder="1"/>
    </xf>
    <xf numFmtId="0" fontId="34" fillId="12" borderId="0" xfId="0" applyFont="1" applyFill="1" applyBorder="1" applyAlignment="1">
      <alignment horizontal="center" vertical="center" wrapText="1" readingOrder="1"/>
    </xf>
    <xf numFmtId="0" fontId="34" fillId="12" borderId="30" xfId="0" applyFont="1" applyFill="1" applyBorder="1" applyAlignment="1">
      <alignment horizontal="center" vertical="center" wrapText="1" readingOrder="1"/>
    </xf>
    <xf numFmtId="0" fontId="34" fillId="12" borderId="31" xfId="0" applyFont="1" applyFill="1" applyBorder="1" applyAlignment="1">
      <alignment horizontal="center" vertical="center" wrapText="1" readingOrder="1"/>
    </xf>
    <xf numFmtId="0" fontId="34" fillId="12" borderId="32" xfId="0" applyFont="1" applyFill="1" applyBorder="1" applyAlignment="1">
      <alignment horizontal="center" vertical="center" wrapText="1" readingOrder="1"/>
    </xf>
    <xf numFmtId="0" fontId="34" fillId="12" borderId="33" xfId="0" applyFont="1" applyFill="1" applyBorder="1" applyAlignment="1">
      <alignment horizontal="center" vertical="center" wrapText="1" readingOrder="1"/>
    </xf>
    <xf numFmtId="0" fontId="22" fillId="0" borderId="0" xfId="0" applyFont="1" applyAlignment="1">
      <alignment horizontal="center" vertical="center"/>
    </xf>
    <xf numFmtId="0" fontId="9" fillId="0" borderId="0" xfId="0" applyFont="1" applyAlignment="1">
      <alignment horizontal="center" vertical="center"/>
    </xf>
    <xf numFmtId="0" fontId="3" fillId="3" borderId="2" xfId="0" applyFont="1" applyFill="1" applyBorder="1" applyAlignment="1">
      <alignment horizontal="center" vertical="center" wrapText="1" readingOrder="1"/>
    </xf>
    <xf numFmtId="0" fontId="3" fillId="3" borderId="3" xfId="0" applyFont="1" applyFill="1" applyBorder="1" applyAlignment="1">
      <alignment horizontal="center" vertical="center" wrapText="1" readingOrder="1"/>
    </xf>
    <xf numFmtId="0" fontId="3" fillId="3" borderId="4" xfId="0" applyFont="1" applyFill="1" applyBorder="1" applyAlignment="1">
      <alignment horizontal="center" vertical="center" wrapText="1" readingOrder="1"/>
    </xf>
    <xf numFmtId="0" fontId="5" fillId="3" borderId="5" xfId="0" applyFont="1" applyFill="1" applyBorder="1" applyAlignment="1">
      <alignment horizontal="center" vertical="center" wrapText="1" readingOrder="1"/>
    </xf>
    <xf numFmtId="0" fontId="5" fillId="3" borderId="6" xfId="0" applyFont="1" applyFill="1" applyBorder="1" applyAlignment="1">
      <alignment horizontal="center" vertical="center" wrapText="1" readingOrder="1"/>
    </xf>
    <xf numFmtId="0" fontId="7" fillId="2" borderId="0" xfId="0" applyFont="1" applyFill="1" applyBorder="1" applyAlignment="1">
      <alignment horizontal="justify" vertical="center" wrapText="1"/>
    </xf>
    <xf numFmtId="0" fontId="5" fillId="2" borderId="8" xfId="0" applyFont="1" applyFill="1" applyBorder="1" applyAlignment="1">
      <alignment horizontal="center" vertical="center" wrapText="1" readingOrder="1"/>
    </xf>
    <xf numFmtId="0" fontId="5" fillId="2" borderId="11" xfId="0" applyFont="1" applyFill="1" applyBorder="1" applyAlignment="1">
      <alignment horizontal="center" vertical="center" wrapText="1" readingOrder="1"/>
    </xf>
    <xf numFmtId="0" fontId="5" fillId="2" borderId="14" xfId="0" applyFont="1" applyFill="1" applyBorder="1" applyAlignment="1">
      <alignment horizontal="center" vertical="center" wrapText="1" readingOrder="1"/>
    </xf>
    <xf numFmtId="0" fontId="5" fillId="2" borderId="9" xfId="0" applyFont="1" applyFill="1" applyBorder="1" applyAlignment="1">
      <alignment horizontal="center" vertical="center" wrapText="1" readingOrder="1"/>
    </xf>
    <xf numFmtId="0" fontId="5" fillId="2" borderId="12" xfId="0" applyFont="1" applyFill="1" applyBorder="1" applyAlignment="1">
      <alignment horizontal="center" vertical="center" wrapText="1" readingOrder="1"/>
    </xf>
    <xf numFmtId="0" fontId="5" fillId="2" borderId="15" xfId="0" applyFont="1" applyFill="1" applyBorder="1" applyAlignment="1">
      <alignment horizontal="center" vertical="center" wrapText="1" readingOrder="1"/>
    </xf>
    <xf numFmtId="0" fontId="46" fillId="2" borderId="49" xfId="0" applyFont="1" applyFill="1" applyBorder="1" applyAlignment="1" applyProtection="1">
      <alignment horizontal="center" vertical="center" wrapText="1"/>
      <protection locked="0"/>
    </xf>
  </cellXfs>
  <cellStyles count="7">
    <cellStyle name="Millares [0]" xfId="2" builtinId="6"/>
    <cellStyle name="Normal" xfId="0" builtinId="0"/>
    <cellStyle name="Normal - Style1 2" xfId="3"/>
    <cellStyle name="Normal 2" xfId="4"/>
    <cellStyle name="Normal 2 2" xfId="5"/>
    <cellStyle name="Normal 3" xfId="6"/>
    <cellStyle name="Porcentaje" xfId="1" builtinId="5"/>
  </cellStyles>
  <dxfs count="117">
    <dxf>
      <font>
        <color auto="1"/>
      </font>
      <fill>
        <patternFill patternType="solid">
          <bgColor rgb="FF92D050"/>
        </patternFill>
      </fill>
    </dxf>
    <dxf>
      <fill>
        <patternFill patternType="solid">
          <bgColor rgb="FF00B050"/>
        </patternFill>
      </fill>
    </dxf>
    <dxf>
      <fill>
        <patternFill patternType="solid">
          <bgColor rgb="FFFFFF66"/>
        </patternFill>
      </fill>
    </dxf>
    <dxf>
      <fill>
        <patternFill patternType="solid">
          <bgColor rgb="FFFFC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ont>
        <color auto="1"/>
      </font>
      <fill>
        <patternFill patternType="solid">
          <bgColor rgb="FF92D050"/>
        </patternFill>
      </fill>
    </dxf>
    <dxf>
      <fill>
        <patternFill patternType="solid">
          <bgColor rgb="FF00B050"/>
        </patternFill>
      </fill>
    </dxf>
    <dxf>
      <fill>
        <patternFill patternType="solid">
          <bgColor rgb="FFFFFF66"/>
        </patternFill>
      </fill>
    </dxf>
    <dxf>
      <fill>
        <patternFill patternType="solid">
          <bgColor rgb="FFFFC000"/>
        </patternFill>
      </fill>
    </dxf>
    <dxf>
      <fill>
        <patternFill patternType="solid">
          <bgColor rgb="FFFF0000"/>
        </patternFill>
      </fill>
    </dxf>
    <dxf>
      <font>
        <color auto="1"/>
      </font>
      <fill>
        <patternFill patternType="solid">
          <bgColor rgb="FF92D050"/>
        </patternFill>
      </fill>
    </dxf>
    <dxf>
      <fill>
        <patternFill patternType="solid">
          <bgColor rgb="FF00B050"/>
        </patternFill>
      </fill>
    </dxf>
    <dxf>
      <fill>
        <patternFill patternType="solid">
          <bgColor rgb="FFFFFF66"/>
        </patternFill>
      </fill>
    </dxf>
    <dxf>
      <fill>
        <patternFill patternType="solid">
          <bgColor rgb="FFFFC000"/>
        </patternFill>
      </fill>
    </dxf>
    <dxf>
      <fill>
        <patternFill patternType="solid">
          <bgColor rgb="FFFF0000"/>
        </patternFill>
      </fill>
    </dxf>
    <dxf>
      <font>
        <color auto="1"/>
      </font>
      <fill>
        <patternFill patternType="solid">
          <bgColor rgb="FF92D050"/>
        </patternFill>
      </fill>
    </dxf>
    <dxf>
      <fill>
        <patternFill patternType="solid">
          <bgColor rgb="FF00B050"/>
        </patternFill>
      </fill>
    </dxf>
    <dxf>
      <fill>
        <patternFill patternType="solid">
          <bgColor rgb="FFFFFF66"/>
        </patternFill>
      </fill>
    </dxf>
    <dxf>
      <fill>
        <patternFill patternType="solid">
          <bgColor rgb="FFFFC000"/>
        </patternFill>
      </fill>
    </dxf>
    <dxf>
      <fill>
        <patternFill patternType="solid">
          <bgColor rgb="FFFF0000"/>
        </patternFill>
      </fill>
    </dxf>
    <dxf>
      <font>
        <b/>
        <i val="0"/>
        <color theme="0"/>
      </font>
      <fill>
        <patternFill patternType="solid">
          <bgColor rgb="FFFF0000"/>
        </patternFill>
      </fill>
    </dxf>
    <dxf>
      <font>
        <b/>
        <i val="0"/>
        <color theme="0"/>
      </font>
      <fill>
        <patternFill patternType="solid">
          <bgColor theme="9" tint="-0.24994659260841701"/>
        </patternFill>
      </fill>
    </dxf>
    <dxf>
      <font>
        <b/>
        <i val="0"/>
        <color auto="1"/>
      </font>
      <fill>
        <patternFill patternType="solid">
          <bgColor rgb="FFFFFF00"/>
        </patternFill>
      </fill>
    </dxf>
    <dxf>
      <font>
        <b/>
        <i val="0"/>
        <color theme="0"/>
      </font>
      <fill>
        <patternFill patternType="solid">
          <bgColor rgb="FF78B832"/>
        </patternFill>
      </fill>
    </dxf>
    <dxf>
      <font>
        <b/>
        <i val="0"/>
        <color theme="0"/>
      </font>
      <fill>
        <patternFill patternType="solid">
          <bgColor rgb="FFFF0000"/>
        </patternFill>
      </fill>
    </dxf>
    <dxf>
      <font>
        <b/>
        <i val="0"/>
        <color theme="0"/>
      </font>
      <fill>
        <patternFill patternType="solid">
          <bgColor theme="9" tint="-0.24994659260841701"/>
        </patternFill>
      </fill>
    </dxf>
    <dxf>
      <font>
        <b/>
        <i val="0"/>
        <color theme="1"/>
      </font>
      <fill>
        <patternFill patternType="solid">
          <bgColor rgb="FFFFFF00"/>
        </patternFill>
      </fill>
    </dxf>
    <dxf>
      <font>
        <b/>
        <i val="0"/>
        <color theme="0"/>
      </font>
      <fill>
        <patternFill patternType="solid">
          <bgColor rgb="FF72AF2F"/>
        </patternFill>
      </fill>
    </dxf>
    <dxf>
      <fill>
        <patternFill patternType="solid">
          <bgColor rgb="FFFF0000"/>
        </patternFill>
      </fill>
    </dxf>
    <dxf>
      <fill>
        <patternFill patternType="solid">
          <bgColor rgb="FFFF0000"/>
        </patternFill>
      </fill>
    </dxf>
    <dxf>
      <fill>
        <patternFill patternType="solid">
          <bgColor rgb="FFFF0000"/>
        </patternFill>
      </fill>
    </dxf>
    <dxf>
      <font>
        <color auto="1"/>
      </font>
      <fill>
        <patternFill patternType="solid">
          <bgColor rgb="FF92D050"/>
        </patternFill>
      </fill>
    </dxf>
    <dxf>
      <fill>
        <patternFill patternType="solid">
          <bgColor rgb="FF00B050"/>
        </patternFill>
      </fill>
    </dxf>
    <dxf>
      <fill>
        <patternFill patternType="solid">
          <bgColor rgb="FFFFFF66"/>
        </patternFill>
      </fill>
    </dxf>
    <dxf>
      <fill>
        <patternFill patternType="solid">
          <bgColor rgb="FFFFC000"/>
        </patternFill>
      </fill>
    </dxf>
    <dxf>
      <fill>
        <patternFill patternType="solid">
          <bgColor rgb="FFFF0000"/>
        </patternFill>
      </fill>
    </dxf>
    <dxf>
      <fill>
        <patternFill patternType="solid">
          <bgColor rgb="FF92D050"/>
        </patternFill>
      </fill>
    </dxf>
    <dxf>
      <fill>
        <patternFill patternType="solid">
          <bgColor rgb="FFFFFF00"/>
        </patternFill>
      </fill>
    </dxf>
    <dxf>
      <fill>
        <patternFill patternType="solid">
          <bgColor theme="9" tint="-0.24994659260841701"/>
        </patternFill>
      </fill>
    </dxf>
    <dxf>
      <fill>
        <patternFill patternType="solid">
          <bgColor rgb="FFC00000"/>
        </patternFill>
      </fill>
    </dxf>
    <dxf>
      <font>
        <color auto="1"/>
      </font>
      <fill>
        <patternFill patternType="solid">
          <bgColor rgb="FF92D050"/>
        </patternFill>
      </fill>
    </dxf>
    <dxf>
      <fill>
        <patternFill patternType="solid">
          <bgColor rgb="FF00B050"/>
        </patternFill>
      </fill>
    </dxf>
    <dxf>
      <fill>
        <patternFill patternType="solid">
          <bgColor rgb="FFFFFF66"/>
        </patternFill>
      </fill>
    </dxf>
    <dxf>
      <fill>
        <patternFill patternType="solid">
          <bgColor rgb="FFFFC000"/>
        </patternFill>
      </fill>
    </dxf>
    <dxf>
      <fill>
        <patternFill patternType="solid">
          <bgColor rgb="FFFF0000"/>
        </patternFill>
      </fill>
    </dxf>
    <dxf>
      <font>
        <color auto="1"/>
      </font>
      <fill>
        <patternFill patternType="solid">
          <bgColor rgb="FF92D050"/>
        </patternFill>
      </fill>
    </dxf>
    <dxf>
      <fill>
        <patternFill patternType="solid">
          <bgColor rgb="FF00B050"/>
        </patternFill>
      </fill>
    </dxf>
    <dxf>
      <fill>
        <patternFill patternType="solid">
          <bgColor rgb="FFFFFF66"/>
        </patternFill>
      </fill>
    </dxf>
    <dxf>
      <fill>
        <patternFill patternType="solid">
          <bgColor rgb="FFFFC000"/>
        </patternFill>
      </fill>
    </dxf>
    <dxf>
      <fill>
        <patternFill patternType="solid">
          <bgColor rgb="FFFF0000"/>
        </patternFill>
      </fill>
    </dxf>
    <dxf>
      <fill>
        <patternFill patternType="solid">
          <bgColor rgb="FF92D050"/>
        </patternFill>
      </fill>
    </dxf>
    <dxf>
      <fill>
        <patternFill patternType="solid">
          <bgColor rgb="FFFFFF00"/>
        </patternFill>
      </fill>
    </dxf>
    <dxf>
      <fill>
        <patternFill patternType="solid">
          <bgColor theme="9" tint="-0.24994659260841701"/>
        </patternFill>
      </fill>
    </dxf>
    <dxf>
      <fill>
        <patternFill patternType="solid">
          <bgColor rgb="FFC00000"/>
        </patternFill>
      </fill>
    </dxf>
    <dxf>
      <font>
        <color auto="1"/>
      </font>
      <fill>
        <patternFill patternType="solid">
          <bgColor rgb="FF92D050"/>
        </patternFill>
      </fill>
    </dxf>
    <dxf>
      <fill>
        <patternFill patternType="solid">
          <bgColor rgb="FF00B050"/>
        </patternFill>
      </fill>
    </dxf>
    <dxf>
      <fill>
        <patternFill patternType="solid">
          <bgColor rgb="FFFFFF66"/>
        </patternFill>
      </fill>
    </dxf>
    <dxf>
      <fill>
        <patternFill patternType="solid">
          <bgColor rgb="FFFFC000"/>
        </patternFill>
      </fill>
    </dxf>
    <dxf>
      <fill>
        <patternFill patternType="solid">
          <bgColor rgb="FFFF0000"/>
        </patternFill>
      </fill>
    </dxf>
    <dxf>
      <font>
        <color rgb="FF9C0006"/>
      </font>
      <fill>
        <patternFill patternType="solid">
          <bgColor rgb="FFFFC7CE"/>
        </patternFill>
      </fill>
    </dxf>
    <dxf>
      <font>
        <color auto="1"/>
      </font>
      <fill>
        <patternFill patternType="solid">
          <bgColor rgb="FF92D050"/>
        </patternFill>
      </fill>
    </dxf>
    <dxf>
      <fill>
        <patternFill patternType="solid">
          <bgColor rgb="FF00B050"/>
        </patternFill>
      </fill>
    </dxf>
    <dxf>
      <fill>
        <patternFill patternType="solid">
          <bgColor rgb="FFFFFF66"/>
        </patternFill>
      </fill>
    </dxf>
    <dxf>
      <fill>
        <patternFill patternType="solid">
          <bgColor rgb="FFFFC000"/>
        </patternFill>
      </fill>
    </dxf>
    <dxf>
      <fill>
        <patternFill patternType="solid">
          <bgColor rgb="FFFF0000"/>
        </patternFill>
      </fill>
    </dxf>
    <dxf>
      <fill>
        <patternFill patternType="solid">
          <bgColor rgb="FF92D050"/>
        </patternFill>
      </fill>
    </dxf>
    <dxf>
      <fill>
        <patternFill patternType="solid">
          <bgColor rgb="FFFFFF00"/>
        </patternFill>
      </fill>
    </dxf>
    <dxf>
      <fill>
        <patternFill patternType="solid">
          <bgColor theme="9" tint="-0.24994659260841701"/>
        </patternFill>
      </fill>
    </dxf>
    <dxf>
      <fill>
        <patternFill patternType="solid">
          <bgColor rgb="FFC00000"/>
        </patternFill>
      </fill>
    </dxf>
    <dxf>
      <fill>
        <patternFill patternType="solid">
          <bgColor rgb="FFFF0000"/>
        </patternFill>
      </fill>
    </dxf>
    <dxf>
      <fill>
        <patternFill patternType="solid">
          <bgColor rgb="FF92D050"/>
        </patternFill>
      </fill>
    </dxf>
    <dxf>
      <fill>
        <patternFill patternType="solid">
          <bgColor rgb="FFFFFF00"/>
        </patternFill>
      </fill>
    </dxf>
    <dxf>
      <fill>
        <patternFill patternType="solid">
          <bgColor theme="9" tint="-0.24994659260841701"/>
        </patternFill>
      </fill>
    </dxf>
    <dxf>
      <fill>
        <patternFill patternType="solid">
          <bgColor rgb="FFC0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92D050"/>
        </patternFill>
      </fill>
    </dxf>
    <dxf>
      <fill>
        <patternFill patternType="solid">
          <bgColor rgb="FFFFFF00"/>
        </patternFill>
      </fill>
    </dxf>
    <dxf>
      <fill>
        <patternFill patternType="solid">
          <bgColor theme="9" tint="-0.24994659260841701"/>
        </patternFill>
      </fill>
    </dxf>
    <dxf>
      <fill>
        <patternFill patternType="solid">
          <bgColor rgb="FFC00000"/>
        </patternFill>
      </fill>
    </dxf>
    <dxf>
      <font>
        <color auto="1"/>
      </font>
      <fill>
        <patternFill patternType="solid">
          <bgColor rgb="FF92D050"/>
        </patternFill>
      </fill>
    </dxf>
    <dxf>
      <fill>
        <patternFill patternType="solid">
          <bgColor rgb="FF00B050"/>
        </patternFill>
      </fill>
    </dxf>
    <dxf>
      <fill>
        <patternFill patternType="solid">
          <bgColor rgb="FFFFFF66"/>
        </patternFill>
      </fill>
    </dxf>
    <dxf>
      <fill>
        <patternFill patternType="solid">
          <bgColor rgb="FFFFC000"/>
        </patternFill>
      </fill>
    </dxf>
    <dxf>
      <fill>
        <patternFill patternType="solid">
          <bgColor rgb="FFFF0000"/>
        </patternFill>
      </fill>
    </dxf>
    <dxf>
      <font>
        <color auto="1"/>
      </font>
      <fill>
        <patternFill patternType="solid">
          <bgColor rgb="FF92D050"/>
        </patternFill>
      </fill>
    </dxf>
    <dxf>
      <fill>
        <patternFill patternType="solid">
          <bgColor rgb="FF00B050"/>
        </patternFill>
      </fill>
    </dxf>
    <dxf>
      <fill>
        <patternFill patternType="solid">
          <bgColor rgb="FFFFFF66"/>
        </patternFill>
      </fill>
    </dxf>
    <dxf>
      <fill>
        <patternFill patternType="solid">
          <bgColor rgb="FFFFC000"/>
        </patternFill>
      </fill>
    </dxf>
    <dxf>
      <fill>
        <patternFill patternType="solid">
          <bgColor rgb="FFFF0000"/>
        </patternFill>
      </fill>
    </dxf>
    <dxf>
      <font>
        <color auto="1"/>
      </font>
      <fill>
        <patternFill patternType="solid">
          <bgColor rgb="FF92D050"/>
        </patternFill>
      </fill>
    </dxf>
    <dxf>
      <fill>
        <patternFill patternType="solid">
          <bgColor rgb="FF00B050"/>
        </patternFill>
      </fill>
    </dxf>
    <dxf>
      <fill>
        <patternFill patternType="solid">
          <bgColor rgb="FFFFFF66"/>
        </patternFill>
      </fill>
    </dxf>
    <dxf>
      <fill>
        <patternFill patternType="solid">
          <bgColor rgb="FFFFC000"/>
        </patternFill>
      </fill>
    </dxf>
    <dxf>
      <fill>
        <patternFill patternType="solid">
          <bgColor rgb="FFFF0000"/>
        </patternFill>
      </fill>
    </dxf>
    <dxf>
      <fill>
        <patternFill patternType="solid">
          <bgColor rgb="FF92D050"/>
        </patternFill>
      </fill>
    </dxf>
    <dxf>
      <fill>
        <patternFill patternType="solid">
          <bgColor rgb="FFFFFF00"/>
        </patternFill>
      </fill>
    </dxf>
    <dxf>
      <fill>
        <patternFill patternType="solid">
          <bgColor theme="9" tint="-0.24994659260841701"/>
        </patternFill>
      </fill>
    </dxf>
    <dxf>
      <fill>
        <patternFill patternType="solid">
          <bgColor rgb="FFC00000"/>
        </patternFill>
      </fill>
    </dxf>
    <dxf>
      <font>
        <color auto="1"/>
      </font>
      <fill>
        <patternFill patternType="solid">
          <bgColor rgb="FF92D050"/>
        </patternFill>
      </fill>
    </dxf>
    <dxf>
      <fill>
        <patternFill patternType="solid">
          <bgColor rgb="FF00B050"/>
        </patternFill>
      </fill>
    </dxf>
    <dxf>
      <fill>
        <patternFill patternType="solid">
          <bgColor rgb="FFFFFF66"/>
        </patternFill>
      </fill>
    </dxf>
    <dxf>
      <fill>
        <patternFill patternType="solid">
          <bgColor rgb="FFFFC000"/>
        </patternFill>
      </fill>
    </dxf>
    <dxf>
      <fill>
        <patternFill patternType="solid">
          <bgColor rgb="FFFF0000"/>
        </patternFill>
      </fill>
    </dxf>
    <dxf>
      <font>
        <color rgb="FF9C0006"/>
      </font>
      <fill>
        <patternFill patternType="solid">
          <bgColor rgb="FFFFC7CE"/>
        </patternFill>
      </fill>
    </dxf>
    <dxf>
      <font>
        <color auto="1"/>
      </font>
      <fill>
        <patternFill patternType="solid">
          <bgColor rgb="FF92D050"/>
        </patternFill>
      </fill>
    </dxf>
    <dxf>
      <fill>
        <patternFill patternType="solid">
          <bgColor rgb="FF00B050"/>
        </patternFill>
      </fill>
    </dxf>
    <dxf>
      <fill>
        <patternFill patternType="solid">
          <bgColor rgb="FFFFFF66"/>
        </patternFill>
      </fill>
    </dxf>
    <dxf>
      <fill>
        <patternFill patternType="solid">
          <bgColor rgb="FFFFC000"/>
        </patternFill>
      </fill>
    </dxf>
    <dxf>
      <fill>
        <patternFill patternType="solid">
          <bgColor rgb="FFFF0000"/>
        </patternFill>
      </fill>
    </dxf>
    <dxf>
      <font>
        <b val="0"/>
        <i val="0"/>
        <strike val="0"/>
        <u val="none"/>
        <sz val="16"/>
        <color rgb="FFFF0000"/>
        <name val="Calibri"/>
        <scheme val="none"/>
      </font>
      <fill>
        <patternFill patternType="none"/>
      </fill>
    </dxf>
    <dxf>
      <font>
        <b val="0"/>
        <i val="0"/>
        <strike val="0"/>
        <u val="none"/>
        <sz val="16"/>
        <color rgb="FFFF0000"/>
        <name val="Calibri"/>
        <scheme val="none"/>
      </font>
      <fill>
        <patternFill patternType="none"/>
      </fill>
    </dxf>
  </dxfs>
  <tableStyles count="0" defaultTableStyle="TableStyleMedium2" defaultPivotStyle="PivotStyleLight16"/>
  <colors>
    <mruColors>
      <color rgb="FFF9A159"/>
      <color rgb="FF9966FF"/>
      <color rgb="FF72AF2F"/>
      <color rgb="FF78B832"/>
      <color rgb="FFF6882E"/>
      <color rgb="FFF79443"/>
      <color rgb="FFF4750C"/>
      <color rgb="FFF9BD8B"/>
      <color rgb="FFF9A763"/>
      <color rgb="FFF9AD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1143000</xdr:colOff>
      <xdr:row>0</xdr:row>
      <xdr:rowOff>0</xdr:rowOff>
    </xdr:from>
    <xdr:ext cx="945777" cy="561975"/>
    <xdr:pic>
      <xdr:nvPicPr>
        <xdr:cNvPr id="2" name="image1.jpg" descr="IDPCBYN"/>
        <xdr:cNvPicPr preferRelativeResize="0"/>
      </xdr:nvPicPr>
      <xdr:blipFill>
        <a:blip xmlns:r="http://schemas.openxmlformats.org/officeDocument/2006/relationships" r:embed="rId1" cstate="print"/>
        <a:stretch>
          <a:fillRect/>
        </a:stretch>
      </xdr:blipFill>
      <xdr:spPr>
        <a:xfrm>
          <a:off x="3856990" y="0"/>
          <a:ext cx="945515" cy="5619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os\IDPC\2021\Riesgos\Propuesta%20Matriz%20Riesgos\Propuesta%20de%20Matriz%20de%20Riesgos%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ESGOS/2024/6_Proteccion_e_Intervencion_de_los_Patrimonios_2024/4.%2020233030183843%20Protecci&#243;n%20VF%20ene-abr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uesta de Matriz de Riesgos "/>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Riesgos"/>
      <sheetName val="Controles Riesgos de Gestión"/>
      <sheetName val="Controles Riesgos de Corrupción"/>
      <sheetName val="Seguimiento Riesgos"/>
      <sheetName val="Listas y tablas"/>
      <sheetName val="Hoja2"/>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01"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9" applyNumberFormats="0" applyBorderFormats="0" applyFontFormats="0" applyPatternFormats="0" applyAlignmentFormats="0" applyWidthHeightFormats="1" dataCaption="Valores" updatedVersion="6" minRefreshableVersion="3" useAutoFormatting="1" rowGrandTotals="0" colGrandTotals="0"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a1" displayName="Tabla1" ref="B209:C219" totalsRowShown="0">
  <autoFilter ref="B209:C219"/>
  <tableColumns count="2">
    <tableColumn id="1" name="Criterios" dataDxfId="116"/>
    <tableColumn id="2" name="Subcriterios" dataDxfId="115"/>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45"/>
  <sheetViews>
    <sheetView zoomScale="110" zoomScaleNormal="110" workbookViewId="0">
      <selection activeCell="K7" sqref="K7"/>
    </sheetView>
  </sheetViews>
  <sheetFormatPr baseColWidth="10" defaultColWidth="11.42578125" defaultRowHeight="15"/>
  <cols>
    <col min="1" max="1" width="2.85546875" style="18" customWidth="1"/>
    <col min="2" max="3" width="24.7109375" style="18" customWidth="1"/>
    <col min="4" max="4" width="16" style="18" customWidth="1"/>
    <col min="5" max="5" width="24.7109375" style="18" customWidth="1"/>
    <col min="6" max="6" width="27.7109375" style="18" customWidth="1"/>
    <col min="7" max="8" width="24.7109375" style="18" customWidth="1"/>
    <col min="9" max="16384" width="11.42578125" style="18"/>
  </cols>
  <sheetData>
    <row r="2" spans="2:8" ht="18">
      <c r="B2" s="461" t="s">
        <v>0</v>
      </c>
      <c r="C2" s="462"/>
      <c r="D2" s="462"/>
      <c r="E2" s="462"/>
      <c r="F2" s="462"/>
      <c r="G2" s="462"/>
      <c r="H2" s="463"/>
    </row>
    <row r="3" spans="2:8">
      <c r="B3" s="444"/>
      <c r="C3" s="445"/>
      <c r="D3" s="445"/>
      <c r="E3" s="445"/>
      <c r="F3" s="445"/>
      <c r="G3" s="445"/>
      <c r="H3" s="446"/>
    </row>
    <row r="4" spans="2:8" ht="63" customHeight="1">
      <c r="B4" s="491" t="s">
        <v>1</v>
      </c>
      <c r="C4" s="492"/>
      <c r="D4" s="492"/>
      <c r="E4" s="492"/>
      <c r="F4" s="492"/>
      <c r="G4" s="492"/>
      <c r="H4" s="493"/>
    </row>
    <row r="5" spans="2:8" ht="63" customHeight="1">
      <c r="B5" s="494"/>
      <c r="C5" s="495"/>
      <c r="D5" s="495"/>
      <c r="E5" s="495"/>
      <c r="F5" s="495"/>
      <c r="G5" s="495"/>
      <c r="H5" s="496"/>
    </row>
    <row r="6" spans="2:8" ht="16.5">
      <c r="B6" s="464" t="s">
        <v>2</v>
      </c>
      <c r="C6" s="465"/>
      <c r="D6" s="465"/>
      <c r="E6" s="465"/>
      <c r="F6" s="465"/>
      <c r="G6" s="465"/>
      <c r="H6" s="466"/>
    </row>
    <row r="7" spans="2:8" ht="95.25" customHeight="1">
      <c r="B7" s="467" t="s">
        <v>3</v>
      </c>
      <c r="C7" s="468"/>
      <c r="D7" s="468"/>
      <c r="E7" s="468"/>
      <c r="F7" s="468"/>
      <c r="G7" s="468"/>
      <c r="H7" s="469"/>
    </row>
    <row r="8" spans="2:8" ht="16.5">
      <c r="B8" s="447"/>
      <c r="C8" s="448"/>
      <c r="D8" s="448"/>
      <c r="E8" s="448"/>
      <c r="F8" s="448"/>
      <c r="G8" s="448"/>
      <c r="H8" s="449"/>
    </row>
    <row r="9" spans="2:8" ht="16.5" customHeight="1">
      <c r="B9" s="497" t="s">
        <v>4</v>
      </c>
      <c r="C9" s="498"/>
      <c r="D9" s="498"/>
      <c r="E9" s="498"/>
      <c r="F9" s="498"/>
      <c r="G9" s="498"/>
      <c r="H9" s="499"/>
    </row>
    <row r="10" spans="2:8" ht="44.25" customHeight="1">
      <c r="B10" s="500"/>
      <c r="C10" s="498"/>
      <c r="D10" s="498"/>
      <c r="E10" s="498"/>
      <c r="F10" s="498"/>
      <c r="G10" s="498"/>
      <c r="H10" s="499"/>
    </row>
    <row r="11" spans="2:8">
      <c r="B11" s="450"/>
      <c r="C11" s="451"/>
      <c r="D11" s="452"/>
      <c r="E11" s="453"/>
      <c r="F11" s="453"/>
      <c r="G11" s="453"/>
      <c r="H11" s="454"/>
    </row>
    <row r="12" spans="2:8">
      <c r="B12" s="450"/>
      <c r="C12" s="470" t="s">
        <v>5</v>
      </c>
      <c r="D12" s="471"/>
      <c r="E12" s="472" t="s">
        <v>6</v>
      </c>
      <c r="F12" s="473"/>
      <c r="G12" s="451"/>
      <c r="H12" s="455"/>
    </row>
    <row r="13" spans="2:8" ht="35.25" customHeight="1">
      <c r="B13" s="450"/>
      <c r="C13" s="474" t="s">
        <v>7</v>
      </c>
      <c r="D13" s="475"/>
      <c r="E13" s="476" t="s">
        <v>8</v>
      </c>
      <c r="F13" s="477"/>
      <c r="G13" s="451"/>
      <c r="H13" s="455"/>
    </row>
    <row r="14" spans="2:8" ht="17.25" customHeight="1">
      <c r="B14" s="450"/>
      <c r="C14" s="474" t="s">
        <v>9</v>
      </c>
      <c r="D14" s="475"/>
      <c r="E14" s="476" t="s">
        <v>10</v>
      </c>
      <c r="F14" s="477"/>
      <c r="G14" s="451"/>
      <c r="H14" s="455"/>
    </row>
    <row r="15" spans="2:8" ht="19.5" customHeight="1">
      <c r="B15" s="450"/>
      <c r="C15" s="474" t="s">
        <v>11</v>
      </c>
      <c r="D15" s="475"/>
      <c r="E15" s="476" t="s">
        <v>12</v>
      </c>
      <c r="F15" s="477"/>
      <c r="G15" s="451"/>
      <c r="H15" s="455"/>
    </row>
    <row r="16" spans="2:8" ht="69.75" customHeight="1">
      <c r="B16" s="450"/>
      <c r="C16" s="474" t="s">
        <v>13</v>
      </c>
      <c r="D16" s="475"/>
      <c r="E16" s="476" t="s">
        <v>14</v>
      </c>
      <c r="F16" s="477"/>
      <c r="G16" s="451"/>
      <c r="H16" s="455"/>
    </row>
    <row r="17" spans="2:8" ht="34.5" customHeight="1">
      <c r="B17" s="450"/>
      <c r="C17" s="478" t="s">
        <v>15</v>
      </c>
      <c r="D17" s="479"/>
      <c r="E17" s="480" t="s">
        <v>16</v>
      </c>
      <c r="F17" s="481"/>
      <c r="G17" s="451"/>
      <c r="H17" s="455"/>
    </row>
    <row r="18" spans="2:8" ht="27.75" customHeight="1">
      <c r="B18" s="450"/>
      <c r="C18" s="478" t="s">
        <v>17</v>
      </c>
      <c r="D18" s="479"/>
      <c r="E18" s="480" t="s">
        <v>18</v>
      </c>
      <c r="F18" s="481"/>
      <c r="G18" s="451"/>
      <c r="H18" s="455"/>
    </row>
    <row r="19" spans="2:8" ht="28.5" customHeight="1">
      <c r="B19" s="450"/>
      <c r="C19" s="478" t="s">
        <v>19</v>
      </c>
      <c r="D19" s="479"/>
      <c r="E19" s="480" t="s">
        <v>20</v>
      </c>
      <c r="F19" s="481"/>
      <c r="G19" s="451"/>
      <c r="H19" s="455"/>
    </row>
    <row r="20" spans="2:8" ht="72.75" customHeight="1">
      <c r="B20" s="450"/>
      <c r="C20" s="478" t="s">
        <v>21</v>
      </c>
      <c r="D20" s="479"/>
      <c r="E20" s="480" t="s">
        <v>22</v>
      </c>
      <c r="F20" s="481"/>
      <c r="G20" s="451"/>
      <c r="H20" s="455"/>
    </row>
    <row r="21" spans="2:8" ht="64.5" customHeight="1">
      <c r="B21" s="450"/>
      <c r="C21" s="478" t="s">
        <v>23</v>
      </c>
      <c r="D21" s="479"/>
      <c r="E21" s="480" t="s">
        <v>24</v>
      </c>
      <c r="F21" s="481"/>
      <c r="G21" s="451"/>
      <c r="H21" s="455"/>
    </row>
    <row r="22" spans="2:8" ht="71.25" customHeight="1">
      <c r="B22" s="450"/>
      <c r="C22" s="478" t="s">
        <v>25</v>
      </c>
      <c r="D22" s="479"/>
      <c r="E22" s="480" t="s">
        <v>26</v>
      </c>
      <c r="F22" s="481"/>
      <c r="G22" s="451"/>
      <c r="H22" s="455"/>
    </row>
    <row r="23" spans="2:8" ht="55.5" customHeight="1">
      <c r="B23" s="450"/>
      <c r="C23" s="482" t="s">
        <v>27</v>
      </c>
      <c r="D23" s="483"/>
      <c r="E23" s="480" t="s">
        <v>28</v>
      </c>
      <c r="F23" s="481"/>
      <c r="G23" s="451"/>
      <c r="H23" s="455"/>
    </row>
    <row r="24" spans="2:8" ht="42" customHeight="1">
      <c r="B24" s="450"/>
      <c r="C24" s="482" t="s">
        <v>29</v>
      </c>
      <c r="D24" s="483"/>
      <c r="E24" s="480" t="s">
        <v>30</v>
      </c>
      <c r="F24" s="481"/>
      <c r="G24" s="451"/>
      <c r="H24" s="455"/>
    </row>
    <row r="25" spans="2:8" ht="59.25" customHeight="1">
      <c r="B25" s="450"/>
      <c r="C25" s="482" t="s">
        <v>31</v>
      </c>
      <c r="D25" s="483"/>
      <c r="E25" s="480" t="s">
        <v>32</v>
      </c>
      <c r="F25" s="481"/>
      <c r="G25" s="451"/>
      <c r="H25" s="455"/>
    </row>
    <row r="26" spans="2:8" ht="23.25" customHeight="1">
      <c r="B26" s="450"/>
      <c r="C26" s="482" t="s">
        <v>33</v>
      </c>
      <c r="D26" s="483"/>
      <c r="E26" s="480" t="s">
        <v>34</v>
      </c>
      <c r="F26" s="481"/>
      <c r="G26" s="451"/>
      <c r="H26" s="455"/>
    </row>
    <row r="27" spans="2:8" ht="30.75" customHeight="1">
      <c r="B27" s="450"/>
      <c r="C27" s="482" t="s">
        <v>35</v>
      </c>
      <c r="D27" s="483"/>
      <c r="E27" s="480" t="s">
        <v>36</v>
      </c>
      <c r="F27" s="481"/>
      <c r="G27" s="451"/>
      <c r="H27" s="455"/>
    </row>
    <row r="28" spans="2:8" ht="35.25" customHeight="1">
      <c r="B28" s="450"/>
      <c r="C28" s="482" t="s">
        <v>37</v>
      </c>
      <c r="D28" s="483"/>
      <c r="E28" s="480" t="s">
        <v>38</v>
      </c>
      <c r="F28" s="481"/>
      <c r="G28" s="451"/>
      <c r="H28" s="455"/>
    </row>
    <row r="29" spans="2:8" ht="33" customHeight="1">
      <c r="B29" s="450"/>
      <c r="C29" s="482" t="s">
        <v>37</v>
      </c>
      <c r="D29" s="483"/>
      <c r="E29" s="480" t="s">
        <v>38</v>
      </c>
      <c r="F29" s="481"/>
      <c r="G29" s="451"/>
      <c r="H29" s="455"/>
    </row>
    <row r="30" spans="2:8" ht="30" customHeight="1">
      <c r="B30" s="450"/>
      <c r="C30" s="482" t="s">
        <v>39</v>
      </c>
      <c r="D30" s="483"/>
      <c r="E30" s="480" t="s">
        <v>40</v>
      </c>
      <c r="F30" s="481"/>
      <c r="G30" s="451"/>
      <c r="H30" s="455"/>
    </row>
    <row r="31" spans="2:8" ht="35.25" customHeight="1">
      <c r="B31" s="450"/>
      <c r="C31" s="482" t="s">
        <v>41</v>
      </c>
      <c r="D31" s="483"/>
      <c r="E31" s="480" t="s">
        <v>42</v>
      </c>
      <c r="F31" s="481"/>
      <c r="G31" s="451"/>
      <c r="H31" s="455"/>
    </row>
    <row r="32" spans="2:8" ht="31.5" customHeight="1">
      <c r="B32" s="450"/>
      <c r="C32" s="482" t="s">
        <v>43</v>
      </c>
      <c r="D32" s="483"/>
      <c r="E32" s="480" t="s">
        <v>44</v>
      </c>
      <c r="F32" s="481"/>
      <c r="G32" s="451"/>
      <c r="H32" s="455"/>
    </row>
    <row r="33" spans="2:8" ht="35.25" customHeight="1">
      <c r="B33" s="450"/>
      <c r="C33" s="482" t="s">
        <v>45</v>
      </c>
      <c r="D33" s="483"/>
      <c r="E33" s="480" t="s">
        <v>46</v>
      </c>
      <c r="F33" s="481"/>
      <c r="G33" s="451"/>
      <c r="H33" s="455"/>
    </row>
    <row r="34" spans="2:8" ht="59.25" customHeight="1">
      <c r="B34" s="450"/>
      <c r="C34" s="482" t="s">
        <v>47</v>
      </c>
      <c r="D34" s="483"/>
      <c r="E34" s="480" t="s">
        <v>48</v>
      </c>
      <c r="F34" s="481"/>
      <c r="G34" s="451"/>
      <c r="H34" s="455"/>
    </row>
    <row r="35" spans="2:8" ht="29.25" customHeight="1">
      <c r="B35" s="450"/>
      <c r="C35" s="482" t="s">
        <v>49</v>
      </c>
      <c r="D35" s="483"/>
      <c r="E35" s="480" t="s">
        <v>50</v>
      </c>
      <c r="F35" s="481"/>
      <c r="G35" s="451"/>
      <c r="H35" s="455"/>
    </row>
    <row r="36" spans="2:8" ht="82.5" customHeight="1">
      <c r="B36" s="450"/>
      <c r="C36" s="482" t="s">
        <v>51</v>
      </c>
      <c r="D36" s="483"/>
      <c r="E36" s="480" t="s">
        <v>52</v>
      </c>
      <c r="F36" s="481"/>
      <c r="G36" s="451"/>
      <c r="H36" s="455"/>
    </row>
    <row r="37" spans="2:8" ht="46.5" customHeight="1">
      <c r="B37" s="450"/>
      <c r="C37" s="482" t="s">
        <v>53</v>
      </c>
      <c r="D37" s="483"/>
      <c r="E37" s="480" t="s">
        <v>54</v>
      </c>
      <c r="F37" s="481"/>
      <c r="G37" s="451"/>
      <c r="H37" s="455"/>
    </row>
    <row r="38" spans="2:8" ht="6.75" customHeight="1">
      <c r="B38" s="450"/>
      <c r="C38" s="484"/>
      <c r="D38" s="485"/>
      <c r="E38" s="486"/>
      <c r="F38" s="487"/>
      <c r="G38" s="451"/>
      <c r="H38" s="455"/>
    </row>
    <row r="39" spans="2:8">
      <c r="B39" s="450"/>
      <c r="C39" s="456"/>
      <c r="D39" s="456"/>
      <c r="E39" s="457"/>
      <c r="F39" s="457"/>
      <c r="G39" s="451"/>
      <c r="H39" s="455"/>
    </row>
    <row r="40" spans="2:8" ht="21" customHeight="1">
      <c r="B40" s="488" t="s">
        <v>55</v>
      </c>
      <c r="C40" s="489"/>
      <c r="D40" s="489"/>
      <c r="E40" s="489"/>
      <c r="F40" s="489"/>
      <c r="G40" s="489"/>
      <c r="H40" s="490"/>
    </row>
    <row r="41" spans="2:8" ht="20.25" customHeight="1">
      <c r="B41" s="488" t="s">
        <v>56</v>
      </c>
      <c r="C41" s="489"/>
      <c r="D41" s="489"/>
      <c r="E41" s="489"/>
      <c r="F41" s="489"/>
      <c r="G41" s="489"/>
      <c r="H41" s="490"/>
    </row>
    <row r="42" spans="2:8" ht="20.25" customHeight="1">
      <c r="B42" s="488" t="s">
        <v>57</v>
      </c>
      <c r="C42" s="489"/>
      <c r="D42" s="489"/>
      <c r="E42" s="489"/>
      <c r="F42" s="489"/>
      <c r="G42" s="489"/>
      <c r="H42" s="490"/>
    </row>
    <row r="43" spans="2:8" ht="20.25" customHeight="1">
      <c r="B43" s="488" t="s">
        <v>58</v>
      </c>
      <c r="C43" s="489"/>
      <c r="D43" s="489"/>
      <c r="E43" s="489"/>
      <c r="F43" s="489"/>
      <c r="G43" s="489"/>
      <c r="H43" s="490"/>
    </row>
    <row r="44" spans="2:8">
      <c r="B44" s="488" t="s">
        <v>59</v>
      </c>
      <c r="C44" s="489"/>
      <c r="D44" s="489"/>
      <c r="E44" s="489"/>
      <c r="F44" s="489"/>
      <c r="G44" s="489"/>
      <c r="H44" s="490"/>
    </row>
    <row r="45" spans="2:8">
      <c r="B45" s="458"/>
      <c r="C45" s="459"/>
      <c r="D45" s="459"/>
      <c r="E45" s="459"/>
      <c r="F45" s="459"/>
      <c r="G45" s="459"/>
      <c r="H45" s="460"/>
    </row>
  </sheetData>
  <mergeCells count="64">
    <mergeCell ref="B41:H41"/>
    <mergeCell ref="B42:H42"/>
    <mergeCell ref="B43:H43"/>
    <mergeCell ref="B44:H44"/>
    <mergeCell ref="B4:H5"/>
    <mergeCell ref="B9:H10"/>
    <mergeCell ref="C37:D37"/>
    <mergeCell ref="E37:F37"/>
    <mergeCell ref="C38:D38"/>
    <mergeCell ref="E38:F38"/>
    <mergeCell ref="B40:H40"/>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B2:H2"/>
    <mergeCell ref="B6:H6"/>
    <mergeCell ref="B7:H7"/>
    <mergeCell ref="C12:D12"/>
    <mergeCell ref="E12:F12"/>
  </mergeCells>
  <pageMargins left="0.70866141732283505" right="0.70866141732283505" top="0.74803149606299202" bottom="0.74803149606299202" header="0.31496062992126" footer="0.31496062992126"/>
  <pageSetup scale="32" orientation="landscape"/>
  <headerFooter>
    <oddFooter>&amp;LVersión 3  02/05/2022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M6" sqref="M6"/>
    </sheetView>
  </sheetViews>
  <sheetFormatPr baseColWidth="10" defaultColWidth="11"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row>
    <row r="2" spans="1:91" ht="18" customHeight="1">
      <c r="A2" s="18"/>
      <c r="B2" s="861" t="s">
        <v>1539</v>
      </c>
      <c r="C2" s="862"/>
      <c r="D2" s="862"/>
      <c r="E2" s="862"/>
      <c r="F2" s="862"/>
      <c r="G2" s="862"/>
      <c r="H2" s="862"/>
      <c r="I2" s="862"/>
      <c r="J2" s="825" t="s">
        <v>15</v>
      </c>
      <c r="K2" s="825"/>
      <c r="L2" s="825"/>
      <c r="M2" s="825"/>
      <c r="N2" s="825"/>
      <c r="O2" s="825"/>
      <c r="P2" s="825"/>
      <c r="Q2" s="825"/>
      <c r="R2" s="825"/>
      <c r="S2" s="825"/>
      <c r="T2" s="825"/>
      <c r="U2" s="825"/>
      <c r="V2" s="825"/>
      <c r="W2" s="825"/>
      <c r="X2" s="825"/>
      <c r="Y2" s="825"/>
      <c r="Z2" s="825"/>
      <c r="AA2" s="825"/>
      <c r="AB2" s="825"/>
      <c r="AC2" s="825"/>
      <c r="AD2" s="825"/>
      <c r="AE2" s="825"/>
      <c r="AF2" s="825"/>
      <c r="AG2" s="825"/>
      <c r="AH2" s="825"/>
      <c r="AI2" s="825"/>
      <c r="AJ2" s="825"/>
      <c r="AK2" s="825"/>
      <c r="AL2" s="825"/>
      <c r="AM2" s="825"/>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row>
    <row r="3" spans="1:91" ht="18.75" customHeight="1">
      <c r="A3" s="18"/>
      <c r="B3" s="862"/>
      <c r="C3" s="862"/>
      <c r="D3" s="862"/>
      <c r="E3" s="862"/>
      <c r="F3" s="862"/>
      <c r="G3" s="862"/>
      <c r="H3" s="862"/>
      <c r="I3" s="862"/>
      <c r="J3" s="825"/>
      <c r="K3" s="825"/>
      <c r="L3" s="825"/>
      <c r="M3" s="825"/>
      <c r="N3" s="825"/>
      <c r="O3" s="825"/>
      <c r="P3" s="825"/>
      <c r="Q3" s="825"/>
      <c r="R3" s="825"/>
      <c r="S3" s="825"/>
      <c r="T3" s="825"/>
      <c r="U3" s="825"/>
      <c r="V3" s="825"/>
      <c r="W3" s="825"/>
      <c r="X3" s="825"/>
      <c r="Y3" s="825"/>
      <c r="Z3" s="825"/>
      <c r="AA3" s="825"/>
      <c r="AB3" s="825"/>
      <c r="AC3" s="825"/>
      <c r="AD3" s="825"/>
      <c r="AE3" s="825"/>
      <c r="AF3" s="825"/>
      <c r="AG3" s="825"/>
      <c r="AH3" s="825"/>
      <c r="AI3" s="825"/>
      <c r="AJ3" s="825"/>
      <c r="AK3" s="825"/>
      <c r="AL3" s="825"/>
      <c r="AM3" s="825"/>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row>
    <row r="4" spans="1:91" ht="15" customHeight="1">
      <c r="A4" s="18"/>
      <c r="B4" s="862"/>
      <c r="C4" s="862"/>
      <c r="D4" s="862"/>
      <c r="E4" s="862"/>
      <c r="F4" s="862"/>
      <c r="G4" s="862"/>
      <c r="H4" s="862"/>
      <c r="I4" s="862"/>
      <c r="J4" s="825"/>
      <c r="K4" s="825"/>
      <c r="L4" s="825"/>
      <c r="M4" s="825"/>
      <c r="N4" s="825"/>
      <c r="O4" s="825"/>
      <c r="P4" s="825"/>
      <c r="Q4" s="825"/>
      <c r="R4" s="825"/>
      <c r="S4" s="825"/>
      <c r="T4" s="825"/>
      <c r="U4" s="825"/>
      <c r="V4" s="825"/>
      <c r="W4" s="825"/>
      <c r="X4" s="825"/>
      <c r="Y4" s="825"/>
      <c r="Z4" s="825"/>
      <c r="AA4" s="825"/>
      <c r="AB4" s="825"/>
      <c r="AC4" s="825"/>
      <c r="AD4" s="825"/>
      <c r="AE4" s="825"/>
      <c r="AF4" s="825"/>
      <c r="AG4" s="825"/>
      <c r="AH4" s="825"/>
      <c r="AI4" s="825"/>
      <c r="AJ4" s="825"/>
      <c r="AK4" s="825"/>
      <c r="AL4" s="825"/>
      <c r="AM4" s="825"/>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row>
    <row r="5" spans="1:9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row>
    <row r="6" spans="1:91" ht="15" customHeight="1">
      <c r="A6" s="18"/>
      <c r="B6" s="826" t="s">
        <v>1233</v>
      </c>
      <c r="C6" s="826"/>
      <c r="D6" s="827"/>
      <c r="E6" s="831" t="s">
        <v>1528</v>
      </c>
      <c r="F6" s="832"/>
      <c r="G6" s="832"/>
      <c r="H6" s="832"/>
      <c r="I6" s="833"/>
      <c r="J6" s="54" t="e">
        <f>IF(AND(Riesgos!#REF!="Muy Alta",Riesgos!#REF!="Leve"),CONCATENATE("R1C",Riesgos!#REF!),"")</f>
        <v>#REF!</v>
      </c>
      <c r="K6" s="55" t="e">
        <f>IF(AND(Riesgos!#REF!="Muy Alta",Riesgos!#REF!="Leve"),CONCATENATE("R1C",Riesgos!#REF!),"")</f>
        <v>#REF!</v>
      </c>
      <c r="L6" s="55" t="e">
        <f>IF(AND(Riesgos!#REF!="Muy Alta",Riesgos!#REF!="Leve"),CONCATENATE("R1C",Riesgos!#REF!),"")</f>
        <v>#REF!</v>
      </c>
      <c r="M6" s="55" t="e">
        <f>IF(AND(Riesgos!#REF!="Muy Alta",Riesgos!#REF!="Leve"),CONCATENATE("R1C",Riesgos!#REF!),"")</f>
        <v>#REF!</v>
      </c>
      <c r="N6" s="55" t="e">
        <f>IF(AND(Riesgos!#REF!="Muy Alta",Riesgos!#REF!="Leve"),CONCATENATE("R1C",Riesgos!#REF!),"")</f>
        <v>#REF!</v>
      </c>
      <c r="O6" s="56" t="e">
        <f>IF(AND(Riesgos!#REF!="Muy Alta",Riesgos!#REF!="Leve"),CONCATENATE("R1C",Riesgos!#REF!),"")</f>
        <v>#REF!</v>
      </c>
      <c r="P6" s="54" t="e">
        <f>IF(AND(Riesgos!#REF!="Muy Alta",Riesgos!#REF!="Menor"),CONCATENATE("R1C",Riesgos!#REF!),"")</f>
        <v>#REF!</v>
      </c>
      <c r="Q6" s="55" t="e">
        <f>IF(AND(Riesgos!#REF!="Muy Alta",Riesgos!#REF!="Menor"),CONCATENATE("R1C",Riesgos!#REF!),"")</f>
        <v>#REF!</v>
      </c>
      <c r="R6" s="55" t="e">
        <f>IF(AND(Riesgos!#REF!="Muy Alta",Riesgos!#REF!="Menor"),CONCATENATE("R1C",Riesgos!#REF!),"")</f>
        <v>#REF!</v>
      </c>
      <c r="S6" s="55" t="e">
        <f>IF(AND(Riesgos!#REF!="Muy Alta",Riesgos!#REF!="Menor"),CONCATENATE("R1C",Riesgos!#REF!),"")</f>
        <v>#REF!</v>
      </c>
      <c r="T6" s="55" t="e">
        <f>IF(AND(Riesgos!#REF!="Muy Alta",Riesgos!#REF!="Menor"),CONCATENATE("R1C",Riesgos!#REF!),"")</f>
        <v>#REF!</v>
      </c>
      <c r="U6" s="56" t="e">
        <f>IF(AND(Riesgos!#REF!="Muy Alta",Riesgos!#REF!="Menor"),CONCATENATE("R1C",Riesgos!#REF!),"")</f>
        <v>#REF!</v>
      </c>
      <c r="V6" s="54" t="e">
        <f>IF(AND(Riesgos!#REF!="Muy Alta",Riesgos!#REF!="Moderado"),CONCATENATE("R1C",Riesgos!#REF!),"")</f>
        <v>#REF!</v>
      </c>
      <c r="W6" s="55" t="e">
        <f>IF(AND(Riesgos!#REF!="Muy Alta",Riesgos!#REF!="Moderado"),CONCATENATE("R1C",Riesgos!#REF!),"")</f>
        <v>#REF!</v>
      </c>
      <c r="X6" s="55" t="e">
        <f>IF(AND(Riesgos!#REF!="Muy Alta",Riesgos!#REF!="Moderado"),CONCATENATE("R1C",Riesgos!#REF!),"")</f>
        <v>#REF!</v>
      </c>
      <c r="Y6" s="55" t="e">
        <f>IF(AND(Riesgos!#REF!="Muy Alta",Riesgos!#REF!="Moderado"),CONCATENATE("R1C",Riesgos!#REF!),"")</f>
        <v>#REF!</v>
      </c>
      <c r="Z6" s="55" t="e">
        <f>IF(AND(Riesgos!#REF!="Muy Alta",Riesgos!#REF!="Moderado"),CONCATENATE("R1C",Riesgos!#REF!),"")</f>
        <v>#REF!</v>
      </c>
      <c r="AA6" s="56" t="e">
        <f>IF(AND(Riesgos!#REF!="Muy Alta",Riesgos!#REF!="Moderado"),CONCATENATE("R1C",Riesgos!#REF!),"")</f>
        <v>#REF!</v>
      </c>
      <c r="AB6" s="54" t="e">
        <f>IF(AND(Riesgos!#REF!="Muy Alta",Riesgos!#REF!="Mayor"),CONCATENATE("R1C",Riesgos!#REF!),"")</f>
        <v>#REF!</v>
      </c>
      <c r="AC6" s="55" t="e">
        <f>IF(AND(Riesgos!#REF!="Muy Alta",Riesgos!#REF!="Mayor"),CONCATENATE("R1C",Riesgos!#REF!),"")</f>
        <v>#REF!</v>
      </c>
      <c r="AD6" s="55" t="e">
        <f>IF(AND(Riesgos!#REF!="Muy Alta",Riesgos!#REF!="Mayor"),CONCATENATE("R1C",Riesgos!#REF!),"")</f>
        <v>#REF!</v>
      </c>
      <c r="AE6" s="55" t="e">
        <f>IF(AND(Riesgos!#REF!="Muy Alta",Riesgos!#REF!="Mayor"),CONCATENATE("R1C",Riesgos!#REF!),"")</f>
        <v>#REF!</v>
      </c>
      <c r="AF6" s="55" t="e">
        <f>IF(AND(Riesgos!#REF!="Muy Alta",Riesgos!#REF!="Mayor"),CONCATENATE("R1C",Riesgos!#REF!),"")</f>
        <v>#REF!</v>
      </c>
      <c r="AG6" s="56" t="e">
        <f>IF(AND(Riesgos!#REF!="Muy Alta",Riesgos!#REF!="Mayor"),CONCATENATE("R1C",Riesgos!#REF!),"")</f>
        <v>#REF!</v>
      </c>
      <c r="AH6" s="83" t="e">
        <f>IF(AND(Riesgos!#REF!="Muy Alta",Riesgos!#REF!="Catastrófico"),CONCATENATE("R1C",Riesgos!#REF!),"")</f>
        <v>#REF!</v>
      </c>
      <c r="AI6" s="84" t="e">
        <f>IF(AND(Riesgos!#REF!="Muy Alta",Riesgos!#REF!="Catastrófico"),CONCATENATE("R1C",Riesgos!#REF!),"")</f>
        <v>#REF!</v>
      </c>
      <c r="AJ6" s="84" t="e">
        <f>IF(AND(Riesgos!#REF!="Muy Alta",Riesgos!#REF!="Catastrófico"),CONCATENATE("R1C",Riesgos!#REF!),"")</f>
        <v>#REF!</v>
      </c>
      <c r="AK6" s="84" t="e">
        <f>IF(AND(Riesgos!#REF!="Muy Alta",Riesgos!#REF!="Catastrófico"),CONCATENATE("R1C",Riesgos!#REF!),"")</f>
        <v>#REF!</v>
      </c>
      <c r="AL6" s="84" t="e">
        <f>IF(AND(Riesgos!#REF!="Muy Alta",Riesgos!#REF!="Catastrófico"),CONCATENATE("R1C",Riesgos!#REF!),"")</f>
        <v>#REF!</v>
      </c>
      <c r="AM6" s="85" t="e">
        <f>IF(AND(Riesgos!#REF!="Muy Alta",Riesgos!#REF!="Catastrófico"),CONCATENATE("R1C",Riesgos!#REF!),"")</f>
        <v>#REF!</v>
      </c>
      <c r="AN6" s="18"/>
      <c r="AO6" s="852" t="s">
        <v>1457</v>
      </c>
      <c r="AP6" s="853"/>
      <c r="AQ6" s="853"/>
      <c r="AR6" s="853"/>
      <c r="AS6" s="853"/>
      <c r="AT6" s="854"/>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row>
    <row r="7" spans="1:91" ht="15" customHeight="1">
      <c r="A7" s="18"/>
      <c r="B7" s="826"/>
      <c r="C7" s="826"/>
      <c r="D7" s="827"/>
      <c r="E7" s="834"/>
      <c r="F7" s="835"/>
      <c r="G7" s="835"/>
      <c r="H7" s="835"/>
      <c r="I7" s="836"/>
      <c r="J7" s="57" t="e">
        <f>IF(AND(Riesgos!#REF!="Muy Alta",Riesgos!#REF!="Leve"),CONCATENATE("R2C",Riesgos!#REF!),"")</f>
        <v>#REF!</v>
      </c>
      <c r="K7" s="58" t="e">
        <f>IF(AND(Riesgos!#REF!="Muy Alta",Riesgos!#REF!="Leve"),CONCATENATE("R2C",Riesgos!#REF!),"")</f>
        <v>#REF!</v>
      </c>
      <c r="L7" s="58" t="e">
        <f>IF(AND(Riesgos!#REF!="Muy Alta",Riesgos!#REF!="Leve"),CONCATENATE("R2C",Riesgos!#REF!),"")</f>
        <v>#REF!</v>
      </c>
      <c r="M7" s="58" t="e">
        <f>IF(AND(Riesgos!#REF!="Muy Alta",Riesgos!#REF!="Leve"),CONCATENATE("R2C",Riesgos!#REF!),"")</f>
        <v>#REF!</v>
      </c>
      <c r="N7" s="58" t="e">
        <f>IF(AND(Riesgos!#REF!="Muy Alta",Riesgos!#REF!="Leve"),CONCATENATE("R2C",Riesgos!#REF!),"")</f>
        <v>#REF!</v>
      </c>
      <c r="O7" s="59" t="e">
        <f>IF(AND(Riesgos!#REF!="Muy Alta",Riesgos!#REF!="Leve"),CONCATENATE("R2C",Riesgos!#REF!),"")</f>
        <v>#REF!</v>
      </c>
      <c r="P7" s="57" t="e">
        <f>IF(AND(Riesgos!#REF!="Muy Alta",Riesgos!#REF!="Menor"),CONCATENATE("R2C",Riesgos!#REF!),"")</f>
        <v>#REF!</v>
      </c>
      <c r="Q7" s="58" t="e">
        <f>IF(AND(Riesgos!#REF!="Muy Alta",Riesgos!#REF!="Menor"),CONCATENATE("R2C",Riesgos!#REF!),"")</f>
        <v>#REF!</v>
      </c>
      <c r="R7" s="58" t="e">
        <f>IF(AND(Riesgos!#REF!="Muy Alta",Riesgos!#REF!="Menor"),CONCATENATE("R2C",Riesgos!#REF!),"")</f>
        <v>#REF!</v>
      </c>
      <c r="S7" s="58" t="e">
        <f>IF(AND(Riesgos!#REF!="Muy Alta",Riesgos!#REF!="Menor"),CONCATENATE("R2C",Riesgos!#REF!),"")</f>
        <v>#REF!</v>
      </c>
      <c r="T7" s="58" t="e">
        <f>IF(AND(Riesgos!#REF!="Muy Alta",Riesgos!#REF!="Menor"),CONCATENATE("R2C",Riesgos!#REF!),"")</f>
        <v>#REF!</v>
      </c>
      <c r="U7" s="59" t="e">
        <f>IF(AND(Riesgos!#REF!="Muy Alta",Riesgos!#REF!="Menor"),CONCATENATE("R2C",Riesgos!#REF!),"")</f>
        <v>#REF!</v>
      </c>
      <c r="V7" s="57" t="e">
        <f>IF(AND(Riesgos!#REF!="Muy Alta",Riesgos!#REF!="Moderado"),CONCATENATE("R2C",Riesgos!#REF!),"")</f>
        <v>#REF!</v>
      </c>
      <c r="W7" s="58" t="e">
        <f>IF(AND(Riesgos!#REF!="Muy Alta",Riesgos!#REF!="Moderado"),CONCATENATE("R2C",Riesgos!#REF!),"")</f>
        <v>#REF!</v>
      </c>
      <c r="X7" s="58" t="e">
        <f>IF(AND(Riesgos!#REF!="Muy Alta",Riesgos!#REF!="Moderado"),CONCATENATE("R2C",Riesgos!#REF!),"")</f>
        <v>#REF!</v>
      </c>
      <c r="Y7" s="58" t="e">
        <f>IF(AND(Riesgos!#REF!="Muy Alta",Riesgos!#REF!="Moderado"),CONCATENATE("R2C",Riesgos!#REF!),"")</f>
        <v>#REF!</v>
      </c>
      <c r="Z7" s="58" t="e">
        <f>IF(AND(Riesgos!#REF!="Muy Alta",Riesgos!#REF!="Moderado"),CONCATENATE("R2C",Riesgos!#REF!),"")</f>
        <v>#REF!</v>
      </c>
      <c r="AA7" s="59" t="e">
        <f>IF(AND(Riesgos!#REF!="Muy Alta",Riesgos!#REF!="Moderado"),CONCATENATE("R2C",Riesgos!#REF!),"")</f>
        <v>#REF!</v>
      </c>
      <c r="AB7" s="57" t="e">
        <f>IF(AND(Riesgos!#REF!="Muy Alta",Riesgos!#REF!="Mayor"),CONCATENATE("R2C",Riesgos!#REF!),"")</f>
        <v>#REF!</v>
      </c>
      <c r="AC7" s="58" t="e">
        <f>IF(AND(Riesgos!#REF!="Muy Alta",Riesgos!#REF!="Mayor"),CONCATENATE("R2C",Riesgos!#REF!),"")</f>
        <v>#REF!</v>
      </c>
      <c r="AD7" s="58" t="e">
        <f>IF(AND(Riesgos!#REF!="Muy Alta",Riesgos!#REF!="Mayor"),CONCATENATE("R2C",Riesgos!#REF!),"")</f>
        <v>#REF!</v>
      </c>
      <c r="AE7" s="58" t="e">
        <f>IF(AND(Riesgos!#REF!="Muy Alta",Riesgos!#REF!="Mayor"),CONCATENATE("R2C",Riesgos!#REF!),"")</f>
        <v>#REF!</v>
      </c>
      <c r="AF7" s="58" t="e">
        <f>IF(AND(Riesgos!#REF!="Muy Alta",Riesgos!#REF!="Mayor"),CONCATENATE("R2C",Riesgos!#REF!),"")</f>
        <v>#REF!</v>
      </c>
      <c r="AG7" s="59" t="e">
        <f>IF(AND(Riesgos!#REF!="Muy Alta",Riesgos!#REF!="Mayor"),CONCATENATE("R2C",Riesgos!#REF!),"")</f>
        <v>#REF!</v>
      </c>
      <c r="AH7" s="86" t="e">
        <f>IF(AND(Riesgos!#REF!="Muy Alta",Riesgos!#REF!="Catastrófico"),CONCATENATE("R2C",Riesgos!#REF!),"")</f>
        <v>#REF!</v>
      </c>
      <c r="AI7" s="87" t="e">
        <f>IF(AND(Riesgos!#REF!="Muy Alta",Riesgos!#REF!="Catastrófico"),CONCATENATE("R2C",Riesgos!#REF!),"")</f>
        <v>#REF!</v>
      </c>
      <c r="AJ7" s="87" t="e">
        <f>IF(AND(Riesgos!#REF!="Muy Alta",Riesgos!#REF!="Catastrófico"),CONCATENATE("R2C",Riesgos!#REF!),"")</f>
        <v>#REF!</v>
      </c>
      <c r="AK7" s="87" t="e">
        <f>IF(AND(Riesgos!#REF!="Muy Alta",Riesgos!#REF!="Catastrófico"),CONCATENATE("R2C",Riesgos!#REF!),"")</f>
        <v>#REF!</v>
      </c>
      <c r="AL7" s="87" t="e">
        <f>IF(AND(Riesgos!#REF!="Muy Alta",Riesgos!#REF!="Catastrófico"),CONCATENATE("R2C",Riesgos!#REF!),"")</f>
        <v>#REF!</v>
      </c>
      <c r="AM7" s="88" t="e">
        <f>IF(AND(Riesgos!#REF!="Muy Alta",Riesgos!#REF!="Catastrófico"),CONCATENATE("R2C",Riesgos!#REF!),"")</f>
        <v>#REF!</v>
      </c>
      <c r="AN7" s="18"/>
      <c r="AO7" s="855"/>
      <c r="AP7" s="856"/>
      <c r="AQ7" s="856"/>
      <c r="AR7" s="856"/>
      <c r="AS7" s="856"/>
      <c r="AT7" s="857"/>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row>
    <row r="8" spans="1:91" ht="15" customHeight="1">
      <c r="A8" s="18"/>
      <c r="B8" s="826"/>
      <c r="C8" s="826"/>
      <c r="D8" s="827"/>
      <c r="E8" s="834"/>
      <c r="F8" s="835"/>
      <c r="G8" s="835"/>
      <c r="H8" s="835"/>
      <c r="I8" s="836"/>
      <c r="J8" s="57" t="e">
        <f>IF(AND(Riesgos!#REF!="Muy Alta",Riesgos!#REF!="Leve"),CONCATENATE("R3C",Riesgos!#REF!),"")</f>
        <v>#REF!</v>
      </c>
      <c r="K8" s="58" t="e">
        <f>IF(AND(Riesgos!#REF!="Muy Alta",Riesgos!#REF!="Leve"),CONCATENATE("R3C",Riesgos!#REF!),"")</f>
        <v>#REF!</v>
      </c>
      <c r="L8" s="58" t="e">
        <f>IF(AND(Riesgos!#REF!="Muy Alta",Riesgos!#REF!="Leve"),CONCATENATE("R3C",Riesgos!#REF!),"")</f>
        <v>#REF!</v>
      </c>
      <c r="M8" s="58" t="e">
        <f>IF(AND(Riesgos!#REF!="Muy Alta",Riesgos!#REF!="Leve"),CONCATENATE("R3C",Riesgos!#REF!),"")</f>
        <v>#REF!</v>
      </c>
      <c r="N8" s="58" t="e">
        <f>IF(AND(Riesgos!#REF!="Muy Alta",Riesgos!#REF!="Leve"),CONCATENATE("R3C",Riesgos!#REF!),"")</f>
        <v>#REF!</v>
      </c>
      <c r="O8" s="59" t="e">
        <f>IF(AND(Riesgos!#REF!="Muy Alta",Riesgos!#REF!="Leve"),CONCATENATE("R3C",Riesgos!#REF!),"")</f>
        <v>#REF!</v>
      </c>
      <c r="P8" s="57" t="e">
        <f>IF(AND(Riesgos!#REF!="Muy Alta",Riesgos!#REF!="Menor"),CONCATENATE("R3C",Riesgos!#REF!),"")</f>
        <v>#REF!</v>
      </c>
      <c r="Q8" s="58" t="e">
        <f>IF(AND(Riesgos!#REF!="Muy Alta",Riesgos!#REF!="Menor"),CONCATENATE("R3C",Riesgos!#REF!),"")</f>
        <v>#REF!</v>
      </c>
      <c r="R8" s="58" t="e">
        <f>IF(AND(Riesgos!#REF!="Muy Alta",Riesgos!#REF!="Menor"),CONCATENATE("R3C",Riesgos!#REF!),"")</f>
        <v>#REF!</v>
      </c>
      <c r="S8" s="58" t="e">
        <f>IF(AND(Riesgos!#REF!="Muy Alta",Riesgos!#REF!="Menor"),CONCATENATE("R3C",Riesgos!#REF!),"")</f>
        <v>#REF!</v>
      </c>
      <c r="T8" s="58" t="e">
        <f>IF(AND(Riesgos!#REF!="Muy Alta",Riesgos!#REF!="Menor"),CONCATENATE("R3C",Riesgos!#REF!),"")</f>
        <v>#REF!</v>
      </c>
      <c r="U8" s="59" t="e">
        <f>IF(AND(Riesgos!#REF!="Muy Alta",Riesgos!#REF!="Menor"),CONCATENATE("R3C",Riesgos!#REF!),"")</f>
        <v>#REF!</v>
      </c>
      <c r="V8" s="57" t="e">
        <f>IF(AND(Riesgos!#REF!="Muy Alta",Riesgos!#REF!="Moderado"),CONCATENATE("R3C",Riesgos!#REF!),"")</f>
        <v>#REF!</v>
      </c>
      <c r="W8" s="58" t="e">
        <f>IF(AND(Riesgos!#REF!="Muy Alta",Riesgos!#REF!="Moderado"),CONCATENATE("R3C",Riesgos!#REF!),"")</f>
        <v>#REF!</v>
      </c>
      <c r="X8" s="58" t="e">
        <f>IF(AND(Riesgos!#REF!="Muy Alta",Riesgos!#REF!="Moderado"),CONCATENATE("R3C",Riesgos!#REF!),"")</f>
        <v>#REF!</v>
      </c>
      <c r="Y8" s="58" t="e">
        <f>IF(AND(Riesgos!#REF!="Muy Alta",Riesgos!#REF!="Moderado"),CONCATENATE("R3C",Riesgos!#REF!),"")</f>
        <v>#REF!</v>
      </c>
      <c r="Z8" s="58" t="e">
        <f>IF(AND(Riesgos!#REF!="Muy Alta",Riesgos!#REF!="Moderado"),CONCATENATE("R3C",Riesgos!#REF!),"")</f>
        <v>#REF!</v>
      </c>
      <c r="AA8" s="59" t="e">
        <f>IF(AND(Riesgos!#REF!="Muy Alta",Riesgos!#REF!="Moderado"),CONCATENATE("R3C",Riesgos!#REF!),"")</f>
        <v>#REF!</v>
      </c>
      <c r="AB8" s="57" t="e">
        <f>IF(AND(Riesgos!#REF!="Muy Alta",Riesgos!#REF!="Mayor"),CONCATENATE("R3C",Riesgos!#REF!),"")</f>
        <v>#REF!</v>
      </c>
      <c r="AC8" s="58" t="e">
        <f>IF(AND(Riesgos!#REF!="Muy Alta",Riesgos!#REF!="Mayor"),CONCATENATE("R3C",Riesgos!#REF!),"")</f>
        <v>#REF!</v>
      </c>
      <c r="AD8" s="58" t="e">
        <f>IF(AND(Riesgos!#REF!="Muy Alta",Riesgos!#REF!="Mayor"),CONCATENATE("R3C",Riesgos!#REF!),"")</f>
        <v>#REF!</v>
      </c>
      <c r="AE8" s="58" t="e">
        <f>IF(AND(Riesgos!#REF!="Muy Alta",Riesgos!#REF!="Mayor"),CONCATENATE("R3C",Riesgos!#REF!),"")</f>
        <v>#REF!</v>
      </c>
      <c r="AF8" s="58" t="e">
        <f>IF(AND(Riesgos!#REF!="Muy Alta",Riesgos!#REF!="Mayor"),CONCATENATE("R3C",Riesgos!#REF!),"")</f>
        <v>#REF!</v>
      </c>
      <c r="AG8" s="59" t="e">
        <f>IF(AND(Riesgos!#REF!="Muy Alta",Riesgos!#REF!="Mayor"),CONCATENATE("R3C",Riesgos!#REF!),"")</f>
        <v>#REF!</v>
      </c>
      <c r="AH8" s="86" t="e">
        <f>IF(AND(Riesgos!#REF!="Muy Alta",Riesgos!#REF!="Catastrófico"),CONCATENATE("R3C",Riesgos!#REF!),"")</f>
        <v>#REF!</v>
      </c>
      <c r="AI8" s="87" t="e">
        <f>IF(AND(Riesgos!#REF!="Muy Alta",Riesgos!#REF!="Catastrófico"),CONCATENATE("R3C",Riesgos!#REF!),"")</f>
        <v>#REF!</v>
      </c>
      <c r="AJ8" s="87" t="e">
        <f>IF(AND(Riesgos!#REF!="Muy Alta",Riesgos!#REF!="Catastrófico"),CONCATENATE("R3C",Riesgos!#REF!),"")</f>
        <v>#REF!</v>
      </c>
      <c r="AK8" s="87" t="e">
        <f>IF(AND(Riesgos!#REF!="Muy Alta",Riesgos!#REF!="Catastrófico"),CONCATENATE("R3C",Riesgos!#REF!),"")</f>
        <v>#REF!</v>
      </c>
      <c r="AL8" s="87" t="e">
        <f>IF(AND(Riesgos!#REF!="Muy Alta",Riesgos!#REF!="Catastrófico"),CONCATENATE("R3C",Riesgos!#REF!),"")</f>
        <v>#REF!</v>
      </c>
      <c r="AM8" s="88" t="e">
        <f>IF(AND(Riesgos!#REF!="Muy Alta",Riesgos!#REF!="Catastrófico"),CONCATENATE("R3C",Riesgos!#REF!),"")</f>
        <v>#REF!</v>
      </c>
      <c r="AN8" s="18"/>
      <c r="AO8" s="855"/>
      <c r="AP8" s="856"/>
      <c r="AQ8" s="856"/>
      <c r="AR8" s="856"/>
      <c r="AS8" s="856"/>
      <c r="AT8" s="857"/>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row>
    <row r="9" spans="1:91" ht="15" customHeight="1">
      <c r="A9" s="18"/>
      <c r="B9" s="826"/>
      <c r="C9" s="826"/>
      <c r="D9" s="827"/>
      <c r="E9" s="834"/>
      <c r="F9" s="835"/>
      <c r="G9" s="835"/>
      <c r="H9" s="835"/>
      <c r="I9" s="836"/>
      <c r="J9" s="57" t="e">
        <f>IF(AND(Riesgos!#REF!="Muy Alta",Riesgos!#REF!="Leve"),CONCATENATE("R4C",Riesgos!#REF!),"")</f>
        <v>#REF!</v>
      </c>
      <c r="K9" s="58" t="e">
        <f>IF(AND(Riesgos!#REF!="Muy Alta",Riesgos!#REF!="Leve"),CONCATENATE("R4C",Riesgos!#REF!),"")</f>
        <v>#REF!</v>
      </c>
      <c r="L9" s="60" t="e">
        <f>IF(AND(Riesgos!#REF!="Muy Alta",Riesgos!#REF!="Leve"),CONCATENATE("R4C",Riesgos!#REF!),"")</f>
        <v>#REF!</v>
      </c>
      <c r="M9" s="60" t="e">
        <f>IF(AND(Riesgos!#REF!="Muy Alta",Riesgos!#REF!="Leve"),CONCATENATE("R4C",Riesgos!#REF!),"")</f>
        <v>#REF!</v>
      </c>
      <c r="N9" s="60" t="e">
        <f>IF(AND(Riesgos!#REF!="Muy Alta",Riesgos!#REF!="Leve"),CONCATENATE("R4C",Riesgos!#REF!),"")</f>
        <v>#REF!</v>
      </c>
      <c r="O9" s="59" t="e">
        <f>IF(AND(Riesgos!#REF!="Muy Alta",Riesgos!#REF!="Leve"),CONCATENATE("R4C",Riesgos!#REF!),"")</f>
        <v>#REF!</v>
      </c>
      <c r="P9" s="57" t="e">
        <f>IF(AND(Riesgos!#REF!="Muy Alta",Riesgos!#REF!="Menor"),CONCATENATE("R4C",Riesgos!#REF!),"")</f>
        <v>#REF!</v>
      </c>
      <c r="Q9" s="58" t="e">
        <f>IF(AND(Riesgos!#REF!="Muy Alta",Riesgos!#REF!="Menor"),CONCATENATE("R4C",Riesgos!#REF!),"")</f>
        <v>#REF!</v>
      </c>
      <c r="R9" s="60" t="e">
        <f>IF(AND(Riesgos!#REF!="Muy Alta",Riesgos!#REF!="Menor"),CONCATENATE("R4C",Riesgos!#REF!),"")</f>
        <v>#REF!</v>
      </c>
      <c r="S9" s="60" t="e">
        <f>IF(AND(Riesgos!#REF!="Muy Alta",Riesgos!#REF!="Menor"),CONCATENATE("R4C",Riesgos!#REF!),"")</f>
        <v>#REF!</v>
      </c>
      <c r="T9" s="60" t="e">
        <f>IF(AND(Riesgos!#REF!="Muy Alta",Riesgos!#REF!="Menor"),CONCATENATE("R4C",Riesgos!#REF!),"")</f>
        <v>#REF!</v>
      </c>
      <c r="U9" s="59" t="e">
        <f>IF(AND(Riesgos!#REF!="Muy Alta",Riesgos!#REF!="Menor"),CONCATENATE("R4C",Riesgos!#REF!),"")</f>
        <v>#REF!</v>
      </c>
      <c r="V9" s="57" t="e">
        <f>IF(AND(Riesgos!#REF!="Muy Alta",Riesgos!#REF!="Moderado"),CONCATENATE("R4C",Riesgos!#REF!),"")</f>
        <v>#REF!</v>
      </c>
      <c r="W9" s="58" t="e">
        <f>IF(AND(Riesgos!#REF!="Muy Alta",Riesgos!#REF!="Moderado"),CONCATENATE("R4C",Riesgos!#REF!),"")</f>
        <v>#REF!</v>
      </c>
      <c r="X9" s="60" t="e">
        <f>IF(AND(Riesgos!#REF!="Muy Alta",Riesgos!#REF!="Moderado"),CONCATENATE("R4C",Riesgos!#REF!),"")</f>
        <v>#REF!</v>
      </c>
      <c r="Y9" s="60" t="e">
        <f>IF(AND(Riesgos!#REF!="Muy Alta",Riesgos!#REF!="Moderado"),CONCATENATE("R4C",Riesgos!#REF!),"")</f>
        <v>#REF!</v>
      </c>
      <c r="Z9" s="60" t="e">
        <f>IF(AND(Riesgos!#REF!="Muy Alta",Riesgos!#REF!="Moderado"),CONCATENATE("R4C",Riesgos!#REF!),"")</f>
        <v>#REF!</v>
      </c>
      <c r="AA9" s="59" t="e">
        <f>IF(AND(Riesgos!#REF!="Muy Alta",Riesgos!#REF!="Moderado"),CONCATENATE("R4C",Riesgos!#REF!),"")</f>
        <v>#REF!</v>
      </c>
      <c r="AB9" s="57" t="e">
        <f>IF(AND(Riesgos!#REF!="Muy Alta",Riesgos!#REF!="Mayor"),CONCATENATE("R4C",Riesgos!#REF!),"")</f>
        <v>#REF!</v>
      </c>
      <c r="AC9" s="58" t="e">
        <f>IF(AND(Riesgos!#REF!="Muy Alta",Riesgos!#REF!="Mayor"),CONCATENATE("R4C",Riesgos!#REF!),"")</f>
        <v>#REF!</v>
      </c>
      <c r="AD9" s="60" t="e">
        <f>IF(AND(Riesgos!#REF!="Muy Alta",Riesgos!#REF!="Mayor"),CONCATENATE("R4C",Riesgos!#REF!),"")</f>
        <v>#REF!</v>
      </c>
      <c r="AE9" s="60" t="e">
        <f>IF(AND(Riesgos!#REF!="Muy Alta",Riesgos!#REF!="Mayor"),CONCATENATE("R4C",Riesgos!#REF!),"")</f>
        <v>#REF!</v>
      </c>
      <c r="AF9" s="60" t="e">
        <f>IF(AND(Riesgos!#REF!="Muy Alta",Riesgos!#REF!="Mayor"),CONCATENATE("R4C",Riesgos!#REF!),"")</f>
        <v>#REF!</v>
      </c>
      <c r="AG9" s="59" t="e">
        <f>IF(AND(Riesgos!#REF!="Muy Alta",Riesgos!#REF!="Mayor"),CONCATENATE("R4C",Riesgos!#REF!),"")</f>
        <v>#REF!</v>
      </c>
      <c r="AH9" s="86" t="e">
        <f>IF(AND(Riesgos!#REF!="Muy Alta",Riesgos!#REF!="Catastrófico"),CONCATENATE("R4C",Riesgos!#REF!),"")</f>
        <v>#REF!</v>
      </c>
      <c r="AI9" s="87" t="e">
        <f>IF(AND(Riesgos!#REF!="Muy Alta",Riesgos!#REF!="Catastrófico"),CONCATENATE("R4C",Riesgos!#REF!),"")</f>
        <v>#REF!</v>
      </c>
      <c r="AJ9" s="87" t="e">
        <f>IF(AND(Riesgos!#REF!="Muy Alta",Riesgos!#REF!="Catastrófico"),CONCATENATE("R4C",Riesgos!#REF!),"")</f>
        <v>#REF!</v>
      </c>
      <c r="AK9" s="87" t="e">
        <f>IF(AND(Riesgos!#REF!="Muy Alta",Riesgos!#REF!="Catastrófico"),CONCATENATE("R4C",Riesgos!#REF!),"")</f>
        <v>#REF!</v>
      </c>
      <c r="AL9" s="87" t="e">
        <f>IF(AND(Riesgos!#REF!="Muy Alta",Riesgos!#REF!="Catastrófico"),CONCATENATE("R4C",Riesgos!#REF!),"")</f>
        <v>#REF!</v>
      </c>
      <c r="AM9" s="88" t="e">
        <f>IF(AND(Riesgos!#REF!="Muy Alta",Riesgos!#REF!="Catastrófico"),CONCATENATE("R4C",Riesgos!#REF!),"")</f>
        <v>#REF!</v>
      </c>
      <c r="AN9" s="18"/>
      <c r="AO9" s="855"/>
      <c r="AP9" s="856"/>
      <c r="AQ9" s="856"/>
      <c r="AR9" s="856"/>
      <c r="AS9" s="856"/>
      <c r="AT9" s="857"/>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row>
    <row r="10" spans="1:91" ht="15" customHeight="1">
      <c r="A10" s="18"/>
      <c r="B10" s="826"/>
      <c r="C10" s="826"/>
      <c r="D10" s="827"/>
      <c r="E10" s="834"/>
      <c r="F10" s="835"/>
      <c r="G10" s="835"/>
      <c r="H10" s="835"/>
      <c r="I10" s="836"/>
      <c r="J10" s="57" t="e">
        <f>IF(AND(Riesgos!#REF!="Muy Alta",Riesgos!#REF!="Leve"),CONCATENATE("R5C",Riesgos!#REF!),"")</f>
        <v>#REF!</v>
      </c>
      <c r="K10" s="58" t="e">
        <f>IF(AND(Riesgos!#REF!="Muy Alta",Riesgos!#REF!="Leve"),CONCATENATE("R5C",Riesgos!#REF!),"")</f>
        <v>#REF!</v>
      </c>
      <c r="L10" s="60" t="e">
        <f>IF(AND(Riesgos!#REF!="Muy Alta",Riesgos!#REF!="Leve"),CONCATENATE("R5C",Riesgos!#REF!),"")</f>
        <v>#REF!</v>
      </c>
      <c r="M10" s="60" t="e">
        <f>IF(AND(Riesgos!#REF!="Muy Alta",Riesgos!#REF!="Leve"),CONCATENATE("R5C",Riesgos!#REF!),"")</f>
        <v>#REF!</v>
      </c>
      <c r="N10" s="60" t="e">
        <f>IF(AND(Riesgos!#REF!="Muy Alta",Riesgos!#REF!="Leve"),CONCATENATE("R5C",Riesgos!#REF!),"")</f>
        <v>#REF!</v>
      </c>
      <c r="O10" s="59" t="e">
        <f>IF(AND(Riesgos!#REF!="Muy Alta",Riesgos!#REF!="Leve"),CONCATENATE("R5C",Riesgos!#REF!),"")</f>
        <v>#REF!</v>
      </c>
      <c r="P10" s="57" t="e">
        <f>IF(AND(Riesgos!#REF!="Muy Alta",Riesgos!#REF!="Menor"),CONCATENATE("R5C",Riesgos!#REF!),"")</f>
        <v>#REF!</v>
      </c>
      <c r="Q10" s="58" t="e">
        <f>IF(AND(Riesgos!#REF!="Muy Alta",Riesgos!#REF!="Menor"),CONCATENATE("R5C",Riesgos!#REF!),"")</f>
        <v>#REF!</v>
      </c>
      <c r="R10" s="60" t="e">
        <f>IF(AND(Riesgos!#REF!="Muy Alta",Riesgos!#REF!="Menor"),CONCATENATE("R5C",Riesgos!#REF!),"")</f>
        <v>#REF!</v>
      </c>
      <c r="S10" s="60" t="e">
        <f>IF(AND(Riesgos!#REF!="Muy Alta",Riesgos!#REF!="Menor"),CONCATENATE("R5C",Riesgos!#REF!),"")</f>
        <v>#REF!</v>
      </c>
      <c r="T10" s="60" t="e">
        <f>IF(AND(Riesgos!#REF!="Muy Alta",Riesgos!#REF!="Menor"),CONCATENATE("R5C",Riesgos!#REF!),"")</f>
        <v>#REF!</v>
      </c>
      <c r="U10" s="59" t="e">
        <f>IF(AND(Riesgos!#REF!="Muy Alta",Riesgos!#REF!="Menor"),CONCATENATE("R5C",Riesgos!#REF!),"")</f>
        <v>#REF!</v>
      </c>
      <c r="V10" s="57" t="e">
        <f>IF(AND(Riesgos!#REF!="Muy Alta",Riesgos!#REF!="Moderado"),CONCATENATE("R5C",Riesgos!#REF!),"")</f>
        <v>#REF!</v>
      </c>
      <c r="W10" s="58" t="e">
        <f>IF(AND(Riesgos!#REF!="Muy Alta",Riesgos!#REF!="Moderado"),CONCATENATE("R5C",Riesgos!#REF!),"")</f>
        <v>#REF!</v>
      </c>
      <c r="X10" s="60" t="e">
        <f>IF(AND(Riesgos!#REF!="Muy Alta",Riesgos!#REF!="Moderado"),CONCATENATE("R5C",Riesgos!#REF!),"")</f>
        <v>#REF!</v>
      </c>
      <c r="Y10" s="60" t="e">
        <f>IF(AND(Riesgos!#REF!="Muy Alta",Riesgos!#REF!="Moderado"),CONCATENATE("R5C",Riesgos!#REF!),"")</f>
        <v>#REF!</v>
      </c>
      <c r="Z10" s="60" t="e">
        <f>IF(AND(Riesgos!#REF!="Muy Alta",Riesgos!#REF!="Moderado"),CONCATENATE("R5C",Riesgos!#REF!),"")</f>
        <v>#REF!</v>
      </c>
      <c r="AA10" s="59" t="e">
        <f>IF(AND(Riesgos!#REF!="Muy Alta",Riesgos!#REF!="Moderado"),CONCATENATE("R5C",Riesgos!#REF!),"")</f>
        <v>#REF!</v>
      </c>
      <c r="AB10" s="57" t="e">
        <f>IF(AND(Riesgos!#REF!="Muy Alta",Riesgos!#REF!="Mayor"),CONCATENATE("R5C",Riesgos!#REF!),"")</f>
        <v>#REF!</v>
      </c>
      <c r="AC10" s="58" t="e">
        <f>IF(AND(Riesgos!#REF!="Muy Alta",Riesgos!#REF!="Mayor"),CONCATENATE("R5C",Riesgos!#REF!),"")</f>
        <v>#REF!</v>
      </c>
      <c r="AD10" s="60" t="e">
        <f>IF(AND(Riesgos!#REF!="Muy Alta",Riesgos!#REF!="Mayor"),CONCATENATE("R5C",Riesgos!#REF!),"")</f>
        <v>#REF!</v>
      </c>
      <c r="AE10" s="60" t="e">
        <f>IF(AND(Riesgos!#REF!="Muy Alta",Riesgos!#REF!="Mayor"),CONCATENATE("R5C",Riesgos!#REF!),"")</f>
        <v>#REF!</v>
      </c>
      <c r="AF10" s="60" t="e">
        <f>IF(AND(Riesgos!#REF!="Muy Alta",Riesgos!#REF!="Mayor"),CONCATENATE("R5C",Riesgos!#REF!),"")</f>
        <v>#REF!</v>
      </c>
      <c r="AG10" s="59" t="e">
        <f>IF(AND(Riesgos!#REF!="Muy Alta",Riesgos!#REF!="Mayor"),CONCATENATE("R5C",Riesgos!#REF!),"")</f>
        <v>#REF!</v>
      </c>
      <c r="AH10" s="86" t="e">
        <f>IF(AND(Riesgos!#REF!="Muy Alta",Riesgos!#REF!="Catastrófico"),CONCATENATE("R5C",Riesgos!#REF!),"")</f>
        <v>#REF!</v>
      </c>
      <c r="AI10" s="87" t="e">
        <f>IF(AND(Riesgos!#REF!="Muy Alta",Riesgos!#REF!="Catastrófico"),CONCATENATE("R5C",Riesgos!#REF!),"")</f>
        <v>#REF!</v>
      </c>
      <c r="AJ10" s="87" t="e">
        <f>IF(AND(Riesgos!#REF!="Muy Alta",Riesgos!#REF!="Catastrófico"),CONCATENATE("R5C",Riesgos!#REF!),"")</f>
        <v>#REF!</v>
      </c>
      <c r="AK10" s="87" t="e">
        <f>IF(AND(Riesgos!#REF!="Muy Alta",Riesgos!#REF!="Catastrófico"),CONCATENATE("R5C",Riesgos!#REF!),"")</f>
        <v>#REF!</v>
      </c>
      <c r="AL10" s="87" t="e">
        <f>IF(AND(Riesgos!#REF!="Muy Alta",Riesgos!#REF!="Catastrófico"),CONCATENATE("R5C",Riesgos!#REF!),"")</f>
        <v>#REF!</v>
      </c>
      <c r="AM10" s="88" t="e">
        <f>IF(AND(Riesgos!#REF!="Muy Alta",Riesgos!#REF!="Catastrófico"),CONCATENATE("R5C",Riesgos!#REF!),"")</f>
        <v>#REF!</v>
      </c>
      <c r="AN10" s="18"/>
      <c r="AO10" s="855"/>
      <c r="AP10" s="856"/>
      <c r="AQ10" s="856"/>
      <c r="AR10" s="856"/>
      <c r="AS10" s="856"/>
      <c r="AT10" s="857"/>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row>
    <row r="11" spans="1:91" ht="15" customHeight="1">
      <c r="A11" s="18"/>
      <c r="B11" s="826"/>
      <c r="C11" s="826"/>
      <c r="D11" s="827"/>
      <c r="E11" s="834"/>
      <c r="F11" s="835"/>
      <c r="G11" s="835"/>
      <c r="H11" s="835"/>
      <c r="I11" s="836"/>
      <c r="J11" s="57" t="e">
        <f>IF(AND(Riesgos!#REF!="Muy Alta",Riesgos!#REF!="Leve"),CONCATENATE("R6C",Riesgos!#REF!),"")</f>
        <v>#REF!</v>
      </c>
      <c r="K11" s="58" t="e">
        <f>IF(AND(Riesgos!#REF!="Muy Alta",Riesgos!#REF!="Leve"),CONCATENATE("R6C",Riesgos!#REF!),"")</f>
        <v>#REF!</v>
      </c>
      <c r="L11" s="60" t="e">
        <f>IF(AND(Riesgos!#REF!="Muy Alta",Riesgos!#REF!="Leve"),CONCATENATE("R6C",Riesgos!#REF!),"")</f>
        <v>#REF!</v>
      </c>
      <c r="M11" s="60" t="e">
        <f>IF(AND(Riesgos!#REF!="Muy Alta",Riesgos!#REF!="Leve"),CONCATENATE("R6C",Riesgos!#REF!),"")</f>
        <v>#REF!</v>
      </c>
      <c r="N11" s="60" t="e">
        <f>IF(AND(Riesgos!#REF!="Muy Alta",Riesgos!#REF!="Leve"),CONCATENATE("R6C",Riesgos!#REF!),"")</f>
        <v>#REF!</v>
      </c>
      <c r="O11" s="59" t="e">
        <f>IF(AND(Riesgos!#REF!="Muy Alta",Riesgos!#REF!="Leve"),CONCATENATE("R6C",Riesgos!#REF!),"")</f>
        <v>#REF!</v>
      </c>
      <c r="P11" s="57" t="e">
        <f>IF(AND(Riesgos!#REF!="Muy Alta",Riesgos!#REF!="Menor"),CONCATENATE("R6C",Riesgos!#REF!),"")</f>
        <v>#REF!</v>
      </c>
      <c r="Q11" s="58" t="e">
        <f>IF(AND(Riesgos!#REF!="Muy Alta",Riesgos!#REF!="Menor"),CONCATENATE("R6C",Riesgos!#REF!),"")</f>
        <v>#REF!</v>
      </c>
      <c r="R11" s="60" t="e">
        <f>IF(AND(Riesgos!#REF!="Muy Alta",Riesgos!#REF!="Menor"),CONCATENATE("R6C",Riesgos!#REF!),"")</f>
        <v>#REF!</v>
      </c>
      <c r="S11" s="60" t="e">
        <f>IF(AND(Riesgos!#REF!="Muy Alta",Riesgos!#REF!="Menor"),CONCATENATE("R6C",Riesgos!#REF!),"")</f>
        <v>#REF!</v>
      </c>
      <c r="T11" s="60" t="e">
        <f>IF(AND(Riesgos!#REF!="Muy Alta",Riesgos!#REF!="Menor"),CONCATENATE("R6C",Riesgos!#REF!),"")</f>
        <v>#REF!</v>
      </c>
      <c r="U11" s="59" t="e">
        <f>IF(AND(Riesgos!#REF!="Muy Alta",Riesgos!#REF!="Menor"),CONCATENATE("R6C",Riesgos!#REF!),"")</f>
        <v>#REF!</v>
      </c>
      <c r="V11" s="57" t="e">
        <f>IF(AND(Riesgos!#REF!="Muy Alta",Riesgos!#REF!="Moderado"),CONCATENATE("R6C",Riesgos!#REF!),"")</f>
        <v>#REF!</v>
      </c>
      <c r="W11" s="58" t="e">
        <f>IF(AND(Riesgos!#REF!="Muy Alta",Riesgos!#REF!="Moderado"),CONCATENATE("R6C",Riesgos!#REF!),"")</f>
        <v>#REF!</v>
      </c>
      <c r="X11" s="60" t="e">
        <f>IF(AND(Riesgos!#REF!="Muy Alta",Riesgos!#REF!="Moderado"),CONCATENATE("R6C",Riesgos!#REF!),"")</f>
        <v>#REF!</v>
      </c>
      <c r="Y11" s="60" t="e">
        <f>IF(AND(Riesgos!#REF!="Muy Alta",Riesgos!#REF!="Moderado"),CONCATENATE("R6C",Riesgos!#REF!),"")</f>
        <v>#REF!</v>
      </c>
      <c r="Z11" s="60" t="e">
        <f>IF(AND(Riesgos!#REF!="Muy Alta",Riesgos!#REF!="Moderado"),CONCATENATE("R6C",Riesgos!#REF!),"")</f>
        <v>#REF!</v>
      </c>
      <c r="AA11" s="59" t="e">
        <f>IF(AND(Riesgos!#REF!="Muy Alta",Riesgos!#REF!="Moderado"),CONCATENATE("R6C",Riesgos!#REF!),"")</f>
        <v>#REF!</v>
      </c>
      <c r="AB11" s="57" t="e">
        <f>IF(AND(Riesgos!#REF!="Muy Alta",Riesgos!#REF!="Mayor"),CONCATENATE("R6C",Riesgos!#REF!),"")</f>
        <v>#REF!</v>
      </c>
      <c r="AC11" s="58" t="e">
        <f>IF(AND(Riesgos!#REF!="Muy Alta",Riesgos!#REF!="Mayor"),CONCATENATE("R6C",Riesgos!#REF!),"")</f>
        <v>#REF!</v>
      </c>
      <c r="AD11" s="60" t="e">
        <f>IF(AND(Riesgos!#REF!="Muy Alta",Riesgos!#REF!="Mayor"),CONCATENATE("R6C",Riesgos!#REF!),"")</f>
        <v>#REF!</v>
      </c>
      <c r="AE11" s="60" t="e">
        <f>IF(AND(Riesgos!#REF!="Muy Alta",Riesgos!#REF!="Mayor"),CONCATENATE("R6C",Riesgos!#REF!),"")</f>
        <v>#REF!</v>
      </c>
      <c r="AF11" s="60" t="e">
        <f>IF(AND(Riesgos!#REF!="Muy Alta",Riesgos!#REF!="Mayor"),CONCATENATE("R6C",Riesgos!#REF!),"")</f>
        <v>#REF!</v>
      </c>
      <c r="AG11" s="59" t="e">
        <f>IF(AND(Riesgos!#REF!="Muy Alta",Riesgos!#REF!="Mayor"),CONCATENATE("R6C",Riesgos!#REF!),"")</f>
        <v>#REF!</v>
      </c>
      <c r="AH11" s="86" t="e">
        <f>IF(AND(Riesgos!#REF!="Muy Alta",Riesgos!#REF!="Catastrófico"),CONCATENATE("R6C",Riesgos!#REF!),"")</f>
        <v>#REF!</v>
      </c>
      <c r="AI11" s="87" t="e">
        <f>IF(AND(Riesgos!#REF!="Muy Alta",Riesgos!#REF!="Catastrófico"),CONCATENATE("R6C",Riesgos!#REF!),"")</f>
        <v>#REF!</v>
      </c>
      <c r="AJ11" s="87" t="e">
        <f>IF(AND(Riesgos!#REF!="Muy Alta",Riesgos!#REF!="Catastrófico"),CONCATENATE("R6C",Riesgos!#REF!),"")</f>
        <v>#REF!</v>
      </c>
      <c r="AK11" s="87" t="e">
        <f>IF(AND(Riesgos!#REF!="Muy Alta",Riesgos!#REF!="Catastrófico"),CONCATENATE("R6C",Riesgos!#REF!),"")</f>
        <v>#REF!</v>
      </c>
      <c r="AL11" s="87" t="e">
        <f>IF(AND(Riesgos!#REF!="Muy Alta",Riesgos!#REF!="Catastrófico"),CONCATENATE("R6C",Riesgos!#REF!),"")</f>
        <v>#REF!</v>
      </c>
      <c r="AM11" s="88" t="e">
        <f>IF(AND(Riesgos!#REF!="Muy Alta",Riesgos!#REF!="Catastrófico"),CONCATENATE("R6C",Riesgos!#REF!),"")</f>
        <v>#REF!</v>
      </c>
      <c r="AN11" s="18"/>
      <c r="AO11" s="855"/>
      <c r="AP11" s="856"/>
      <c r="AQ11" s="856"/>
      <c r="AR11" s="856"/>
      <c r="AS11" s="856"/>
      <c r="AT11" s="857"/>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row>
    <row r="12" spans="1:91" ht="15" customHeight="1">
      <c r="A12" s="18"/>
      <c r="B12" s="826"/>
      <c r="C12" s="826"/>
      <c r="D12" s="827"/>
      <c r="E12" s="834"/>
      <c r="F12" s="835"/>
      <c r="G12" s="835"/>
      <c r="H12" s="835"/>
      <c r="I12" s="836"/>
      <c r="J12" s="57" t="e">
        <f>IF(AND(Riesgos!#REF!="Muy Alta",Riesgos!#REF!="Leve"),CONCATENATE("R7C",Riesgos!#REF!),"")</f>
        <v>#REF!</v>
      </c>
      <c r="K12" s="58" t="e">
        <f>IF(AND(Riesgos!#REF!="Muy Alta",Riesgos!#REF!="Leve"),CONCATENATE("R7C",Riesgos!#REF!),"")</f>
        <v>#REF!</v>
      </c>
      <c r="L12" s="60" t="e">
        <f>IF(AND(Riesgos!#REF!="Muy Alta",Riesgos!#REF!="Leve"),CONCATENATE("R7C",Riesgos!#REF!),"")</f>
        <v>#REF!</v>
      </c>
      <c r="M12" s="60" t="e">
        <f>IF(AND(Riesgos!#REF!="Muy Alta",Riesgos!#REF!="Leve"),CONCATENATE("R7C",Riesgos!#REF!),"")</f>
        <v>#REF!</v>
      </c>
      <c r="N12" s="60" t="e">
        <f>IF(AND(Riesgos!#REF!="Muy Alta",Riesgos!#REF!="Leve"),CONCATENATE("R7C",Riesgos!#REF!),"")</f>
        <v>#REF!</v>
      </c>
      <c r="O12" s="59" t="e">
        <f>IF(AND(Riesgos!#REF!="Muy Alta",Riesgos!#REF!="Leve"),CONCATENATE("R7C",Riesgos!#REF!),"")</f>
        <v>#REF!</v>
      </c>
      <c r="P12" s="57" t="e">
        <f>IF(AND(Riesgos!#REF!="Muy Alta",Riesgos!#REF!="Menor"),CONCATENATE("R7C",Riesgos!#REF!),"")</f>
        <v>#REF!</v>
      </c>
      <c r="Q12" s="58" t="e">
        <f>IF(AND(Riesgos!#REF!="Muy Alta",Riesgos!#REF!="Menor"),CONCATENATE("R7C",Riesgos!#REF!),"")</f>
        <v>#REF!</v>
      </c>
      <c r="R12" s="60" t="e">
        <f>IF(AND(Riesgos!#REF!="Muy Alta",Riesgos!#REF!="Menor"),CONCATENATE("R7C",Riesgos!#REF!),"")</f>
        <v>#REF!</v>
      </c>
      <c r="S12" s="60" t="e">
        <f>IF(AND(Riesgos!#REF!="Muy Alta",Riesgos!#REF!="Menor"),CONCATENATE("R7C",Riesgos!#REF!),"")</f>
        <v>#REF!</v>
      </c>
      <c r="T12" s="60" t="e">
        <f>IF(AND(Riesgos!#REF!="Muy Alta",Riesgos!#REF!="Menor"),CONCATENATE("R7C",Riesgos!#REF!),"")</f>
        <v>#REF!</v>
      </c>
      <c r="U12" s="59" t="e">
        <f>IF(AND(Riesgos!#REF!="Muy Alta",Riesgos!#REF!="Menor"),CONCATENATE("R7C",Riesgos!#REF!),"")</f>
        <v>#REF!</v>
      </c>
      <c r="V12" s="57" t="e">
        <f>IF(AND(Riesgos!#REF!="Muy Alta",Riesgos!#REF!="Moderado"),CONCATENATE("R7C",Riesgos!#REF!),"")</f>
        <v>#REF!</v>
      </c>
      <c r="W12" s="58" t="e">
        <f>IF(AND(Riesgos!#REF!="Muy Alta",Riesgos!#REF!="Moderado"),CONCATENATE("R7C",Riesgos!#REF!),"")</f>
        <v>#REF!</v>
      </c>
      <c r="X12" s="60" t="e">
        <f>IF(AND(Riesgos!#REF!="Muy Alta",Riesgos!#REF!="Moderado"),CONCATENATE("R7C",Riesgos!#REF!),"")</f>
        <v>#REF!</v>
      </c>
      <c r="Y12" s="60" t="e">
        <f>IF(AND(Riesgos!#REF!="Muy Alta",Riesgos!#REF!="Moderado"),CONCATENATE("R7C",Riesgos!#REF!),"")</f>
        <v>#REF!</v>
      </c>
      <c r="Z12" s="60" t="e">
        <f>IF(AND(Riesgos!#REF!="Muy Alta",Riesgos!#REF!="Moderado"),CONCATENATE("R7C",Riesgos!#REF!),"")</f>
        <v>#REF!</v>
      </c>
      <c r="AA12" s="59" t="e">
        <f>IF(AND(Riesgos!#REF!="Muy Alta",Riesgos!#REF!="Moderado"),CONCATENATE("R7C",Riesgos!#REF!),"")</f>
        <v>#REF!</v>
      </c>
      <c r="AB12" s="57" t="e">
        <f>IF(AND(Riesgos!#REF!="Muy Alta",Riesgos!#REF!="Mayor"),CONCATENATE("R7C",Riesgos!#REF!),"")</f>
        <v>#REF!</v>
      </c>
      <c r="AC12" s="58" t="e">
        <f>IF(AND(Riesgos!#REF!="Muy Alta",Riesgos!#REF!="Mayor"),CONCATENATE("R7C",Riesgos!#REF!),"")</f>
        <v>#REF!</v>
      </c>
      <c r="AD12" s="60" t="e">
        <f>IF(AND(Riesgos!#REF!="Muy Alta",Riesgos!#REF!="Mayor"),CONCATENATE("R7C",Riesgos!#REF!),"")</f>
        <v>#REF!</v>
      </c>
      <c r="AE12" s="60" t="e">
        <f>IF(AND(Riesgos!#REF!="Muy Alta",Riesgos!#REF!="Mayor"),CONCATENATE("R7C",Riesgos!#REF!),"")</f>
        <v>#REF!</v>
      </c>
      <c r="AF12" s="60" t="e">
        <f>IF(AND(Riesgos!#REF!="Muy Alta",Riesgos!#REF!="Mayor"),CONCATENATE("R7C",Riesgos!#REF!),"")</f>
        <v>#REF!</v>
      </c>
      <c r="AG12" s="59" t="e">
        <f>IF(AND(Riesgos!#REF!="Muy Alta",Riesgos!#REF!="Mayor"),CONCATENATE("R7C",Riesgos!#REF!),"")</f>
        <v>#REF!</v>
      </c>
      <c r="AH12" s="86" t="e">
        <f>IF(AND(Riesgos!#REF!="Muy Alta",Riesgos!#REF!="Catastrófico"),CONCATENATE("R7C",Riesgos!#REF!),"")</f>
        <v>#REF!</v>
      </c>
      <c r="AI12" s="87" t="e">
        <f>IF(AND(Riesgos!#REF!="Muy Alta",Riesgos!#REF!="Catastrófico"),CONCATENATE("R7C",Riesgos!#REF!),"")</f>
        <v>#REF!</v>
      </c>
      <c r="AJ12" s="87" t="e">
        <f>IF(AND(Riesgos!#REF!="Muy Alta",Riesgos!#REF!="Catastrófico"),CONCATENATE("R7C",Riesgos!#REF!),"")</f>
        <v>#REF!</v>
      </c>
      <c r="AK12" s="87" t="e">
        <f>IF(AND(Riesgos!#REF!="Muy Alta",Riesgos!#REF!="Catastrófico"),CONCATENATE("R7C",Riesgos!#REF!),"")</f>
        <v>#REF!</v>
      </c>
      <c r="AL12" s="87" t="e">
        <f>IF(AND(Riesgos!#REF!="Muy Alta",Riesgos!#REF!="Catastrófico"),CONCATENATE("R7C",Riesgos!#REF!),"")</f>
        <v>#REF!</v>
      </c>
      <c r="AM12" s="88" t="e">
        <f>IF(AND(Riesgos!#REF!="Muy Alta",Riesgos!#REF!="Catastrófico"),CONCATENATE("R7C",Riesgos!#REF!),"")</f>
        <v>#REF!</v>
      </c>
      <c r="AN12" s="18"/>
      <c r="AO12" s="855"/>
      <c r="AP12" s="856"/>
      <c r="AQ12" s="856"/>
      <c r="AR12" s="856"/>
      <c r="AS12" s="856"/>
      <c r="AT12" s="857"/>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row>
    <row r="13" spans="1:91" ht="15" customHeight="1">
      <c r="A13" s="18"/>
      <c r="B13" s="826"/>
      <c r="C13" s="826"/>
      <c r="D13" s="827"/>
      <c r="E13" s="834"/>
      <c r="F13" s="835"/>
      <c r="G13" s="835"/>
      <c r="H13" s="835"/>
      <c r="I13" s="836"/>
      <c r="J13" s="57" t="e">
        <f>IF(AND(Riesgos!#REF!="Muy Alta",Riesgos!#REF!="Leve"),CONCATENATE("R8C",Riesgos!#REF!),"")</f>
        <v>#REF!</v>
      </c>
      <c r="K13" s="58" t="e">
        <f>IF(AND(Riesgos!#REF!="Muy Alta",Riesgos!#REF!="Leve"),CONCATENATE("R8C",Riesgos!#REF!),"")</f>
        <v>#REF!</v>
      </c>
      <c r="L13" s="60" t="e">
        <f>IF(AND(Riesgos!#REF!="Muy Alta",Riesgos!#REF!="Leve"),CONCATENATE("R8C",Riesgos!#REF!),"")</f>
        <v>#REF!</v>
      </c>
      <c r="M13" s="60" t="e">
        <f>IF(AND(Riesgos!#REF!="Muy Alta",Riesgos!#REF!="Leve"),CONCATENATE("R8C",Riesgos!#REF!),"")</f>
        <v>#REF!</v>
      </c>
      <c r="N13" s="60" t="e">
        <f>IF(AND(Riesgos!#REF!="Muy Alta",Riesgos!#REF!="Leve"),CONCATENATE("R8C",Riesgos!#REF!),"")</f>
        <v>#REF!</v>
      </c>
      <c r="O13" s="59" t="e">
        <f>IF(AND(Riesgos!#REF!="Muy Alta",Riesgos!#REF!="Leve"),CONCATENATE("R8C",Riesgos!#REF!),"")</f>
        <v>#REF!</v>
      </c>
      <c r="P13" s="57" t="e">
        <f>IF(AND(Riesgos!#REF!="Muy Alta",Riesgos!#REF!="Menor"),CONCATENATE("R8C",Riesgos!#REF!),"")</f>
        <v>#REF!</v>
      </c>
      <c r="Q13" s="58" t="e">
        <f>IF(AND(Riesgos!#REF!="Muy Alta",Riesgos!#REF!="Menor"),CONCATENATE("R8C",Riesgos!#REF!),"")</f>
        <v>#REF!</v>
      </c>
      <c r="R13" s="60" t="e">
        <f>IF(AND(Riesgos!#REF!="Muy Alta",Riesgos!#REF!="Menor"),CONCATENATE("R8C",Riesgos!#REF!),"")</f>
        <v>#REF!</v>
      </c>
      <c r="S13" s="60" t="e">
        <f>IF(AND(Riesgos!#REF!="Muy Alta",Riesgos!#REF!="Menor"),CONCATENATE("R8C",Riesgos!#REF!),"")</f>
        <v>#REF!</v>
      </c>
      <c r="T13" s="60" t="e">
        <f>IF(AND(Riesgos!#REF!="Muy Alta",Riesgos!#REF!="Menor"),CONCATENATE("R8C",Riesgos!#REF!),"")</f>
        <v>#REF!</v>
      </c>
      <c r="U13" s="59" t="e">
        <f>IF(AND(Riesgos!#REF!="Muy Alta",Riesgos!#REF!="Menor"),CONCATENATE("R8C",Riesgos!#REF!),"")</f>
        <v>#REF!</v>
      </c>
      <c r="V13" s="57" t="e">
        <f>IF(AND(Riesgos!#REF!="Muy Alta",Riesgos!#REF!="Moderado"),CONCATENATE("R8C",Riesgos!#REF!),"")</f>
        <v>#REF!</v>
      </c>
      <c r="W13" s="58" t="e">
        <f>IF(AND(Riesgos!#REF!="Muy Alta",Riesgos!#REF!="Moderado"),CONCATENATE("R8C",Riesgos!#REF!),"")</f>
        <v>#REF!</v>
      </c>
      <c r="X13" s="60" t="e">
        <f>IF(AND(Riesgos!#REF!="Muy Alta",Riesgos!#REF!="Moderado"),CONCATENATE("R8C",Riesgos!#REF!),"")</f>
        <v>#REF!</v>
      </c>
      <c r="Y13" s="60" t="e">
        <f>IF(AND(Riesgos!#REF!="Muy Alta",Riesgos!#REF!="Moderado"),CONCATENATE("R8C",Riesgos!#REF!),"")</f>
        <v>#REF!</v>
      </c>
      <c r="Z13" s="60" t="e">
        <f>IF(AND(Riesgos!#REF!="Muy Alta",Riesgos!#REF!="Moderado"),CONCATENATE("R8C",Riesgos!#REF!),"")</f>
        <v>#REF!</v>
      </c>
      <c r="AA13" s="59" t="e">
        <f>IF(AND(Riesgos!#REF!="Muy Alta",Riesgos!#REF!="Moderado"),CONCATENATE("R8C",Riesgos!#REF!),"")</f>
        <v>#REF!</v>
      </c>
      <c r="AB13" s="57" t="e">
        <f>IF(AND(Riesgos!#REF!="Muy Alta",Riesgos!#REF!="Mayor"),CONCATENATE("R8C",Riesgos!#REF!),"")</f>
        <v>#REF!</v>
      </c>
      <c r="AC13" s="58" t="e">
        <f>IF(AND(Riesgos!#REF!="Muy Alta",Riesgos!#REF!="Mayor"),CONCATENATE("R8C",Riesgos!#REF!),"")</f>
        <v>#REF!</v>
      </c>
      <c r="AD13" s="60" t="e">
        <f>IF(AND(Riesgos!#REF!="Muy Alta",Riesgos!#REF!="Mayor"),CONCATENATE("R8C",Riesgos!#REF!),"")</f>
        <v>#REF!</v>
      </c>
      <c r="AE13" s="60" t="e">
        <f>IF(AND(Riesgos!#REF!="Muy Alta",Riesgos!#REF!="Mayor"),CONCATENATE("R8C",Riesgos!#REF!),"")</f>
        <v>#REF!</v>
      </c>
      <c r="AF13" s="60" t="e">
        <f>IF(AND(Riesgos!#REF!="Muy Alta",Riesgos!#REF!="Mayor"),CONCATENATE("R8C",Riesgos!#REF!),"")</f>
        <v>#REF!</v>
      </c>
      <c r="AG13" s="59" t="e">
        <f>IF(AND(Riesgos!#REF!="Muy Alta",Riesgos!#REF!="Mayor"),CONCATENATE("R8C",Riesgos!#REF!),"")</f>
        <v>#REF!</v>
      </c>
      <c r="AH13" s="86" t="e">
        <f>IF(AND(Riesgos!#REF!="Muy Alta",Riesgos!#REF!="Catastrófico"),CONCATENATE("R8C",Riesgos!#REF!),"")</f>
        <v>#REF!</v>
      </c>
      <c r="AI13" s="87" t="e">
        <f>IF(AND(Riesgos!#REF!="Muy Alta",Riesgos!#REF!="Catastrófico"),CONCATENATE("R8C",Riesgos!#REF!),"")</f>
        <v>#REF!</v>
      </c>
      <c r="AJ13" s="87" t="e">
        <f>IF(AND(Riesgos!#REF!="Muy Alta",Riesgos!#REF!="Catastrófico"),CONCATENATE("R8C",Riesgos!#REF!),"")</f>
        <v>#REF!</v>
      </c>
      <c r="AK13" s="87" t="e">
        <f>IF(AND(Riesgos!#REF!="Muy Alta",Riesgos!#REF!="Catastrófico"),CONCATENATE("R8C",Riesgos!#REF!),"")</f>
        <v>#REF!</v>
      </c>
      <c r="AL13" s="87" t="e">
        <f>IF(AND(Riesgos!#REF!="Muy Alta",Riesgos!#REF!="Catastrófico"),CONCATENATE("R8C",Riesgos!#REF!),"")</f>
        <v>#REF!</v>
      </c>
      <c r="AM13" s="88" t="e">
        <f>IF(AND(Riesgos!#REF!="Muy Alta",Riesgos!#REF!="Catastrófico"),CONCATENATE("R8C",Riesgos!#REF!),"")</f>
        <v>#REF!</v>
      </c>
      <c r="AN13" s="18"/>
      <c r="AO13" s="855"/>
      <c r="AP13" s="856"/>
      <c r="AQ13" s="856"/>
      <c r="AR13" s="856"/>
      <c r="AS13" s="856"/>
      <c r="AT13" s="857"/>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row>
    <row r="14" spans="1:91" ht="15" customHeight="1">
      <c r="A14" s="18"/>
      <c r="B14" s="826"/>
      <c r="C14" s="826"/>
      <c r="D14" s="827"/>
      <c r="E14" s="834"/>
      <c r="F14" s="835"/>
      <c r="G14" s="835"/>
      <c r="H14" s="835"/>
      <c r="I14" s="836"/>
      <c r="J14" s="57" t="e">
        <f>IF(AND(Riesgos!#REF!="Muy Alta",Riesgos!#REF!="Leve"),CONCATENATE("R9C",Riesgos!#REF!),"")</f>
        <v>#REF!</v>
      </c>
      <c r="K14" s="58" t="e">
        <f>IF(AND(Riesgos!#REF!="Muy Alta",Riesgos!#REF!="Leve"),CONCATENATE("R9C",Riesgos!#REF!),"")</f>
        <v>#REF!</v>
      </c>
      <c r="L14" s="60" t="e">
        <f>IF(AND(Riesgos!#REF!="Muy Alta",Riesgos!#REF!="Leve"),CONCATENATE("R9C",Riesgos!#REF!),"")</f>
        <v>#REF!</v>
      </c>
      <c r="M14" s="60" t="e">
        <f>IF(AND(Riesgos!#REF!="Muy Alta",Riesgos!#REF!="Leve"),CONCATENATE("R9C",Riesgos!#REF!),"")</f>
        <v>#REF!</v>
      </c>
      <c r="N14" s="60" t="e">
        <f>IF(AND(Riesgos!#REF!="Muy Alta",Riesgos!#REF!="Leve"),CONCATENATE("R9C",Riesgos!#REF!),"")</f>
        <v>#REF!</v>
      </c>
      <c r="O14" s="59" t="e">
        <f>IF(AND(Riesgos!#REF!="Muy Alta",Riesgos!#REF!="Leve"),CONCATENATE("R9C",Riesgos!#REF!),"")</f>
        <v>#REF!</v>
      </c>
      <c r="P14" s="57" t="e">
        <f>IF(AND(Riesgos!#REF!="Muy Alta",Riesgos!#REF!="Menor"),CONCATENATE("R9C",Riesgos!#REF!),"")</f>
        <v>#REF!</v>
      </c>
      <c r="Q14" s="58" t="e">
        <f>IF(AND(Riesgos!#REF!="Muy Alta",Riesgos!#REF!="Menor"),CONCATENATE("R9C",Riesgos!#REF!),"")</f>
        <v>#REF!</v>
      </c>
      <c r="R14" s="60" t="e">
        <f>IF(AND(Riesgos!#REF!="Muy Alta",Riesgos!#REF!="Menor"),CONCATENATE("R9C",Riesgos!#REF!),"")</f>
        <v>#REF!</v>
      </c>
      <c r="S14" s="60" t="e">
        <f>IF(AND(Riesgos!#REF!="Muy Alta",Riesgos!#REF!="Menor"),CONCATENATE("R9C",Riesgos!#REF!),"")</f>
        <v>#REF!</v>
      </c>
      <c r="T14" s="60" t="e">
        <f>IF(AND(Riesgos!#REF!="Muy Alta",Riesgos!#REF!="Menor"),CONCATENATE("R9C",Riesgos!#REF!),"")</f>
        <v>#REF!</v>
      </c>
      <c r="U14" s="59" t="e">
        <f>IF(AND(Riesgos!#REF!="Muy Alta",Riesgos!#REF!="Menor"),CONCATENATE("R9C",Riesgos!#REF!),"")</f>
        <v>#REF!</v>
      </c>
      <c r="V14" s="57" t="e">
        <f>IF(AND(Riesgos!#REF!="Muy Alta",Riesgos!#REF!="Moderado"),CONCATENATE("R9C",Riesgos!#REF!),"")</f>
        <v>#REF!</v>
      </c>
      <c r="W14" s="58" t="e">
        <f>IF(AND(Riesgos!#REF!="Muy Alta",Riesgos!#REF!="Moderado"),CONCATENATE("R9C",Riesgos!#REF!),"")</f>
        <v>#REF!</v>
      </c>
      <c r="X14" s="60" t="e">
        <f>IF(AND(Riesgos!#REF!="Muy Alta",Riesgos!#REF!="Moderado"),CONCATENATE("R9C",Riesgos!#REF!),"")</f>
        <v>#REF!</v>
      </c>
      <c r="Y14" s="60" t="e">
        <f>IF(AND(Riesgos!#REF!="Muy Alta",Riesgos!#REF!="Moderado"),CONCATENATE("R9C",Riesgos!#REF!),"")</f>
        <v>#REF!</v>
      </c>
      <c r="Z14" s="60" t="e">
        <f>IF(AND(Riesgos!#REF!="Muy Alta",Riesgos!#REF!="Moderado"),CONCATENATE("R9C",Riesgos!#REF!),"")</f>
        <v>#REF!</v>
      </c>
      <c r="AA14" s="59" t="e">
        <f>IF(AND(Riesgos!#REF!="Muy Alta",Riesgos!#REF!="Moderado"),CONCATENATE("R9C",Riesgos!#REF!),"")</f>
        <v>#REF!</v>
      </c>
      <c r="AB14" s="57" t="e">
        <f>IF(AND(Riesgos!#REF!="Muy Alta",Riesgos!#REF!="Mayor"),CONCATENATE("R9C",Riesgos!#REF!),"")</f>
        <v>#REF!</v>
      </c>
      <c r="AC14" s="58" t="e">
        <f>IF(AND(Riesgos!#REF!="Muy Alta",Riesgos!#REF!="Mayor"),CONCATENATE("R9C",Riesgos!#REF!),"")</f>
        <v>#REF!</v>
      </c>
      <c r="AD14" s="60" t="e">
        <f>IF(AND(Riesgos!#REF!="Muy Alta",Riesgos!#REF!="Mayor"),CONCATENATE("R9C",Riesgos!#REF!),"")</f>
        <v>#REF!</v>
      </c>
      <c r="AE14" s="60" t="e">
        <f>IF(AND(Riesgos!#REF!="Muy Alta",Riesgos!#REF!="Mayor"),CONCATENATE("R9C",Riesgos!#REF!),"")</f>
        <v>#REF!</v>
      </c>
      <c r="AF14" s="60" t="e">
        <f>IF(AND(Riesgos!#REF!="Muy Alta",Riesgos!#REF!="Mayor"),CONCATENATE("R9C",Riesgos!#REF!),"")</f>
        <v>#REF!</v>
      </c>
      <c r="AG14" s="59" t="e">
        <f>IF(AND(Riesgos!#REF!="Muy Alta",Riesgos!#REF!="Mayor"),CONCATENATE("R9C",Riesgos!#REF!),"")</f>
        <v>#REF!</v>
      </c>
      <c r="AH14" s="86" t="e">
        <f>IF(AND(Riesgos!#REF!="Muy Alta",Riesgos!#REF!="Catastrófico"),CONCATENATE("R9C",Riesgos!#REF!),"")</f>
        <v>#REF!</v>
      </c>
      <c r="AI14" s="87" t="e">
        <f>IF(AND(Riesgos!#REF!="Muy Alta",Riesgos!#REF!="Catastrófico"),CONCATENATE("R9C",Riesgos!#REF!),"")</f>
        <v>#REF!</v>
      </c>
      <c r="AJ14" s="87" t="e">
        <f>IF(AND(Riesgos!#REF!="Muy Alta",Riesgos!#REF!="Catastrófico"),CONCATENATE("R9C",Riesgos!#REF!),"")</f>
        <v>#REF!</v>
      </c>
      <c r="AK14" s="87" t="e">
        <f>IF(AND(Riesgos!#REF!="Muy Alta",Riesgos!#REF!="Catastrófico"),CONCATENATE("R9C",Riesgos!#REF!),"")</f>
        <v>#REF!</v>
      </c>
      <c r="AL14" s="87" t="e">
        <f>IF(AND(Riesgos!#REF!="Muy Alta",Riesgos!#REF!="Catastrófico"),CONCATENATE("R9C",Riesgos!#REF!),"")</f>
        <v>#REF!</v>
      </c>
      <c r="AM14" s="88" t="e">
        <f>IF(AND(Riesgos!#REF!="Muy Alta",Riesgos!#REF!="Catastrófico"),CONCATENATE("R9C",Riesgos!#REF!),"")</f>
        <v>#REF!</v>
      </c>
      <c r="AN14" s="18"/>
      <c r="AO14" s="855"/>
      <c r="AP14" s="856"/>
      <c r="AQ14" s="856"/>
      <c r="AR14" s="856"/>
      <c r="AS14" s="856"/>
      <c r="AT14" s="857"/>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row>
    <row r="15" spans="1:91" ht="15.75" customHeight="1">
      <c r="A15" s="18"/>
      <c r="B15" s="826"/>
      <c r="C15" s="826"/>
      <c r="D15" s="827"/>
      <c r="E15" s="837"/>
      <c r="F15" s="838"/>
      <c r="G15" s="838"/>
      <c r="H15" s="838"/>
      <c r="I15" s="839"/>
      <c r="J15" s="61" t="e">
        <f>IF(AND(Riesgos!#REF!="Muy Alta",Riesgos!#REF!="Leve"),CONCATENATE("R10C",Riesgos!#REF!),"")</f>
        <v>#REF!</v>
      </c>
      <c r="K15" s="62" t="e">
        <f>IF(AND(Riesgos!#REF!="Muy Alta",Riesgos!#REF!="Leve"),CONCATENATE("R10C",Riesgos!#REF!),"")</f>
        <v>#REF!</v>
      </c>
      <c r="L15" s="62" t="e">
        <f>IF(AND(Riesgos!#REF!="Muy Alta",Riesgos!#REF!="Leve"),CONCATENATE("R10C",Riesgos!#REF!),"")</f>
        <v>#REF!</v>
      </c>
      <c r="M15" s="62" t="e">
        <f>IF(AND(Riesgos!#REF!="Muy Alta",Riesgos!#REF!="Leve"),CONCATENATE("R10C",Riesgos!#REF!),"")</f>
        <v>#REF!</v>
      </c>
      <c r="N15" s="62" t="e">
        <f>IF(AND(Riesgos!#REF!="Muy Alta",Riesgos!#REF!="Leve"),CONCATENATE("R10C",Riesgos!#REF!),"")</f>
        <v>#REF!</v>
      </c>
      <c r="O15" s="63" t="e">
        <f>IF(AND(Riesgos!#REF!="Muy Alta",Riesgos!#REF!="Leve"),CONCATENATE("R10C",Riesgos!#REF!),"")</f>
        <v>#REF!</v>
      </c>
      <c r="P15" s="57" t="e">
        <f>IF(AND(Riesgos!#REF!="Muy Alta",Riesgos!#REF!="Menor"),CONCATENATE("R10C",Riesgos!#REF!),"")</f>
        <v>#REF!</v>
      </c>
      <c r="Q15" s="58" t="e">
        <f>IF(AND(Riesgos!#REF!="Muy Alta",Riesgos!#REF!="Menor"),CONCATENATE("R10C",Riesgos!#REF!),"")</f>
        <v>#REF!</v>
      </c>
      <c r="R15" s="58" t="e">
        <f>IF(AND(Riesgos!#REF!="Muy Alta",Riesgos!#REF!="Menor"),CONCATENATE("R10C",Riesgos!#REF!),"")</f>
        <v>#REF!</v>
      </c>
      <c r="S15" s="58" t="e">
        <f>IF(AND(Riesgos!#REF!="Muy Alta",Riesgos!#REF!="Menor"),CONCATENATE("R10C",Riesgos!#REF!),"")</f>
        <v>#REF!</v>
      </c>
      <c r="T15" s="58" t="e">
        <f>IF(AND(Riesgos!#REF!="Muy Alta",Riesgos!#REF!="Menor"),CONCATENATE("R10C",Riesgos!#REF!),"")</f>
        <v>#REF!</v>
      </c>
      <c r="U15" s="59" t="e">
        <f>IF(AND(Riesgos!#REF!="Muy Alta",Riesgos!#REF!="Menor"),CONCATENATE("R10C",Riesgos!#REF!),"")</f>
        <v>#REF!</v>
      </c>
      <c r="V15" s="61" t="e">
        <f>IF(AND(Riesgos!#REF!="Muy Alta",Riesgos!#REF!="Moderado"),CONCATENATE("R10C",Riesgos!#REF!),"")</f>
        <v>#REF!</v>
      </c>
      <c r="W15" s="62" t="e">
        <f>IF(AND(Riesgos!#REF!="Muy Alta",Riesgos!#REF!="Moderado"),CONCATENATE("R10C",Riesgos!#REF!),"")</f>
        <v>#REF!</v>
      </c>
      <c r="X15" s="62" t="e">
        <f>IF(AND(Riesgos!#REF!="Muy Alta",Riesgos!#REF!="Moderado"),CONCATENATE("R10C",Riesgos!#REF!),"")</f>
        <v>#REF!</v>
      </c>
      <c r="Y15" s="62" t="e">
        <f>IF(AND(Riesgos!#REF!="Muy Alta",Riesgos!#REF!="Moderado"),CONCATENATE("R10C",Riesgos!#REF!),"")</f>
        <v>#REF!</v>
      </c>
      <c r="Z15" s="62" t="e">
        <f>IF(AND(Riesgos!#REF!="Muy Alta",Riesgos!#REF!="Moderado"),CONCATENATE("R10C",Riesgos!#REF!),"")</f>
        <v>#REF!</v>
      </c>
      <c r="AA15" s="63" t="e">
        <f>IF(AND(Riesgos!#REF!="Muy Alta",Riesgos!#REF!="Moderado"),CONCATENATE("R10C",Riesgos!#REF!),"")</f>
        <v>#REF!</v>
      </c>
      <c r="AB15" s="57" t="e">
        <f>IF(AND(Riesgos!#REF!="Muy Alta",Riesgos!#REF!="Mayor"),CONCATENATE("R10C",Riesgos!#REF!),"")</f>
        <v>#REF!</v>
      </c>
      <c r="AC15" s="58" t="e">
        <f>IF(AND(Riesgos!#REF!="Muy Alta",Riesgos!#REF!="Mayor"),CONCATENATE("R10C",Riesgos!#REF!),"")</f>
        <v>#REF!</v>
      </c>
      <c r="AD15" s="58" t="e">
        <f>IF(AND(Riesgos!#REF!="Muy Alta",Riesgos!#REF!="Mayor"),CONCATENATE("R10C",Riesgos!#REF!),"")</f>
        <v>#REF!</v>
      </c>
      <c r="AE15" s="58" t="e">
        <f>IF(AND(Riesgos!#REF!="Muy Alta",Riesgos!#REF!="Mayor"),CONCATENATE("R10C",Riesgos!#REF!),"")</f>
        <v>#REF!</v>
      </c>
      <c r="AF15" s="58" t="e">
        <f>IF(AND(Riesgos!#REF!="Muy Alta",Riesgos!#REF!="Mayor"),CONCATENATE("R10C",Riesgos!#REF!),"")</f>
        <v>#REF!</v>
      </c>
      <c r="AG15" s="59" t="e">
        <f>IF(AND(Riesgos!#REF!="Muy Alta",Riesgos!#REF!="Mayor"),CONCATENATE("R10C",Riesgos!#REF!),"")</f>
        <v>#REF!</v>
      </c>
      <c r="AH15" s="89" t="e">
        <f>IF(AND(Riesgos!#REF!="Muy Alta",Riesgos!#REF!="Catastrófico"),CONCATENATE("R10C",Riesgos!#REF!),"")</f>
        <v>#REF!</v>
      </c>
      <c r="AI15" s="90" t="e">
        <f>IF(AND(Riesgos!#REF!="Muy Alta",Riesgos!#REF!="Catastrófico"),CONCATENATE("R10C",Riesgos!#REF!),"")</f>
        <v>#REF!</v>
      </c>
      <c r="AJ15" s="90" t="e">
        <f>IF(AND(Riesgos!#REF!="Muy Alta",Riesgos!#REF!="Catastrófico"),CONCATENATE("R10C",Riesgos!#REF!),"")</f>
        <v>#REF!</v>
      </c>
      <c r="AK15" s="90" t="e">
        <f>IF(AND(Riesgos!#REF!="Muy Alta",Riesgos!#REF!="Catastrófico"),CONCATENATE("R10C",Riesgos!#REF!),"")</f>
        <v>#REF!</v>
      </c>
      <c r="AL15" s="90" t="e">
        <f>IF(AND(Riesgos!#REF!="Muy Alta",Riesgos!#REF!="Catastrófico"),CONCATENATE("R10C",Riesgos!#REF!),"")</f>
        <v>#REF!</v>
      </c>
      <c r="AM15" s="91" t="e">
        <f>IF(AND(Riesgos!#REF!="Muy Alta",Riesgos!#REF!="Catastrófico"),CONCATENATE("R10C",Riesgos!#REF!),"")</f>
        <v>#REF!</v>
      </c>
      <c r="AN15" s="18"/>
      <c r="AO15" s="858"/>
      <c r="AP15" s="859"/>
      <c r="AQ15" s="859"/>
      <c r="AR15" s="859"/>
      <c r="AS15" s="859"/>
      <c r="AT15" s="860"/>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row>
    <row r="16" spans="1:91" ht="15" customHeight="1">
      <c r="A16" s="18"/>
      <c r="B16" s="826"/>
      <c r="C16" s="826"/>
      <c r="D16" s="827"/>
      <c r="E16" s="831" t="s">
        <v>1530</v>
      </c>
      <c r="F16" s="832"/>
      <c r="G16" s="832"/>
      <c r="H16" s="832"/>
      <c r="I16" s="832"/>
      <c r="J16" s="64" t="e">
        <f>IF(AND(Riesgos!#REF!="Alta",Riesgos!#REF!="Leve"),CONCATENATE("R1C",Riesgos!#REF!),"")</f>
        <v>#REF!</v>
      </c>
      <c r="K16" s="65" t="e">
        <f>IF(AND(Riesgos!#REF!="Alta",Riesgos!#REF!="Leve"),CONCATENATE("R1C",Riesgos!#REF!),"")</f>
        <v>#REF!</v>
      </c>
      <c r="L16" s="65" t="e">
        <f>IF(AND(Riesgos!#REF!="Alta",Riesgos!#REF!="Leve"),CONCATENATE("R1C",Riesgos!#REF!),"")</f>
        <v>#REF!</v>
      </c>
      <c r="M16" s="65" t="e">
        <f>IF(AND(Riesgos!#REF!="Alta",Riesgos!#REF!="Leve"),CONCATENATE("R1C",Riesgos!#REF!),"")</f>
        <v>#REF!</v>
      </c>
      <c r="N16" s="65" t="e">
        <f>IF(AND(Riesgos!#REF!="Alta",Riesgos!#REF!="Leve"),CONCATENATE("R1C",Riesgos!#REF!),"")</f>
        <v>#REF!</v>
      </c>
      <c r="O16" s="66" t="e">
        <f>IF(AND(Riesgos!#REF!="Alta",Riesgos!#REF!="Leve"),CONCATENATE("R1C",Riesgos!#REF!),"")</f>
        <v>#REF!</v>
      </c>
      <c r="P16" s="64" t="e">
        <f>IF(AND(Riesgos!#REF!="Alta",Riesgos!#REF!="Menor"),CONCATENATE("R1C",Riesgos!#REF!),"")</f>
        <v>#REF!</v>
      </c>
      <c r="Q16" s="65" t="e">
        <f>IF(AND(Riesgos!#REF!="Alta",Riesgos!#REF!="Menor"),CONCATENATE("R1C",Riesgos!#REF!),"")</f>
        <v>#REF!</v>
      </c>
      <c r="R16" s="65" t="e">
        <f>IF(AND(Riesgos!#REF!="Alta",Riesgos!#REF!="Menor"),CONCATENATE("R1C",Riesgos!#REF!),"")</f>
        <v>#REF!</v>
      </c>
      <c r="S16" s="65" t="e">
        <f>IF(AND(Riesgos!#REF!="Alta",Riesgos!#REF!="Menor"),CONCATENATE("R1C",Riesgos!#REF!),"")</f>
        <v>#REF!</v>
      </c>
      <c r="T16" s="65" t="e">
        <f>IF(AND(Riesgos!#REF!="Alta",Riesgos!#REF!="Menor"),CONCATENATE("R1C",Riesgos!#REF!),"")</f>
        <v>#REF!</v>
      </c>
      <c r="U16" s="66" t="e">
        <f>IF(AND(Riesgos!#REF!="Alta",Riesgos!#REF!="Menor"),CONCATENATE("R1C",Riesgos!#REF!),"")</f>
        <v>#REF!</v>
      </c>
      <c r="V16" s="54" t="e">
        <f>IF(AND(Riesgos!#REF!="Alta",Riesgos!#REF!="Moderado"),CONCATENATE("R1C",Riesgos!#REF!),"")</f>
        <v>#REF!</v>
      </c>
      <c r="W16" s="55" t="e">
        <f>IF(AND(Riesgos!#REF!="Alta",Riesgos!#REF!="Moderado"),CONCATENATE("R1C",Riesgos!#REF!),"")</f>
        <v>#REF!</v>
      </c>
      <c r="X16" s="55" t="e">
        <f>IF(AND(Riesgos!#REF!="Alta",Riesgos!#REF!="Moderado"),CONCATENATE("R1C",Riesgos!#REF!),"")</f>
        <v>#REF!</v>
      </c>
      <c r="Y16" s="55" t="e">
        <f>IF(AND(Riesgos!#REF!="Alta",Riesgos!#REF!="Moderado"),CONCATENATE("R1C",Riesgos!#REF!),"")</f>
        <v>#REF!</v>
      </c>
      <c r="Z16" s="55" t="e">
        <f>IF(AND(Riesgos!#REF!="Alta",Riesgos!#REF!="Moderado"),CONCATENATE("R1C",Riesgos!#REF!),"")</f>
        <v>#REF!</v>
      </c>
      <c r="AA16" s="56" t="e">
        <f>IF(AND(Riesgos!#REF!="Alta",Riesgos!#REF!="Moderado"),CONCATENATE("R1C",Riesgos!#REF!),"")</f>
        <v>#REF!</v>
      </c>
      <c r="AB16" s="54" t="e">
        <f>IF(AND(Riesgos!#REF!="Alta",Riesgos!#REF!="Mayor"),CONCATENATE("R1C",Riesgos!#REF!),"")</f>
        <v>#REF!</v>
      </c>
      <c r="AC16" s="55" t="e">
        <f>IF(AND(Riesgos!#REF!="Alta",Riesgos!#REF!="Mayor"),CONCATENATE("R1C",Riesgos!#REF!),"")</f>
        <v>#REF!</v>
      </c>
      <c r="AD16" s="55" t="e">
        <f>IF(AND(Riesgos!#REF!="Alta",Riesgos!#REF!="Mayor"),CONCATENATE("R1C",Riesgos!#REF!),"")</f>
        <v>#REF!</v>
      </c>
      <c r="AE16" s="55" t="e">
        <f>IF(AND(Riesgos!#REF!="Alta",Riesgos!#REF!="Mayor"),CONCATENATE("R1C",Riesgos!#REF!),"")</f>
        <v>#REF!</v>
      </c>
      <c r="AF16" s="55" t="e">
        <f>IF(AND(Riesgos!#REF!="Alta",Riesgos!#REF!="Mayor"),CONCATENATE("R1C",Riesgos!#REF!),"")</f>
        <v>#REF!</v>
      </c>
      <c r="AG16" s="56" t="e">
        <f>IF(AND(Riesgos!#REF!="Alta",Riesgos!#REF!="Mayor"),CONCATENATE("R1C",Riesgos!#REF!),"")</f>
        <v>#REF!</v>
      </c>
      <c r="AH16" s="83" t="e">
        <f>IF(AND(Riesgos!#REF!="Alta",Riesgos!#REF!="Catastrófico"),CONCATENATE("R1C",Riesgos!#REF!),"")</f>
        <v>#REF!</v>
      </c>
      <c r="AI16" s="84" t="e">
        <f>IF(AND(Riesgos!#REF!="Alta",Riesgos!#REF!="Catastrófico"),CONCATENATE("R1C",Riesgos!#REF!),"")</f>
        <v>#REF!</v>
      </c>
      <c r="AJ16" s="84" t="e">
        <f>IF(AND(Riesgos!#REF!="Alta",Riesgos!#REF!="Catastrófico"),CONCATENATE("R1C",Riesgos!#REF!),"")</f>
        <v>#REF!</v>
      </c>
      <c r="AK16" s="84" t="e">
        <f>IF(AND(Riesgos!#REF!="Alta",Riesgos!#REF!="Catastrófico"),CONCATENATE("R1C",Riesgos!#REF!),"")</f>
        <v>#REF!</v>
      </c>
      <c r="AL16" s="84" t="e">
        <f>IF(AND(Riesgos!#REF!="Alta",Riesgos!#REF!="Catastrófico"),CONCATENATE("R1C",Riesgos!#REF!),"")</f>
        <v>#REF!</v>
      </c>
      <c r="AM16" s="85" t="e">
        <f>IF(AND(Riesgos!#REF!="Alta",Riesgos!#REF!="Catastrófico"),CONCATENATE("R1C",Riesgos!#REF!),"")</f>
        <v>#REF!</v>
      </c>
      <c r="AN16" s="18"/>
      <c r="AO16" s="841" t="s">
        <v>1469</v>
      </c>
      <c r="AP16" s="842"/>
      <c r="AQ16" s="842"/>
      <c r="AR16" s="842"/>
      <c r="AS16" s="842"/>
      <c r="AT16" s="843"/>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row>
    <row r="17" spans="1:76" ht="15" customHeight="1">
      <c r="A17" s="18"/>
      <c r="B17" s="826"/>
      <c r="C17" s="826"/>
      <c r="D17" s="827"/>
      <c r="E17" s="850"/>
      <c r="F17" s="851"/>
      <c r="G17" s="851"/>
      <c r="H17" s="851"/>
      <c r="I17" s="851"/>
      <c r="J17" s="67" t="e">
        <f>IF(AND(Riesgos!#REF!="Alta",Riesgos!#REF!="Leve"),CONCATENATE("R2C",Riesgos!#REF!),"")</f>
        <v>#REF!</v>
      </c>
      <c r="K17" s="68" t="e">
        <f>IF(AND(Riesgos!#REF!="Alta",Riesgos!#REF!="Leve"),CONCATENATE("R2C",Riesgos!#REF!),"")</f>
        <v>#REF!</v>
      </c>
      <c r="L17" s="68" t="e">
        <f>IF(AND(Riesgos!#REF!="Alta",Riesgos!#REF!="Leve"),CONCATENATE("R2C",Riesgos!#REF!),"")</f>
        <v>#REF!</v>
      </c>
      <c r="M17" s="68" t="e">
        <f>IF(AND(Riesgos!#REF!="Alta",Riesgos!#REF!="Leve"),CONCATENATE("R2C",Riesgos!#REF!),"")</f>
        <v>#REF!</v>
      </c>
      <c r="N17" s="68" t="e">
        <f>IF(AND(Riesgos!#REF!="Alta",Riesgos!#REF!="Leve"),CONCATENATE("R2C",Riesgos!#REF!),"")</f>
        <v>#REF!</v>
      </c>
      <c r="O17" s="69" t="e">
        <f>IF(AND(Riesgos!#REF!="Alta",Riesgos!#REF!="Leve"),CONCATENATE("R2C",Riesgos!#REF!),"")</f>
        <v>#REF!</v>
      </c>
      <c r="P17" s="67" t="e">
        <f>IF(AND(Riesgos!#REF!="Alta",Riesgos!#REF!="Menor"),CONCATENATE("R2C",Riesgos!#REF!),"")</f>
        <v>#REF!</v>
      </c>
      <c r="Q17" s="68" t="e">
        <f>IF(AND(Riesgos!#REF!="Alta",Riesgos!#REF!="Menor"),CONCATENATE("R2C",Riesgos!#REF!),"")</f>
        <v>#REF!</v>
      </c>
      <c r="R17" s="68" t="e">
        <f>IF(AND(Riesgos!#REF!="Alta",Riesgos!#REF!="Menor"),CONCATENATE("R2C",Riesgos!#REF!),"")</f>
        <v>#REF!</v>
      </c>
      <c r="S17" s="68" t="e">
        <f>IF(AND(Riesgos!#REF!="Alta",Riesgos!#REF!="Menor"),CONCATENATE("R2C",Riesgos!#REF!),"")</f>
        <v>#REF!</v>
      </c>
      <c r="T17" s="68" t="e">
        <f>IF(AND(Riesgos!#REF!="Alta",Riesgos!#REF!="Menor"),CONCATENATE("R2C",Riesgos!#REF!),"")</f>
        <v>#REF!</v>
      </c>
      <c r="U17" s="69" t="e">
        <f>IF(AND(Riesgos!#REF!="Alta",Riesgos!#REF!="Menor"),CONCATENATE("R2C",Riesgos!#REF!),"")</f>
        <v>#REF!</v>
      </c>
      <c r="V17" s="57" t="e">
        <f>IF(AND(Riesgos!#REF!="Alta",Riesgos!#REF!="Moderado"),CONCATENATE("R2C",Riesgos!#REF!),"")</f>
        <v>#REF!</v>
      </c>
      <c r="W17" s="58" t="e">
        <f>IF(AND(Riesgos!#REF!="Alta",Riesgos!#REF!="Moderado"),CONCATENATE("R2C",Riesgos!#REF!),"")</f>
        <v>#REF!</v>
      </c>
      <c r="X17" s="58" t="e">
        <f>IF(AND(Riesgos!#REF!="Alta",Riesgos!#REF!="Moderado"),CONCATENATE("R2C",Riesgos!#REF!),"")</f>
        <v>#REF!</v>
      </c>
      <c r="Y17" s="58" t="e">
        <f>IF(AND(Riesgos!#REF!="Alta",Riesgos!#REF!="Moderado"),CONCATENATE("R2C",Riesgos!#REF!),"")</f>
        <v>#REF!</v>
      </c>
      <c r="Z17" s="58" t="e">
        <f>IF(AND(Riesgos!#REF!="Alta",Riesgos!#REF!="Moderado"),CONCATENATE("R2C",Riesgos!#REF!),"")</f>
        <v>#REF!</v>
      </c>
      <c r="AA17" s="59" t="e">
        <f>IF(AND(Riesgos!#REF!="Alta",Riesgos!#REF!="Moderado"),CONCATENATE("R2C",Riesgos!#REF!),"")</f>
        <v>#REF!</v>
      </c>
      <c r="AB17" s="57" t="e">
        <f>IF(AND(Riesgos!#REF!="Alta",Riesgos!#REF!="Mayor"),CONCATENATE("R2C",Riesgos!#REF!),"")</f>
        <v>#REF!</v>
      </c>
      <c r="AC17" s="58" t="e">
        <f>IF(AND(Riesgos!#REF!="Alta",Riesgos!#REF!="Mayor"),CONCATENATE("R2C",Riesgos!#REF!),"")</f>
        <v>#REF!</v>
      </c>
      <c r="AD17" s="58" t="e">
        <f>IF(AND(Riesgos!#REF!="Alta",Riesgos!#REF!="Mayor"),CONCATENATE("R2C",Riesgos!#REF!),"")</f>
        <v>#REF!</v>
      </c>
      <c r="AE17" s="58" t="e">
        <f>IF(AND(Riesgos!#REF!="Alta",Riesgos!#REF!="Mayor"),CONCATENATE("R2C",Riesgos!#REF!),"")</f>
        <v>#REF!</v>
      </c>
      <c r="AF17" s="58" t="e">
        <f>IF(AND(Riesgos!#REF!="Alta",Riesgos!#REF!="Mayor"),CONCATENATE("R2C",Riesgos!#REF!),"")</f>
        <v>#REF!</v>
      </c>
      <c r="AG17" s="59" t="e">
        <f>IF(AND(Riesgos!#REF!="Alta",Riesgos!#REF!="Mayor"),CONCATENATE("R2C",Riesgos!#REF!),"")</f>
        <v>#REF!</v>
      </c>
      <c r="AH17" s="86" t="e">
        <f>IF(AND(Riesgos!#REF!="Alta",Riesgos!#REF!="Catastrófico"),CONCATENATE("R2C",Riesgos!#REF!),"")</f>
        <v>#REF!</v>
      </c>
      <c r="AI17" s="87" t="e">
        <f>IF(AND(Riesgos!#REF!="Alta",Riesgos!#REF!="Catastrófico"),CONCATENATE("R2C",Riesgos!#REF!),"")</f>
        <v>#REF!</v>
      </c>
      <c r="AJ17" s="87" t="e">
        <f>IF(AND(Riesgos!#REF!="Alta",Riesgos!#REF!="Catastrófico"),CONCATENATE("R2C",Riesgos!#REF!),"")</f>
        <v>#REF!</v>
      </c>
      <c r="AK17" s="87" t="e">
        <f>IF(AND(Riesgos!#REF!="Alta",Riesgos!#REF!="Catastrófico"),CONCATENATE("R2C",Riesgos!#REF!),"")</f>
        <v>#REF!</v>
      </c>
      <c r="AL17" s="87" t="e">
        <f>IF(AND(Riesgos!#REF!="Alta",Riesgos!#REF!="Catastrófico"),CONCATENATE("R2C",Riesgos!#REF!),"")</f>
        <v>#REF!</v>
      </c>
      <c r="AM17" s="88" t="e">
        <f>IF(AND(Riesgos!#REF!="Alta",Riesgos!#REF!="Catastrófico"),CONCATENATE("R2C",Riesgos!#REF!),"")</f>
        <v>#REF!</v>
      </c>
      <c r="AN17" s="18"/>
      <c r="AO17" s="844"/>
      <c r="AP17" s="845"/>
      <c r="AQ17" s="845"/>
      <c r="AR17" s="845"/>
      <c r="AS17" s="845"/>
      <c r="AT17" s="846"/>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row>
    <row r="18" spans="1:76" ht="15" customHeight="1">
      <c r="A18" s="18"/>
      <c r="B18" s="826"/>
      <c r="C18" s="826"/>
      <c r="D18" s="827"/>
      <c r="E18" s="834"/>
      <c r="F18" s="835"/>
      <c r="G18" s="835"/>
      <c r="H18" s="835"/>
      <c r="I18" s="851"/>
      <c r="J18" s="67" t="e">
        <f>IF(AND(Riesgos!#REF!="Alta",Riesgos!#REF!="Leve"),CONCATENATE("R3C",Riesgos!#REF!),"")</f>
        <v>#REF!</v>
      </c>
      <c r="K18" s="68" t="e">
        <f>IF(AND(Riesgos!#REF!="Alta",Riesgos!#REF!="Leve"),CONCATENATE("R3C",Riesgos!#REF!),"")</f>
        <v>#REF!</v>
      </c>
      <c r="L18" s="68" t="e">
        <f>IF(AND(Riesgos!#REF!="Alta",Riesgos!#REF!="Leve"),CONCATENATE("R3C",Riesgos!#REF!),"")</f>
        <v>#REF!</v>
      </c>
      <c r="M18" s="68" t="e">
        <f>IF(AND(Riesgos!#REF!="Alta",Riesgos!#REF!="Leve"),CONCATENATE("R3C",Riesgos!#REF!),"")</f>
        <v>#REF!</v>
      </c>
      <c r="N18" s="68" t="e">
        <f>IF(AND(Riesgos!#REF!="Alta",Riesgos!#REF!="Leve"),CONCATENATE("R3C",Riesgos!#REF!),"")</f>
        <v>#REF!</v>
      </c>
      <c r="O18" s="69" t="e">
        <f>IF(AND(Riesgos!#REF!="Alta",Riesgos!#REF!="Leve"),CONCATENATE("R3C",Riesgos!#REF!),"")</f>
        <v>#REF!</v>
      </c>
      <c r="P18" s="67" t="e">
        <f>IF(AND(Riesgos!#REF!="Alta",Riesgos!#REF!="Menor"),CONCATENATE("R3C",Riesgos!#REF!),"")</f>
        <v>#REF!</v>
      </c>
      <c r="Q18" s="68" t="e">
        <f>IF(AND(Riesgos!#REF!="Alta",Riesgos!#REF!="Menor"),CONCATENATE("R3C",Riesgos!#REF!),"")</f>
        <v>#REF!</v>
      </c>
      <c r="R18" s="68" t="e">
        <f>IF(AND(Riesgos!#REF!="Alta",Riesgos!#REF!="Menor"),CONCATENATE("R3C",Riesgos!#REF!),"")</f>
        <v>#REF!</v>
      </c>
      <c r="S18" s="68" t="e">
        <f>IF(AND(Riesgos!#REF!="Alta",Riesgos!#REF!="Menor"),CONCATENATE("R3C",Riesgos!#REF!),"")</f>
        <v>#REF!</v>
      </c>
      <c r="T18" s="68" t="e">
        <f>IF(AND(Riesgos!#REF!="Alta",Riesgos!#REF!="Menor"),CONCATENATE("R3C",Riesgos!#REF!),"")</f>
        <v>#REF!</v>
      </c>
      <c r="U18" s="69" t="e">
        <f>IF(AND(Riesgos!#REF!="Alta",Riesgos!#REF!="Menor"),CONCATENATE("R3C",Riesgos!#REF!),"")</f>
        <v>#REF!</v>
      </c>
      <c r="V18" s="57" t="e">
        <f>IF(AND(Riesgos!#REF!="Alta",Riesgos!#REF!="Moderado"),CONCATENATE("R3C",Riesgos!#REF!),"")</f>
        <v>#REF!</v>
      </c>
      <c r="W18" s="58" t="e">
        <f>IF(AND(Riesgos!#REF!="Alta",Riesgos!#REF!="Moderado"),CONCATENATE("R3C",Riesgos!#REF!),"")</f>
        <v>#REF!</v>
      </c>
      <c r="X18" s="58" t="e">
        <f>IF(AND(Riesgos!#REF!="Alta",Riesgos!#REF!="Moderado"),CONCATENATE("R3C",Riesgos!#REF!),"")</f>
        <v>#REF!</v>
      </c>
      <c r="Y18" s="58" t="e">
        <f>IF(AND(Riesgos!#REF!="Alta",Riesgos!#REF!="Moderado"),CONCATENATE("R3C",Riesgos!#REF!),"")</f>
        <v>#REF!</v>
      </c>
      <c r="Z18" s="58" t="e">
        <f>IF(AND(Riesgos!#REF!="Alta",Riesgos!#REF!="Moderado"),CONCATENATE("R3C",Riesgos!#REF!),"")</f>
        <v>#REF!</v>
      </c>
      <c r="AA18" s="59" t="e">
        <f>IF(AND(Riesgos!#REF!="Alta",Riesgos!#REF!="Moderado"),CONCATENATE("R3C",Riesgos!#REF!),"")</f>
        <v>#REF!</v>
      </c>
      <c r="AB18" s="57" t="e">
        <f>IF(AND(Riesgos!#REF!="Alta",Riesgos!#REF!="Mayor"),CONCATENATE("R3C",Riesgos!#REF!),"")</f>
        <v>#REF!</v>
      </c>
      <c r="AC18" s="58" t="e">
        <f>IF(AND(Riesgos!#REF!="Alta",Riesgos!#REF!="Mayor"),CONCATENATE("R3C",Riesgos!#REF!),"")</f>
        <v>#REF!</v>
      </c>
      <c r="AD18" s="58" t="e">
        <f>IF(AND(Riesgos!#REF!="Alta",Riesgos!#REF!="Mayor"),CONCATENATE("R3C",Riesgos!#REF!),"")</f>
        <v>#REF!</v>
      </c>
      <c r="AE18" s="58" t="e">
        <f>IF(AND(Riesgos!#REF!="Alta",Riesgos!#REF!="Mayor"),CONCATENATE("R3C",Riesgos!#REF!),"")</f>
        <v>#REF!</v>
      </c>
      <c r="AF18" s="58" t="e">
        <f>IF(AND(Riesgos!#REF!="Alta",Riesgos!#REF!="Mayor"),CONCATENATE("R3C",Riesgos!#REF!),"")</f>
        <v>#REF!</v>
      </c>
      <c r="AG18" s="59" t="e">
        <f>IF(AND(Riesgos!#REF!="Alta",Riesgos!#REF!="Mayor"),CONCATENATE("R3C",Riesgos!#REF!),"")</f>
        <v>#REF!</v>
      </c>
      <c r="AH18" s="86" t="e">
        <f>IF(AND(Riesgos!#REF!="Alta",Riesgos!#REF!="Catastrófico"),CONCATENATE("R3C",Riesgos!#REF!),"")</f>
        <v>#REF!</v>
      </c>
      <c r="AI18" s="87" t="e">
        <f>IF(AND(Riesgos!#REF!="Alta",Riesgos!#REF!="Catastrófico"),CONCATENATE("R3C",Riesgos!#REF!),"")</f>
        <v>#REF!</v>
      </c>
      <c r="AJ18" s="87" t="e">
        <f>IF(AND(Riesgos!#REF!="Alta",Riesgos!#REF!="Catastrófico"),CONCATENATE("R3C",Riesgos!#REF!),"")</f>
        <v>#REF!</v>
      </c>
      <c r="AK18" s="87" t="e">
        <f>IF(AND(Riesgos!#REF!="Alta",Riesgos!#REF!="Catastrófico"),CONCATENATE("R3C",Riesgos!#REF!),"")</f>
        <v>#REF!</v>
      </c>
      <c r="AL18" s="87" t="e">
        <f>IF(AND(Riesgos!#REF!="Alta",Riesgos!#REF!="Catastrófico"),CONCATENATE("R3C",Riesgos!#REF!),"")</f>
        <v>#REF!</v>
      </c>
      <c r="AM18" s="88" t="e">
        <f>IF(AND(Riesgos!#REF!="Alta",Riesgos!#REF!="Catastrófico"),CONCATENATE("R3C",Riesgos!#REF!),"")</f>
        <v>#REF!</v>
      </c>
      <c r="AN18" s="18"/>
      <c r="AO18" s="844"/>
      <c r="AP18" s="845"/>
      <c r="AQ18" s="845"/>
      <c r="AR18" s="845"/>
      <c r="AS18" s="845"/>
      <c r="AT18" s="846"/>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row>
    <row r="19" spans="1:76" ht="15" customHeight="1">
      <c r="A19" s="18"/>
      <c r="B19" s="826"/>
      <c r="C19" s="826"/>
      <c r="D19" s="827"/>
      <c r="E19" s="834"/>
      <c r="F19" s="835"/>
      <c r="G19" s="835"/>
      <c r="H19" s="835"/>
      <c r="I19" s="851"/>
      <c r="J19" s="67" t="e">
        <f>IF(AND(Riesgos!#REF!="Alta",Riesgos!#REF!="Leve"),CONCATENATE("R4C",Riesgos!#REF!),"")</f>
        <v>#REF!</v>
      </c>
      <c r="K19" s="68" t="e">
        <f>IF(AND(Riesgos!#REF!="Alta",Riesgos!#REF!="Leve"),CONCATENATE("R4C",Riesgos!#REF!),"")</f>
        <v>#REF!</v>
      </c>
      <c r="L19" s="68" t="e">
        <f>IF(AND(Riesgos!#REF!="Alta",Riesgos!#REF!="Leve"),CONCATENATE("R4C",Riesgos!#REF!),"")</f>
        <v>#REF!</v>
      </c>
      <c r="M19" s="68" t="e">
        <f>IF(AND(Riesgos!#REF!="Alta",Riesgos!#REF!="Leve"),CONCATENATE("R4C",Riesgos!#REF!),"")</f>
        <v>#REF!</v>
      </c>
      <c r="N19" s="68" t="e">
        <f>IF(AND(Riesgos!#REF!="Alta",Riesgos!#REF!="Leve"),CONCATENATE("R4C",Riesgos!#REF!),"")</f>
        <v>#REF!</v>
      </c>
      <c r="O19" s="69" t="e">
        <f>IF(AND(Riesgos!#REF!="Alta",Riesgos!#REF!="Leve"),CONCATENATE("R4C",Riesgos!#REF!),"")</f>
        <v>#REF!</v>
      </c>
      <c r="P19" s="67" t="e">
        <f>IF(AND(Riesgos!#REF!="Alta",Riesgos!#REF!="Menor"),CONCATENATE("R4C",Riesgos!#REF!),"")</f>
        <v>#REF!</v>
      </c>
      <c r="Q19" s="68" t="e">
        <f>IF(AND(Riesgos!#REF!="Alta",Riesgos!#REF!="Menor"),CONCATENATE("R4C",Riesgos!#REF!),"")</f>
        <v>#REF!</v>
      </c>
      <c r="R19" s="68" t="e">
        <f>IF(AND(Riesgos!#REF!="Alta",Riesgos!#REF!="Menor"),CONCATENATE("R4C",Riesgos!#REF!),"")</f>
        <v>#REF!</v>
      </c>
      <c r="S19" s="68" t="e">
        <f>IF(AND(Riesgos!#REF!="Alta",Riesgos!#REF!="Menor"),CONCATENATE("R4C",Riesgos!#REF!),"")</f>
        <v>#REF!</v>
      </c>
      <c r="T19" s="68" t="e">
        <f>IF(AND(Riesgos!#REF!="Alta",Riesgos!#REF!="Menor"),CONCATENATE("R4C",Riesgos!#REF!),"")</f>
        <v>#REF!</v>
      </c>
      <c r="U19" s="69" t="e">
        <f>IF(AND(Riesgos!#REF!="Alta",Riesgos!#REF!="Menor"),CONCATENATE("R4C",Riesgos!#REF!),"")</f>
        <v>#REF!</v>
      </c>
      <c r="V19" s="57" t="e">
        <f>IF(AND(Riesgos!#REF!="Alta",Riesgos!#REF!="Moderado"),CONCATENATE("R4C",Riesgos!#REF!),"")</f>
        <v>#REF!</v>
      </c>
      <c r="W19" s="58" t="e">
        <f>IF(AND(Riesgos!#REF!="Alta",Riesgos!#REF!="Moderado"),CONCATENATE("R4C",Riesgos!#REF!),"")</f>
        <v>#REF!</v>
      </c>
      <c r="X19" s="60" t="e">
        <f>IF(AND(Riesgos!#REF!="Alta",Riesgos!#REF!="Moderado"),CONCATENATE("R4C",Riesgos!#REF!),"")</f>
        <v>#REF!</v>
      </c>
      <c r="Y19" s="60" t="e">
        <f>IF(AND(Riesgos!#REF!="Alta",Riesgos!#REF!="Moderado"),CONCATENATE("R4C",Riesgos!#REF!),"")</f>
        <v>#REF!</v>
      </c>
      <c r="Z19" s="60" t="e">
        <f>IF(AND(Riesgos!#REF!="Alta",Riesgos!#REF!="Moderado"),CONCATENATE("R4C",Riesgos!#REF!),"")</f>
        <v>#REF!</v>
      </c>
      <c r="AA19" s="59" t="e">
        <f>IF(AND(Riesgos!#REF!="Alta",Riesgos!#REF!="Moderado"),CONCATENATE("R4C",Riesgos!#REF!),"")</f>
        <v>#REF!</v>
      </c>
      <c r="AB19" s="57" t="e">
        <f>IF(AND(Riesgos!#REF!="Alta",Riesgos!#REF!="Mayor"),CONCATENATE("R4C",Riesgos!#REF!),"")</f>
        <v>#REF!</v>
      </c>
      <c r="AC19" s="58" t="e">
        <f>IF(AND(Riesgos!#REF!="Alta",Riesgos!#REF!="Mayor"),CONCATENATE("R4C",Riesgos!#REF!),"")</f>
        <v>#REF!</v>
      </c>
      <c r="AD19" s="60" t="e">
        <f>IF(AND(Riesgos!#REF!="Alta",Riesgos!#REF!="Mayor"),CONCATENATE("R4C",Riesgos!#REF!),"")</f>
        <v>#REF!</v>
      </c>
      <c r="AE19" s="60" t="e">
        <f>IF(AND(Riesgos!#REF!="Alta",Riesgos!#REF!="Mayor"),CONCATENATE("R4C",Riesgos!#REF!),"")</f>
        <v>#REF!</v>
      </c>
      <c r="AF19" s="60" t="e">
        <f>IF(AND(Riesgos!#REF!="Alta",Riesgos!#REF!="Mayor"),CONCATENATE("R4C",Riesgos!#REF!),"")</f>
        <v>#REF!</v>
      </c>
      <c r="AG19" s="59" t="e">
        <f>IF(AND(Riesgos!#REF!="Alta",Riesgos!#REF!="Mayor"),CONCATENATE("R4C",Riesgos!#REF!),"")</f>
        <v>#REF!</v>
      </c>
      <c r="AH19" s="86" t="e">
        <f>IF(AND(Riesgos!#REF!="Alta",Riesgos!#REF!="Catastrófico"),CONCATENATE("R4C",Riesgos!#REF!),"")</f>
        <v>#REF!</v>
      </c>
      <c r="AI19" s="87" t="e">
        <f>IF(AND(Riesgos!#REF!="Alta",Riesgos!#REF!="Catastrófico"),CONCATENATE("R4C",Riesgos!#REF!),"")</f>
        <v>#REF!</v>
      </c>
      <c r="AJ19" s="87" t="e">
        <f>IF(AND(Riesgos!#REF!="Alta",Riesgos!#REF!="Catastrófico"),CONCATENATE("R4C",Riesgos!#REF!),"")</f>
        <v>#REF!</v>
      </c>
      <c r="AK19" s="87" t="e">
        <f>IF(AND(Riesgos!#REF!="Alta",Riesgos!#REF!="Catastrófico"),CONCATENATE("R4C",Riesgos!#REF!),"")</f>
        <v>#REF!</v>
      </c>
      <c r="AL19" s="87" t="e">
        <f>IF(AND(Riesgos!#REF!="Alta",Riesgos!#REF!="Catastrófico"),CONCATENATE("R4C",Riesgos!#REF!),"")</f>
        <v>#REF!</v>
      </c>
      <c r="AM19" s="88" t="e">
        <f>IF(AND(Riesgos!#REF!="Alta",Riesgos!#REF!="Catastrófico"),CONCATENATE("R4C",Riesgos!#REF!),"")</f>
        <v>#REF!</v>
      </c>
      <c r="AN19" s="18"/>
      <c r="AO19" s="844"/>
      <c r="AP19" s="845"/>
      <c r="AQ19" s="845"/>
      <c r="AR19" s="845"/>
      <c r="AS19" s="845"/>
      <c r="AT19" s="846"/>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row>
    <row r="20" spans="1:76" ht="15" customHeight="1">
      <c r="A20" s="18"/>
      <c r="B20" s="826"/>
      <c r="C20" s="826"/>
      <c r="D20" s="827"/>
      <c r="E20" s="834"/>
      <c r="F20" s="835"/>
      <c r="G20" s="835"/>
      <c r="H20" s="835"/>
      <c r="I20" s="851"/>
      <c r="J20" s="67" t="e">
        <f>IF(AND(Riesgos!#REF!="Alta",Riesgos!#REF!="Leve"),CONCATENATE("R5C",Riesgos!#REF!),"")</f>
        <v>#REF!</v>
      </c>
      <c r="K20" s="68" t="e">
        <f>IF(AND(Riesgos!#REF!="Alta",Riesgos!#REF!="Leve"),CONCATENATE("R5C",Riesgos!#REF!),"")</f>
        <v>#REF!</v>
      </c>
      <c r="L20" s="68" t="e">
        <f>IF(AND(Riesgos!#REF!="Alta",Riesgos!#REF!="Leve"),CONCATENATE("R5C",Riesgos!#REF!),"")</f>
        <v>#REF!</v>
      </c>
      <c r="M20" s="68" t="e">
        <f>IF(AND(Riesgos!#REF!="Alta",Riesgos!#REF!="Leve"),CONCATENATE("R5C",Riesgos!#REF!),"")</f>
        <v>#REF!</v>
      </c>
      <c r="N20" s="68" t="e">
        <f>IF(AND(Riesgos!#REF!="Alta",Riesgos!#REF!="Leve"),CONCATENATE("R5C",Riesgos!#REF!),"")</f>
        <v>#REF!</v>
      </c>
      <c r="O20" s="69" t="e">
        <f>IF(AND(Riesgos!#REF!="Alta",Riesgos!#REF!="Leve"),CONCATENATE("R5C",Riesgos!#REF!),"")</f>
        <v>#REF!</v>
      </c>
      <c r="P20" s="67" t="e">
        <f>IF(AND(Riesgos!#REF!="Alta",Riesgos!#REF!="Menor"),CONCATENATE("R5C",Riesgos!#REF!),"")</f>
        <v>#REF!</v>
      </c>
      <c r="Q20" s="68" t="e">
        <f>IF(AND(Riesgos!#REF!="Alta",Riesgos!#REF!="Menor"),CONCATENATE("R5C",Riesgos!#REF!),"")</f>
        <v>#REF!</v>
      </c>
      <c r="R20" s="68" t="e">
        <f>IF(AND(Riesgos!#REF!="Alta",Riesgos!#REF!="Menor"),CONCATENATE("R5C",Riesgos!#REF!),"")</f>
        <v>#REF!</v>
      </c>
      <c r="S20" s="68" t="e">
        <f>IF(AND(Riesgos!#REF!="Alta",Riesgos!#REF!="Menor"),CONCATENATE("R5C",Riesgos!#REF!),"")</f>
        <v>#REF!</v>
      </c>
      <c r="T20" s="68" t="e">
        <f>IF(AND(Riesgos!#REF!="Alta",Riesgos!#REF!="Menor"),CONCATENATE("R5C",Riesgos!#REF!),"")</f>
        <v>#REF!</v>
      </c>
      <c r="U20" s="69" t="e">
        <f>IF(AND(Riesgos!#REF!="Alta",Riesgos!#REF!="Menor"),CONCATENATE("R5C",Riesgos!#REF!),"")</f>
        <v>#REF!</v>
      </c>
      <c r="V20" s="57" t="e">
        <f>IF(AND(Riesgos!#REF!="Alta",Riesgos!#REF!="Moderado"),CONCATENATE("R5C",Riesgos!#REF!),"")</f>
        <v>#REF!</v>
      </c>
      <c r="W20" s="58" t="e">
        <f>IF(AND(Riesgos!#REF!="Alta",Riesgos!#REF!="Moderado"),CONCATENATE("R5C",Riesgos!#REF!),"")</f>
        <v>#REF!</v>
      </c>
      <c r="X20" s="60" t="e">
        <f>IF(AND(Riesgos!#REF!="Alta",Riesgos!#REF!="Moderado"),CONCATENATE("R5C",Riesgos!#REF!),"")</f>
        <v>#REF!</v>
      </c>
      <c r="Y20" s="60" t="e">
        <f>IF(AND(Riesgos!#REF!="Alta",Riesgos!#REF!="Moderado"),CONCATENATE("R5C",Riesgos!#REF!),"")</f>
        <v>#REF!</v>
      </c>
      <c r="Z20" s="60" t="e">
        <f>IF(AND(Riesgos!#REF!="Alta",Riesgos!#REF!="Moderado"),CONCATENATE("R5C",Riesgos!#REF!),"")</f>
        <v>#REF!</v>
      </c>
      <c r="AA20" s="59" t="e">
        <f>IF(AND(Riesgos!#REF!="Alta",Riesgos!#REF!="Moderado"),CONCATENATE("R5C",Riesgos!#REF!),"")</f>
        <v>#REF!</v>
      </c>
      <c r="AB20" s="57" t="e">
        <f>IF(AND(Riesgos!#REF!="Alta",Riesgos!#REF!="Mayor"),CONCATENATE("R5C",Riesgos!#REF!),"")</f>
        <v>#REF!</v>
      </c>
      <c r="AC20" s="58" t="e">
        <f>IF(AND(Riesgos!#REF!="Alta",Riesgos!#REF!="Mayor"),CONCATENATE("R5C",Riesgos!#REF!),"")</f>
        <v>#REF!</v>
      </c>
      <c r="AD20" s="60" t="e">
        <f>IF(AND(Riesgos!#REF!="Alta",Riesgos!#REF!="Mayor"),CONCATENATE("R5C",Riesgos!#REF!),"")</f>
        <v>#REF!</v>
      </c>
      <c r="AE20" s="60" t="e">
        <f>IF(AND(Riesgos!#REF!="Alta",Riesgos!#REF!="Mayor"),CONCATENATE("R5C",Riesgos!#REF!),"")</f>
        <v>#REF!</v>
      </c>
      <c r="AF20" s="60" t="e">
        <f>IF(AND(Riesgos!#REF!="Alta",Riesgos!#REF!="Mayor"),CONCATENATE("R5C",Riesgos!#REF!),"")</f>
        <v>#REF!</v>
      </c>
      <c r="AG20" s="59" t="e">
        <f>IF(AND(Riesgos!#REF!="Alta",Riesgos!#REF!="Mayor"),CONCATENATE("R5C",Riesgos!#REF!),"")</f>
        <v>#REF!</v>
      </c>
      <c r="AH20" s="86" t="e">
        <f>IF(AND(Riesgos!#REF!="Alta",Riesgos!#REF!="Catastrófico"),CONCATENATE("R5C",Riesgos!#REF!),"")</f>
        <v>#REF!</v>
      </c>
      <c r="AI20" s="87" t="e">
        <f>IF(AND(Riesgos!#REF!="Alta",Riesgos!#REF!="Catastrófico"),CONCATENATE("R5C",Riesgos!#REF!),"")</f>
        <v>#REF!</v>
      </c>
      <c r="AJ20" s="87" t="e">
        <f>IF(AND(Riesgos!#REF!="Alta",Riesgos!#REF!="Catastrófico"),CONCATENATE("R5C",Riesgos!#REF!),"")</f>
        <v>#REF!</v>
      </c>
      <c r="AK20" s="87" t="e">
        <f>IF(AND(Riesgos!#REF!="Alta",Riesgos!#REF!="Catastrófico"),CONCATENATE("R5C",Riesgos!#REF!),"")</f>
        <v>#REF!</v>
      </c>
      <c r="AL20" s="87" t="e">
        <f>IF(AND(Riesgos!#REF!="Alta",Riesgos!#REF!="Catastrófico"),CONCATENATE("R5C",Riesgos!#REF!),"")</f>
        <v>#REF!</v>
      </c>
      <c r="AM20" s="88" t="e">
        <f>IF(AND(Riesgos!#REF!="Alta",Riesgos!#REF!="Catastrófico"),CONCATENATE("R5C",Riesgos!#REF!),"")</f>
        <v>#REF!</v>
      </c>
      <c r="AN20" s="18"/>
      <c r="AO20" s="844"/>
      <c r="AP20" s="845"/>
      <c r="AQ20" s="845"/>
      <c r="AR20" s="845"/>
      <c r="AS20" s="845"/>
      <c r="AT20" s="846"/>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row>
    <row r="21" spans="1:76" ht="15" customHeight="1">
      <c r="A21" s="18"/>
      <c r="B21" s="826"/>
      <c r="C21" s="826"/>
      <c r="D21" s="827"/>
      <c r="E21" s="834"/>
      <c r="F21" s="835"/>
      <c r="G21" s="835"/>
      <c r="H21" s="835"/>
      <c r="I21" s="851"/>
      <c r="J21" s="67" t="e">
        <f>IF(AND(Riesgos!#REF!="Alta",Riesgos!#REF!="Leve"),CONCATENATE("R6C",Riesgos!#REF!),"")</f>
        <v>#REF!</v>
      </c>
      <c r="K21" s="68" t="e">
        <f>IF(AND(Riesgos!#REF!="Alta",Riesgos!#REF!="Leve"),CONCATENATE("R6C",Riesgos!#REF!),"")</f>
        <v>#REF!</v>
      </c>
      <c r="L21" s="68" t="e">
        <f>IF(AND(Riesgos!#REF!="Alta",Riesgos!#REF!="Leve"),CONCATENATE("R6C",Riesgos!#REF!),"")</f>
        <v>#REF!</v>
      </c>
      <c r="M21" s="68" t="e">
        <f>IF(AND(Riesgos!#REF!="Alta",Riesgos!#REF!="Leve"),CONCATENATE("R6C",Riesgos!#REF!),"")</f>
        <v>#REF!</v>
      </c>
      <c r="N21" s="68" t="e">
        <f>IF(AND(Riesgos!#REF!="Alta",Riesgos!#REF!="Leve"),CONCATENATE("R6C",Riesgos!#REF!),"")</f>
        <v>#REF!</v>
      </c>
      <c r="O21" s="69" t="e">
        <f>IF(AND(Riesgos!#REF!="Alta",Riesgos!#REF!="Leve"),CONCATENATE("R6C",Riesgos!#REF!),"")</f>
        <v>#REF!</v>
      </c>
      <c r="P21" s="67" t="e">
        <f>IF(AND(Riesgos!#REF!="Alta",Riesgos!#REF!="Menor"),CONCATENATE("R6C",Riesgos!#REF!),"")</f>
        <v>#REF!</v>
      </c>
      <c r="Q21" s="68" t="e">
        <f>IF(AND(Riesgos!#REF!="Alta",Riesgos!#REF!="Menor"),CONCATENATE("R6C",Riesgos!#REF!),"")</f>
        <v>#REF!</v>
      </c>
      <c r="R21" s="68" t="e">
        <f>IF(AND(Riesgos!#REF!="Alta",Riesgos!#REF!="Menor"),CONCATENATE("R6C",Riesgos!#REF!),"")</f>
        <v>#REF!</v>
      </c>
      <c r="S21" s="68" t="e">
        <f>IF(AND(Riesgos!#REF!="Alta",Riesgos!#REF!="Menor"),CONCATENATE("R6C",Riesgos!#REF!),"")</f>
        <v>#REF!</v>
      </c>
      <c r="T21" s="68" t="e">
        <f>IF(AND(Riesgos!#REF!="Alta",Riesgos!#REF!="Menor"),CONCATENATE("R6C",Riesgos!#REF!),"")</f>
        <v>#REF!</v>
      </c>
      <c r="U21" s="69" t="e">
        <f>IF(AND(Riesgos!#REF!="Alta",Riesgos!#REF!="Menor"),CONCATENATE("R6C",Riesgos!#REF!),"")</f>
        <v>#REF!</v>
      </c>
      <c r="V21" s="57" t="e">
        <f>IF(AND(Riesgos!#REF!="Alta",Riesgos!#REF!="Moderado"),CONCATENATE("R6C",Riesgos!#REF!),"")</f>
        <v>#REF!</v>
      </c>
      <c r="W21" s="58" t="e">
        <f>IF(AND(Riesgos!#REF!="Alta",Riesgos!#REF!="Moderado"),CONCATENATE("R6C",Riesgos!#REF!),"")</f>
        <v>#REF!</v>
      </c>
      <c r="X21" s="60" t="e">
        <f>IF(AND(Riesgos!#REF!="Alta",Riesgos!#REF!="Moderado"),CONCATENATE("R6C",Riesgos!#REF!),"")</f>
        <v>#REF!</v>
      </c>
      <c r="Y21" s="60" t="e">
        <f>IF(AND(Riesgos!#REF!="Alta",Riesgos!#REF!="Moderado"),CONCATENATE("R6C",Riesgos!#REF!),"")</f>
        <v>#REF!</v>
      </c>
      <c r="Z21" s="60" t="e">
        <f>IF(AND(Riesgos!#REF!="Alta",Riesgos!#REF!="Moderado"),CONCATENATE("R6C",Riesgos!#REF!),"")</f>
        <v>#REF!</v>
      </c>
      <c r="AA21" s="59" t="e">
        <f>IF(AND(Riesgos!#REF!="Alta",Riesgos!#REF!="Moderado"),CONCATENATE("R6C",Riesgos!#REF!),"")</f>
        <v>#REF!</v>
      </c>
      <c r="AB21" s="57" t="e">
        <f>IF(AND(Riesgos!#REF!="Alta",Riesgos!#REF!="Mayor"),CONCATENATE("R6C",Riesgos!#REF!),"")</f>
        <v>#REF!</v>
      </c>
      <c r="AC21" s="58" t="e">
        <f>IF(AND(Riesgos!#REF!="Alta",Riesgos!#REF!="Mayor"),CONCATENATE("R6C",Riesgos!#REF!),"")</f>
        <v>#REF!</v>
      </c>
      <c r="AD21" s="60" t="e">
        <f>IF(AND(Riesgos!#REF!="Alta",Riesgos!#REF!="Mayor"),CONCATENATE("R6C",Riesgos!#REF!),"")</f>
        <v>#REF!</v>
      </c>
      <c r="AE21" s="60" t="e">
        <f>IF(AND(Riesgos!#REF!="Alta",Riesgos!#REF!="Mayor"),CONCATENATE("R6C",Riesgos!#REF!),"")</f>
        <v>#REF!</v>
      </c>
      <c r="AF21" s="60" t="e">
        <f>IF(AND(Riesgos!#REF!="Alta",Riesgos!#REF!="Mayor"),CONCATENATE("R6C",Riesgos!#REF!),"")</f>
        <v>#REF!</v>
      </c>
      <c r="AG21" s="59" t="e">
        <f>IF(AND(Riesgos!#REF!="Alta",Riesgos!#REF!="Mayor"),CONCATENATE("R6C",Riesgos!#REF!),"")</f>
        <v>#REF!</v>
      </c>
      <c r="AH21" s="86" t="e">
        <f>IF(AND(Riesgos!#REF!="Alta",Riesgos!#REF!="Catastrófico"),CONCATENATE("R6C",Riesgos!#REF!),"")</f>
        <v>#REF!</v>
      </c>
      <c r="AI21" s="87" t="e">
        <f>IF(AND(Riesgos!#REF!="Alta",Riesgos!#REF!="Catastrófico"),CONCATENATE("R6C",Riesgos!#REF!),"")</f>
        <v>#REF!</v>
      </c>
      <c r="AJ21" s="87" t="e">
        <f>IF(AND(Riesgos!#REF!="Alta",Riesgos!#REF!="Catastrófico"),CONCATENATE("R6C",Riesgos!#REF!),"")</f>
        <v>#REF!</v>
      </c>
      <c r="AK21" s="87" t="e">
        <f>IF(AND(Riesgos!#REF!="Alta",Riesgos!#REF!="Catastrófico"),CONCATENATE("R6C",Riesgos!#REF!),"")</f>
        <v>#REF!</v>
      </c>
      <c r="AL21" s="87" t="e">
        <f>IF(AND(Riesgos!#REF!="Alta",Riesgos!#REF!="Catastrófico"),CONCATENATE("R6C",Riesgos!#REF!),"")</f>
        <v>#REF!</v>
      </c>
      <c r="AM21" s="88" t="e">
        <f>IF(AND(Riesgos!#REF!="Alta",Riesgos!#REF!="Catastrófico"),CONCATENATE("R6C",Riesgos!#REF!),"")</f>
        <v>#REF!</v>
      </c>
      <c r="AN21" s="18"/>
      <c r="AO21" s="844"/>
      <c r="AP21" s="845"/>
      <c r="AQ21" s="845"/>
      <c r="AR21" s="845"/>
      <c r="AS21" s="845"/>
      <c r="AT21" s="846"/>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row>
    <row r="22" spans="1:76" ht="15" customHeight="1">
      <c r="A22" s="18"/>
      <c r="B22" s="826"/>
      <c r="C22" s="826"/>
      <c r="D22" s="827"/>
      <c r="E22" s="834"/>
      <c r="F22" s="835"/>
      <c r="G22" s="835"/>
      <c r="H22" s="835"/>
      <c r="I22" s="851"/>
      <c r="J22" s="67" t="e">
        <f>IF(AND(Riesgos!#REF!="Alta",Riesgos!#REF!="Leve"),CONCATENATE("R7C",Riesgos!#REF!),"")</f>
        <v>#REF!</v>
      </c>
      <c r="K22" s="68" t="e">
        <f>IF(AND(Riesgos!#REF!="Alta",Riesgos!#REF!="Leve"),CONCATENATE("R7C",Riesgos!#REF!),"")</f>
        <v>#REF!</v>
      </c>
      <c r="L22" s="68" t="e">
        <f>IF(AND(Riesgos!#REF!="Alta",Riesgos!#REF!="Leve"),CONCATENATE("R7C",Riesgos!#REF!),"")</f>
        <v>#REF!</v>
      </c>
      <c r="M22" s="68" t="e">
        <f>IF(AND(Riesgos!#REF!="Alta",Riesgos!#REF!="Leve"),CONCATENATE("R7C",Riesgos!#REF!),"")</f>
        <v>#REF!</v>
      </c>
      <c r="N22" s="68" t="e">
        <f>IF(AND(Riesgos!#REF!="Alta",Riesgos!#REF!="Leve"),CONCATENATE("R7C",Riesgos!#REF!),"")</f>
        <v>#REF!</v>
      </c>
      <c r="O22" s="69" t="e">
        <f>IF(AND(Riesgos!#REF!="Alta",Riesgos!#REF!="Leve"),CONCATENATE("R7C",Riesgos!#REF!),"")</f>
        <v>#REF!</v>
      </c>
      <c r="P22" s="67" t="e">
        <f>IF(AND(Riesgos!#REF!="Alta",Riesgos!#REF!="Menor"),CONCATENATE("R7C",Riesgos!#REF!),"")</f>
        <v>#REF!</v>
      </c>
      <c r="Q22" s="68" t="e">
        <f>IF(AND(Riesgos!#REF!="Alta",Riesgos!#REF!="Menor"),CONCATENATE("R7C",Riesgos!#REF!),"")</f>
        <v>#REF!</v>
      </c>
      <c r="R22" s="68" t="e">
        <f>IF(AND(Riesgos!#REF!="Alta",Riesgos!#REF!="Menor"),CONCATENATE("R7C",Riesgos!#REF!),"")</f>
        <v>#REF!</v>
      </c>
      <c r="S22" s="68" t="e">
        <f>IF(AND(Riesgos!#REF!="Alta",Riesgos!#REF!="Menor"),CONCATENATE("R7C",Riesgos!#REF!),"")</f>
        <v>#REF!</v>
      </c>
      <c r="T22" s="68" t="e">
        <f>IF(AND(Riesgos!#REF!="Alta",Riesgos!#REF!="Menor"),CONCATENATE("R7C",Riesgos!#REF!),"")</f>
        <v>#REF!</v>
      </c>
      <c r="U22" s="69" t="e">
        <f>IF(AND(Riesgos!#REF!="Alta",Riesgos!#REF!="Menor"),CONCATENATE("R7C",Riesgos!#REF!),"")</f>
        <v>#REF!</v>
      </c>
      <c r="V22" s="57" t="e">
        <f>IF(AND(Riesgos!#REF!="Alta",Riesgos!#REF!="Moderado"),CONCATENATE("R7C",Riesgos!#REF!),"")</f>
        <v>#REF!</v>
      </c>
      <c r="W22" s="58" t="e">
        <f>IF(AND(Riesgos!#REF!="Alta",Riesgos!#REF!="Moderado"),CONCATENATE("R7C",Riesgos!#REF!),"")</f>
        <v>#REF!</v>
      </c>
      <c r="X22" s="60" t="e">
        <f>IF(AND(Riesgos!#REF!="Alta",Riesgos!#REF!="Moderado"),CONCATENATE("R7C",Riesgos!#REF!),"")</f>
        <v>#REF!</v>
      </c>
      <c r="Y22" s="60" t="e">
        <f>IF(AND(Riesgos!#REF!="Alta",Riesgos!#REF!="Moderado"),CONCATENATE("R7C",Riesgos!#REF!),"")</f>
        <v>#REF!</v>
      </c>
      <c r="Z22" s="60" t="e">
        <f>IF(AND(Riesgos!#REF!="Alta",Riesgos!#REF!="Moderado"),CONCATENATE("R7C",Riesgos!#REF!),"")</f>
        <v>#REF!</v>
      </c>
      <c r="AA22" s="59" t="e">
        <f>IF(AND(Riesgos!#REF!="Alta",Riesgos!#REF!="Moderado"),CONCATENATE("R7C",Riesgos!#REF!),"")</f>
        <v>#REF!</v>
      </c>
      <c r="AB22" s="57" t="e">
        <f>IF(AND(Riesgos!#REF!="Alta",Riesgos!#REF!="Mayor"),CONCATENATE("R7C",Riesgos!#REF!),"")</f>
        <v>#REF!</v>
      </c>
      <c r="AC22" s="58" t="e">
        <f>IF(AND(Riesgos!#REF!="Alta",Riesgos!#REF!="Mayor"),CONCATENATE("R7C",Riesgos!#REF!),"")</f>
        <v>#REF!</v>
      </c>
      <c r="AD22" s="60" t="e">
        <f>IF(AND(Riesgos!#REF!="Alta",Riesgos!#REF!="Mayor"),CONCATENATE("R7C",Riesgos!#REF!),"")</f>
        <v>#REF!</v>
      </c>
      <c r="AE22" s="60" t="e">
        <f>IF(AND(Riesgos!#REF!="Alta",Riesgos!#REF!="Mayor"),CONCATENATE("R7C",Riesgos!#REF!),"")</f>
        <v>#REF!</v>
      </c>
      <c r="AF22" s="60" t="e">
        <f>IF(AND(Riesgos!#REF!="Alta",Riesgos!#REF!="Mayor"),CONCATENATE("R7C",Riesgos!#REF!),"")</f>
        <v>#REF!</v>
      </c>
      <c r="AG22" s="59" t="e">
        <f>IF(AND(Riesgos!#REF!="Alta",Riesgos!#REF!="Mayor"),CONCATENATE("R7C",Riesgos!#REF!),"")</f>
        <v>#REF!</v>
      </c>
      <c r="AH22" s="86" t="e">
        <f>IF(AND(Riesgos!#REF!="Alta",Riesgos!#REF!="Catastrófico"),CONCATENATE("R7C",Riesgos!#REF!),"")</f>
        <v>#REF!</v>
      </c>
      <c r="AI22" s="87" t="e">
        <f>IF(AND(Riesgos!#REF!="Alta",Riesgos!#REF!="Catastrófico"),CONCATENATE("R7C",Riesgos!#REF!),"")</f>
        <v>#REF!</v>
      </c>
      <c r="AJ22" s="87" t="e">
        <f>IF(AND(Riesgos!#REF!="Alta",Riesgos!#REF!="Catastrófico"),CONCATENATE("R7C",Riesgos!#REF!),"")</f>
        <v>#REF!</v>
      </c>
      <c r="AK22" s="87" t="e">
        <f>IF(AND(Riesgos!#REF!="Alta",Riesgos!#REF!="Catastrófico"),CONCATENATE("R7C",Riesgos!#REF!),"")</f>
        <v>#REF!</v>
      </c>
      <c r="AL22" s="87" t="e">
        <f>IF(AND(Riesgos!#REF!="Alta",Riesgos!#REF!="Catastrófico"),CONCATENATE("R7C",Riesgos!#REF!),"")</f>
        <v>#REF!</v>
      </c>
      <c r="AM22" s="88" t="e">
        <f>IF(AND(Riesgos!#REF!="Alta",Riesgos!#REF!="Catastrófico"),CONCATENATE("R7C",Riesgos!#REF!),"")</f>
        <v>#REF!</v>
      </c>
      <c r="AN22" s="18"/>
      <c r="AO22" s="844"/>
      <c r="AP22" s="845"/>
      <c r="AQ22" s="845"/>
      <c r="AR22" s="845"/>
      <c r="AS22" s="845"/>
      <c r="AT22" s="846"/>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row>
    <row r="23" spans="1:76" ht="15" customHeight="1">
      <c r="A23" s="18"/>
      <c r="B23" s="826"/>
      <c r="C23" s="826"/>
      <c r="D23" s="827"/>
      <c r="E23" s="834"/>
      <c r="F23" s="835"/>
      <c r="G23" s="835"/>
      <c r="H23" s="835"/>
      <c r="I23" s="851"/>
      <c r="J23" s="67" t="e">
        <f>IF(AND(Riesgos!#REF!="Alta",Riesgos!#REF!="Leve"),CONCATENATE("R8C",Riesgos!#REF!),"")</f>
        <v>#REF!</v>
      </c>
      <c r="K23" s="68" t="e">
        <f>IF(AND(Riesgos!#REF!="Alta",Riesgos!#REF!="Leve"),CONCATENATE("R8C",Riesgos!#REF!),"")</f>
        <v>#REF!</v>
      </c>
      <c r="L23" s="68" t="e">
        <f>IF(AND(Riesgos!#REF!="Alta",Riesgos!#REF!="Leve"),CONCATENATE("R8C",Riesgos!#REF!),"")</f>
        <v>#REF!</v>
      </c>
      <c r="M23" s="68" t="e">
        <f>IF(AND(Riesgos!#REF!="Alta",Riesgos!#REF!="Leve"),CONCATENATE("R8C",Riesgos!#REF!),"")</f>
        <v>#REF!</v>
      </c>
      <c r="N23" s="68" t="e">
        <f>IF(AND(Riesgos!#REF!="Alta",Riesgos!#REF!="Leve"),CONCATENATE("R8C",Riesgos!#REF!),"")</f>
        <v>#REF!</v>
      </c>
      <c r="O23" s="69" t="e">
        <f>IF(AND(Riesgos!#REF!="Alta",Riesgos!#REF!="Leve"),CONCATENATE("R8C",Riesgos!#REF!),"")</f>
        <v>#REF!</v>
      </c>
      <c r="P23" s="67" t="e">
        <f>IF(AND(Riesgos!#REF!="Alta",Riesgos!#REF!="Menor"),CONCATENATE("R8C",Riesgos!#REF!),"")</f>
        <v>#REF!</v>
      </c>
      <c r="Q23" s="68" t="e">
        <f>IF(AND(Riesgos!#REF!="Alta",Riesgos!#REF!="Menor"),CONCATENATE("R8C",Riesgos!#REF!),"")</f>
        <v>#REF!</v>
      </c>
      <c r="R23" s="68" t="e">
        <f>IF(AND(Riesgos!#REF!="Alta",Riesgos!#REF!="Menor"),CONCATENATE("R8C",Riesgos!#REF!),"")</f>
        <v>#REF!</v>
      </c>
      <c r="S23" s="68" t="e">
        <f>IF(AND(Riesgos!#REF!="Alta",Riesgos!#REF!="Menor"),CONCATENATE("R8C",Riesgos!#REF!),"")</f>
        <v>#REF!</v>
      </c>
      <c r="T23" s="68" t="e">
        <f>IF(AND(Riesgos!#REF!="Alta",Riesgos!#REF!="Menor"),CONCATENATE("R8C",Riesgos!#REF!),"")</f>
        <v>#REF!</v>
      </c>
      <c r="U23" s="69" t="e">
        <f>IF(AND(Riesgos!#REF!="Alta",Riesgos!#REF!="Menor"),CONCATENATE("R8C",Riesgos!#REF!),"")</f>
        <v>#REF!</v>
      </c>
      <c r="V23" s="57" t="e">
        <f>IF(AND(Riesgos!#REF!="Alta",Riesgos!#REF!="Moderado"),CONCATENATE("R8C",Riesgos!#REF!),"")</f>
        <v>#REF!</v>
      </c>
      <c r="W23" s="58" t="e">
        <f>IF(AND(Riesgos!#REF!="Alta",Riesgos!#REF!="Moderado"),CONCATENATE("R8C",Riesgos!#REF!),"")</f>
        <v>#REF!</v>
      </c>
      <c r="X23" s="60" t="e">
        <f>IF(AND(Riesgos!#REF!="Alta",Riesgos!#REF!="Moderado"),CONCATENATE("R8C",Riesgos!#REF!),"")</f>
        <v>#REF!</v>
      </c>
      <c r="Y23" s="60" t="e">
        <f>IF(AND(Riesgos!#REF!="Alta",Riesgos!#REF!="Moderado"),CONCATENATE("R8C",Riesgos!#REF!),"")</f>
        <v>#REF!</v>
      </c>
      <c r="Z23" s="60" t="e">
        <f>IF(AND(Riesgos!#REF!="Alta",Riesgos!#REF!="Moderado"),CONCATENATE("R8C",Riesgos!#REF!),"")</f>
        <v>#REF!</v>
      </c>
      <c r="AA23" s="59" t="e">
        <f>IF(AND(Riesgos!#REF!="Alta",Riesgos!#REF!="Moderado"),CONCATENATE("R8C",Riesgos!#REF!),"")</f>
        <v>#REF!</v>
      </c>
      <c r="AB23" s="57" t="e">
        <f>IF(AND(Riesgos!#REF!="Alta",Riesgos!#REF!="Mayor"),CONCATENATE("R8C",Riesgos!#REF!),"")</f>
        <v>#REF!</v>
      </c>
      <c r="AC23" s="58" t="e">
        <f>IF(AND(Riesgos!#REF!="Alta",Riesgos!#REF!="Mayor"),CONCATENATE("R8C",Riesgos!#REF!),"")</f>
        <v>#REF!</v>
      </c>
      <c r="AD23" s="60" t="e">
        <f>IF(AND(Riesgos!#REF!="Alta",Riesgos!#REF!="Mayor"),CONCATENATE("R8C",Riesgos!#REF!),"")</f>
        <v>#REF!</v>
      </c>
      <c r="AE23" s="60" t="e">
        <f>IF(AND(Riesgos!#REF!="Alta",Riesgos!#REF!="Mayor"),CONCATENATE("R8C",Riesgos!#REF!),"")</f>
        <v>#REF!</v>
      </c>
      <c r="AF23" s="60" t="e">
        <f>IF(AND(Riesgos!#REF!="Alta",Riesgos!#REF!="Mayor"),CONCATENATE("R8C",Riesgos!#REF!),"")</f>
        <v>#REF!</v>
      </c>
      <c r="AG23" s="59" t="e">
        <f>IF(AND(Riesgos!#REF!="Alta",Riesgos!#REF!="Mayor"),CONCATENATE("R8C",Riesgos!#REF!),"")</f>
        <v>#REF!</v>
      </c>
      <c r="AH23" s="86" t="e">
        <f>IF(AND(Riesgos!#REF!="Alta",Riesgos!#REF!="Catastrófico"),CONCATENATE("R8C",Riesgos!#REF!),"")</f>
        <v>#REF!</v>
      </c>
      <c r="AI23" s="87" t="e">
        <f>IF(AND(Riesgos!#REF!="Alta",Riesgos!#REF!="Catastrófico"),CONCATENATE("R8C",Riesgos!#REF!),"")</f>
        <v>#REF!</v>
      </c>
      <c r="AJ23" s="87" t="e">
        <f>IF(AND(Riesgos!#REF!="Alta",Riesgos!#REF!="Catastrófico"),CONCATENATE("R8C",Riesgos!#REF!),"")</f>
        <v>#REF!</v>
      </c>
      <c r="AK23" s="87" t="e">
        <f>IF(AND(Riesgos!#REF!="Alta",Riesgos!#REF!="Catastrófico"),CONCATENATE("R8C",Riesgos!#REF!),"")</f>
        <v>#REF!</v>
      </c>
      <c r="AL23" s="87" t="e">
        <f>IF(AND(Riesgos!#REF!="Alta",Riesgos!#REF!="Catastrófico"),CONCATENATE("R8C",Riesgos!#REF!),"")</f>
        <v>#REF!</v>
      </c>
      <c r="AM23" s="88" t="e">
        <f>IF(AND(Riesgos!#REF!="Alta",Riesgos!#REF!="Catastrófico"),CONCATENATE("R8C",Riesgos!#REF!),"")</f>
        <v>#REF!</v>
      </c>
      <c r="AN23" s="18"/>
      <c r="AO23" s="844"/>
      <c r="AP23" s="845"/>
      <c r="AQ23" s="845"/>
      <c r="AR23" s="845"/>
      <c r="AS23" s="845"/>
      <c r="AT23" s="846"/>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row>
    <row r="24" spans="1:76" ht="15" customHeight="1">
      <c r="A24" s="18"/>
      <c r="B24" s="826"/>
      <c r="C24" s="826"/>
      <c r="D24" s="827"/>
      <c r="E24" s="834"/>
      <c r="F24" s="835"/>
      <c r="G24" s="835"/>
      <c r="H24" s="835"/>
      <c r="I24" s="851"/>
      <c r="J24" s="67" t="e">
        <f>IF(AND(Riesgos!#REF!="Alta",Riesgos!#REF!="Leve"),CONCATENATE("R9C",Riesgos!#REF!),"")</f>
        <v>#REF!</v>
      </c>
      <c r="K24" s="68" t="e">
        <f>IF(AND(Riesgos!#REF!="Alta",Riesgos!#REF!="Leve"),CONCATENATE("R9C",Riesgos!#REF!),"")</f>
        <v>#REF!</v>
      </c>
      <c r="L24" s="68" t="e">
        <f>IF(AND(Riesgos!#REF!="Alta",Riesgos!#REF!="Leve"),CONCATENATE("R9C",Riesgos!#REF!),"")</f>
        <v>#REF!</v>
      </c>
      <c r="M24" s="68" t="e">
        <f>IF(AND(Riesgos!#REF!="Alta",Riesgos!#REF!="Leve"),CONCATENATE("R9C",Riesgos!#REF!),"")</f>
        <v>#REF!</v>
      </c>
      <c r="N24" s="68" t="e">
        <f>IF(AND(Riesgos!#REF!="Alta",Riesgos!#REF!="Leve"),CONCATENATE("R9C",Riesgos!#REF!),"")</f>
        <v>#REF!</v>
      </c>
      <c r="O24" s="69" t="e">
        <f>IF(AND(Riesgos!#REF!="Alta",Riesgos!#REF!="Leve"),CONCATENATE("R9C",Riesgos!#REF!),"")</f>
        <v>#REF!</v>
      </c>
      <c r="P24" s="67" t="e">
        <f>IF(AND(Riesgos!#REF!="Alta",Riesgos!#REF!="Menor"),CONCATENATE("R9C",Riesgos!#REF!),"")</f>
        <v>#REF!</v>
      </c>
      <c r="Q24" s="68" t="e">
        <f>IF(AND(Riesgos!#REF!="Alta",Riesgos!#REF!="Menor"),CONCATENATE("R9C",Riesgos!#REF!),"")</f>
        <v>#REF!</v>
      </c>
      <c r="R24" s="68" t="e">
        <f>IF(AND(Riesgos!#REF!="Alta",Riesgos!#REF!="Menor"),CONCATENATE("R9C",Riesgos!#REF!),"")</f>
        <v>#REF!</v>
      </c>
      <c r="S24" s="68" t="e">
        <f>IF(AND(Riesgos!#REF!="Alta",Riesgos!#REF!="Menor"),CONCATENATE("R9C",Riesgos!#REF!),"")</f>
        <v>#REF!</v>
      </c>
      <c r="T24" s="68" t="e">
        <f>IF(AND(Riesgos!#REF!="Alta",Riesgos!#REF!="Menor"),CONCATENATE("R9C",Riesgos!#REF!),"")</f>
        <v>#REF!</v>
      </c>
      <c r="U24" s="69" t="e">
        <f>IF(AND(Riesgos!#REF!="Alta",Riesgos!#REF!="Menor"),CONCATENATE("R9C",Riesgos!#REF!),"")</f>
        <v>#REF!</v>
      </c>
      <c r="V24" s="57" t="e">
        <f>IF(AND(Riesgos!#REF!="Alta",Riesgos!#REF!="Moderado"),CONCATENATE("R9C",Riesgos!#REF!),"")</f>
        <v>#REF!</v>
      </c>
      <c r="W24" s="58" t="e">
        <f>IF(AND(Riesgos!#REF!="Alta",Riesgos!#REF!="Moderado"),CONCATENATE("R9C",Riesgos!#REF!),"")</f>
        <v>#REF!</v>
      </c>
      <c r="X24" s="60" t="e">
        <f>IF(AND(Riesgos!#REF!="Alta",Riesgos!#REF!="Moderado"),CONCATENATE("R9C",Riesgos!#REF!),"")</f>
        <v>#REF!</v>
      </c>
      <c r="Y24" s="60" t="e">
        <f>IF(AND(Riesgos!#REF!="Alta",Riesgos!#REF!="Moderado"),CONCATENATE("R9C",Riesgos!#REF!),"")</f>
        <v>#REF!</v>
      </c>
      <c r="Z24" s="60" t="e">
        <f>IF(AND(Riesgos!#REF!="Alta",Riesgos!#REF!="Moderado"),CONCATENATE("R9C",Riesgos!#REF!),"")</f>
        <v>#REF!</v>
      </c>
      <c r="AA24" s="59" t="e">
        <f>IF(AND(Riesgos!#REF!="Alta",Riesgos!#REF!="Moderado"),CONCATENATE("R9C",Riesgos!#REF!),"")</f>
        <v>#REF!</v>
      </c>
      <c r="AB24" s="57" t="e">
        <f>IF(AND(Riesgos!#REF!="Alta",Riesgos!#REF!="Mayor"),CONCATENATE("R9C",Riesgos!#REF!),"")</f>
        <v>#REF!</v>
      </c>
      <c r="AC24" s="58" t="e">
        <f>IF(AND(Riesgos!#REF!="Alta",Riesgos!#REF!="Mayor"),CONCATENATE("R9C",Riesgos!#REF!),"")</f>
        <v>#REF!</v>
      </c>
      <c r="AD24" s="60" t="e">
        <f>IF(AND(Riesgos!#REF!="Alta",Riesgos!#REF!="Mayor"),CONCATENATE("R9C",Riesgos!#REF!),"")</f>
        <v>#REF!</v>
      </c>
      <c r="AE24" s="60" t="e">
        <f>IF(AND(Riesgos!#REF!="Alta",Riesgos!#REF!="Mayor"),CONCATENATE("R9C",Riesgos!#REF!),"")</f>
        <v>#REF!</v>
      </c>
      <c r="AF24" s="60" t="e">
        <f>IF(AND(Riesgos!#REF!="Alta",Riesgos!#REF!="Mayor"),CONCATENATE("R9C",Riesgos!#REF!),"")</f>
        <v>#REF!</v>
      </c>
      <c r="AG24" s="59" t="e">
        <f>IF(AND(Riesgos!#REF!="Alta",Riesgos!#REF!="Mayor"),CONCATENATE("R9C",Riesgos!#REF!),"")</f>
        <v>#REF!</v>
      </c>
      <c r="AH24" s="86" t="e">
        <f>IF(AND(Riesgos!#REF!="Alta",Riesgos!#REF!="Catastrófico"),CONCATENATE("R9C",Riesgos!#REF!),"")</f>
        <v>#REF!</v>
      </c>
      <c r="AI24" s="87" t="e">
        <f>IF(AND(Riesgos!#REF!="Alta",Riesgos!#REF!="Catastrófico"),CONCATENATE("R9C",Riesgos!#REF!),"")</f>
        <v>#REF!</v>
      </c>
      <c r="AJ24" s="87" t="e">
        <f>IF(AND(Riesgos!#REF!="Alta",Riesgos!#REF!="Catastrófico"),CONCATENATE("R9C",Riesgos!#REF!),"")</f>
        <v>#REF!</v>
      </c>
      <c r="AK24" s="87" t="e">
        <f>IF(AND(Riesgos!#REF!="Alta",Riesgos!#REF!="Catastrófico"),CONCATENATE("R9C",Riesgos!#REF!),"")</f>
        <v>#REF!</v>
      </c>
      <c r="AL24" s="87" t="e">
        <f>IF(AND(Riesgos!#REF!="Alta",Riesgos!#REF!="Catastrófico"),CONCATENATE("R9C",Riesgos!#REF!),"")</f>
        <v>#REF!</v>
      </c>
      <c r="AM24" s="88" t="e">
        <f>IF(AND(Riesgos!#REF!="Alta",Riesgos!#REF!="Catastrófico"),CONCATENATE("R9C",Riesgos!#REF!),"")</f>
        <v>#REF!</v>
      </c>
      <c r="AN24" s="18"/>
      <c r="AO24" s="844"/>
      <c r="AP24" s="845"/>
      <c r="AQ24" s="845"/>
      <c r="AR24" s="845"/>
      <c r="AS24" s="845"/>
      <c r="AT24" s="846"/>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row>
    <row r="25" spans="1:76" ht="15.75" customHeight="1">
      <c r="A25" s="18"/>
      <c r="B25" s="826"/>
      <c r="C25" s="826"/>
      <c r="D25" s="827"/>
      <c r="E25" s="837"/>
      <c r="F25" s="838"/>
      <c r="G25" s="838"/>
      <c r="H25" s="838"/>
      <c r="I25" s="838"/>
      <c r="J25" s="70" t="e">
        <f>IF(AND(Riesgos!#REF!="Alta",Riesgos!#REF!="Leve"),CONCATENATE("R10C",Riesgos!#REF!),"")</f>
        <v>#REF!</v>
      </c>
      <c r="K25" s="71" t="e">
        <f>IF(AND(Riesgos!#REF!="Alta",Riesgos!#REF!="Leve"),CONCATENATE("R10C",Riesgos!#REF!),"")</f>
        <v>#REF!</v>
      </c>
      <c r="L25" s="71" t="e">
        <f>IF(AND(Riesgos!#REF!="Alta",Riesgos!#REF!="Leve"),CONCATENATE("R10C",Riesgos!#REF!),"")</f>
        <v>#REF!</v>
      </c>
      <c r="M25" s="71" t="e">
        <f>IF(AND(Riesgos!#REF!="Alta",Riesgos!#REF!="Leve"),CONCATENATE("R10C",Riesgos!#REF!),"")</f>
        <v>#REF!</v>
      </c>
      <c r="N25" s="71" t="e">
        <f>IF(AND(Riesgos!#REF!="Alta",Riesgos!#REF!="Leve"),CONCATENATE("R10C",Riesgos!#REF!),"")</f>
        <v>#REF!</v>
      </c>
      <c r="O25" s="72" t="e">
        <f>IF(AND(Riesgos!#REF!="Alta",Riesgos!#REF!="Leve"),CONCATENATE("R10C",Riesgos!#REF!),"")</f>
        <v>#REF!</v>
      </c>
      <c r="P25" s="70" t="e">
        <f>IF(AND(Riesgos!#REF!="Alta",Riesgos!#REF!="Menor"),CONCATENATE("R10C",Riesgos!#REF!),"")</f>
        <v>#REF!</v>
      </c>
      <c r="Q25" s="71" t="e">
        <f>IF(AND(Riesgos!#REF!="Alta",Riesgos!#REF!="Menor"),CONCATENATE("R10C",Riesgos!#REF!),"")</f>
        <v>#REF!</v>
      </c>
      <c r="R25" s="71" t="e">
        <f>IF(AND(Riesgos!#REF!="Alta",Riesgos!#REF!="Menor"),CONCATENATE("R10C",Riesgos!#REF!),"")</f>
        <v>#REF!</v>
      </c>
      <c r="S25" s="71" t="e">
        <f>IF(AND(Riesgos!#REF!="Alta",Riesgos!#REF!="Menor"),CONCATENATE("R10C",Riesgos!#REF!),"")</f>
        <v>#REF!</v>
      </c>
      <c r="T25" s="71" t="e">
        <f>IF(AND(Riesgos!#REF!="Alta",Riesgos!#REF!="Menor"),CONCATENATE("R10C",Riesgos!#REF!),"")</f>
        <v>#REF!</v>
      </c>
      <c r="U25" s="72" t="e">
        <f>IF(AND(Riesgos!#REF!="Alta",Riesgos!#REF!="Menor"),CONCATENATE("R10C",Riesgos!#REF!),"")</f>
        <v>#REF!</v>
      </c>
      <c r="V25" s="61" t="e">
        <f>IF(AND(Riesgos!#REF!="Alta",Riesgos!#REF!="Moderado"),CONCATENATE("R10C",Riesgos!#REF!),"")</f>
        <v>#REF!</v>
      </c>
      <c r="W25" s="62" t="e">
        <f>IF(AND(Riesgos!#REF!="Alta",Riesgos!#REF!="Moderado"),CONCATENATE("R10C",Riesgos!#REF!),"")</f>
        <v>#REF!</v>
      </c>
      <c r="X25" s="62" t="e">
        <f>IF(AND(Riesgos!#REF!="Alta",Riesgos!#REF!="Moderado"),CONCATENATE("R10C",Riesgos!#REF!),"")</f>
        <v>#REF!</v>
      </c>
      <c r="Y25" s="62" t="e">
        <f>IF(AND(Riesgos!#REF!="Alta",Riesgos!#REF!="Moderado"),CONCATENATE("R10C",Riesgos!#REF!),"")</f>
        <v>#REF!</v>
      </c>
      <c r="Z25" s="62" t="e">
        <f>IF(AND(Riesgos!#REF!="Alta",Riesgos!#REF!="Moderado"),CONCATENATE("R10C",Riesgos!#REF!),"")</f>
        <v>#REF!</v>
      </c>
      <c r="AA25" s="63" t="e">
        <f>IF(AND(Riesgos!#REF!="Alta",Riesgos!#REF!="Moderado"),CONCATENATE("R10C",Riesgos!#REF!),"")</f>
        <v>#REF!</v>
      </c>
      <c r="AB25" s="61" t="e">
        <f>IF(AND(Riesgos!#REF!="Alta",Riesgos!#REF!="Mayor"),CONCATENATE("R10C",Riesgos!#REF!),"")</f>
        <v>#REF!</v>
      </c>
      <c r="AC25" s="62" t="e">
        <f>IF(AND(Riesgos!#REF!="Alta",Riesgos!#REF!="Mayor"),CONCATENATE("R10C",Riesgos!#REF!),"")</f>
        <v>#REF!</v>
      </c>
      <c r="AD25" s="62" t="e">
        <f>IF(AND(Riesgos!#REF!="Alta",Riesgos!#REF!="Mayor"),CONCATENATE("R10C",Riesgos!#REF!),"")</f>
        <v>#REF!</v>
      </c>
      <c r="AE25" s="62" t="e">
        <f>IF(AND(Riesgos!#REF!="Alta",Riesgos!#REF!="Mayor"),CONCATENATE("R10C",Riesgos!#REF!),"")</f>
        <v>#REF!</v>
      </c>
      <c r="AF25" s="62" t="e">
        <f>IF(AND(Riesgos!#REF!="Alta",Riesgos!#REF!="Mayor"),CONCATENATE("R10C",Riesgos!#REF!),"")</f>
        <v>#REF!</v>
      </c>
      <c r="AG25" s="63" t="e">
        <f>IF(AND(Riesgos!#REF!="Alta",Riesgos!#REF!="Mayor"),CONCATENATE("R10C",Riesgos!#REF!),"")</f>
        <v>#REF!</v>
      </c>
      <c r="AH25" s="89" t="e">
        <f>IF(AND(Riesgos!#REF!="Alta",Riesgos!#REF!="Catastrófico"),CONCATENATE("R10C",Riesgos!#REF!),"")</f>
        <v>#REF!</v>
      </c>
      <c r="AI25" s="90" t="e">
        <f>IF(AND(Riesgos!#REF!="Alta",Riesgos!#REF!="Catastrófico"),CONCATENATE("R10C",Riesgos!#REF!),"")</f>
        <v>#REF!</v>
      </c>
      <c r="AJ25" s="90" t="e">
        <f>IF(AND(Riesgos!#REF!="Alta",Riesgos!#REF!="Catastrófico"),CONCATENATE("R10C",Riesgos!#REF!),"")</f>
        <v>#REF!</v>
      </c>
      <c r="AK25" s="90" t="e">
        <f>IF(AND(Riesgos!#REF!="Alta",Riesgos!#REF!="Catastrófico"),CONCATENATE("R10C",Riesgos!#REF!),"")</f>
        <v>#REF!</v>
      </c>
      <c r="AL25" s="90" t="e">
        <f>IF(AND(Riesgos!#REF!="Alta",Riesgos!#REF!="Catastrófico"),CONCATENATE("R10C",Riesgos!#REF!),"")</f>
        <v>#REF!</v>
      </c>
      <c r="AM25" s="91" t="e">
        <f>IF(AND(Riesgos!#REF!="Alta",Riesgos!#REF!="Catastrófico"),CONCATENATE("R10C",Riesgos!#REF!),"")</f>
        <v>#REF!</v>
      </c>
      <c r="AN25" s="18"/>
      <c r="AO25" s="847"/>
      <c r="AP25" s="848"/>
      <c r="AQ25" s="848"/>
      <c r="AR25" s="848"/>
      <c r="AS25" s="848"/>
      <c r="AT25" s="849"/>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row>
    <row r="26" spans="1:76" ht="15" customHeight="1">
      <c r="A26" s="18"/>
      <c r="B26" s="826"/>
      <c r="C26" s="826"/>
      <c r="D26" s="827"/>
      <c r="E26" s="831" t="s">
        <v>1531</v>
      </c>
      <c r="F26" s="832"/>
      <c r="G26" s="832"/>
      <c r="H26" s="832"/>
      <c r="I26" s="833"/>
      <c r="J26" s="64" t="e">
        <f>IF(AND(Riesgos!#REF!="Media",Riesgos!#REF!="Leve"),CONCATENATE("R1C",Riesgos!#REF!),"")</f>
        <v>#REF!</v>
      </c>
      <c r="K26" s="65" t="e">
        <f>IF(AND(Riesgos!#REF!="Media",Riesgos!#REF!="Leve"),CONCATENATE("R1C",Riesgos!#REF!),"")</f>
        <v>#REF!</v>
      </c>
      <c r="L26" s="65" t="e">
        <f>IF(AND(Riesgos!#REF!="Media",Riesgos!#REF!="Leve"),CONCATENATE("R1C",Riesgos!#REF!),"")</f>
        <v>#REF!</v>
      </c>
      <c r="M26" s="65" t="e">
        <f>IF(AND(Riesgos!#REF!="Media",Riesgos!#REF!="Leve"),CONCATENATE("R1C",Riesgos!#REF!),"")</f>
        <v>#REF!</v>
      </c>
      <c r="N26" s="65" t="e">
        <f>IF(AND(Riesgos!#REF!="Media",Riesgos!#REF!="Leve"),CONCATENATE("R1C",Riesgos!#REF!),"")</f>
        <v>#REF!</v>
      </c>
      <c r="O26" s="66" t="e">
        <f>IF(AND(Riesgos!#REF!="Media",Riesgos!#REF!="Leve"),CONCATENATE("R1C",Riesgos!#REF!),"")</f>
        <v>#REF!</v>
      </c>
      <c r="P26" s="64" t="e">
        <f>IF(AND(Riesgos!#REF!="Media",Riesgos!#REF!="Menor"),CONCATENATE("R1C",Riesgos!#REF!),"")</f>
        <v>#REF!</v>
      </c>
      <c r="Q26" s="65" t="e">
        <f>IF(AND(Riesgos!#REF!="Media",Riesgos!#REF!="Menor"),CONCATENATE("R1C",Riesgos!#REF!),"")</f>
        <v>#REF!</v>
      </c>
      <c r="R26" s="65" t="e">
        <f>IF(AND(Riesgos!#REF!="Media",Riesgos!#REF!="Menor"),CONCATENATE("R1C",Riesgos!#REF!),"")</f>
        <v>#REF!</v>
      </c>
      <c r="S26" s="65" t="e">
        <f>IF(AND(Riesgos!#REF!="Media",Riesgos!#REF!="Menor"),CONCATENATE("R1C",Riesgos!#REF!),"")</f>
        <v>#REF!</v>
      </c>
      <c r="T26" s="65" t="e">
        <f>IF(AND(Riesgos!#REF!="Media",Riesgos!#REF!="Menor"),CONCATENATE("R1C",Riesgos!#REF!),"")</f>
        <v>#REF!</v>
      </c>
      <c r="U26" s="66" t="e">
        <f>IF(AND(Riesgos!#REF!="Media",Riesgos!#REF!="Menor"),CONCATENATE("R1C",Riesgos!#REF!),"")</f>
        <v>#REF!</v>
      </c>
      <c r="V26" s="64" t="e">
        <f>IF(AND(Riesgos!#REF!="Media",Riesgos!#REF!="Moderado"),CONCATENATE("R1C",Riesgos!#REF!),"")</f>
        <v>#REF!</v>
      </c>
      <c r="W26" s="65" t="e">
        <f>IF(AND(Riesgos!#REF!="Media",Riesgos!#REF!="Moderado"),CONCATENATE("R1C",Riesgos!#REF!),"")</f>
        <v>#REF!</v>
      </c>
      <c r="X26" s="65" t="e">
        <f>IF(AND(Riesgos!#REF!="Media",Riesgos!#REF!="Moderado"),CONCATENATE("R1C",Riesgos!#REF!),"")</f>
        <v>#REF!</v>
      </c>
      <c r="Y26" s="65" t="e">
        <f>IF(AND(Riesgos!#REF!="Media",Riesgos!#REF!="Moderado"),CONCATENATE("R1C",Riesgos!#REF!),"")</f>
        <v>#REF!</v>
      </c>
      <c r="Z26" s="65" t="e">
        <f>IF(AND(Riesgos!#REF!="Media",Riesgos!#REF!="Moderado"),CONCATENATE("R1C",Riesgos!#REF!),"")</f>
        <v>#REF!</v>
      </c>
      <c r="AA26" s="66" t="e">
        <f>IF(AND(Riesgos!#REF!="Media",Riesgos!#REF!="Moderado"),CONCATENATE("R1C",Riesgos!#REF!),"")</f>
        <v>#REF!</v>
      </c>
      <c r="AB26" s="54" t="e">
        <f>IF(AND(Riesgos!#REF!="Media",Riesgos!#REF!="Mayor"),CONCATENATE("R1C",Riesgos!#REF!),"")</f>
        <v>#REF!</v>
      </c>
      <c r="AC26" s="55" t="e">
        <f>IF(AND(Riesgos!#REF!="Media",Riesgos!#REF!="Mayor"),CONCATENATE("R1C",Riesgos!#REF!),"")</f>
        <v>#REF!</v>
      </c>
      <c r="AD26" s="55" t="e">
        <f>IF(AND(Riesgos!#REF!="Media",Riesgos!#REF!="Mayor"),CONCATENATE("R1C",Riesgos!#REF!),"")</f>
        <v>#REF!</v>
      </c>
      <c r="AE26" s="55" t="e">
        <f>IF(AND(Riesgos!#REF!="Media",Riesgos!#REF!="Mayor"),CONCATENATE("R1C",Riesgos!#REF!),"")</f>
        <v>#REF!</v>
      </c>
      <c r="AF26" s="55" t="e">
        <f>IF(AND(Riesgos!#REF!="Media",Riesgos!#REF!="Mayor"),CONCATENATE("R1C",Riesgos!#REF!),"")</f>
        <v>#REF!</v>
      </c>
      <c r="AG26" s="56" t="e">
        <f>IF(AND(Riesgos!#REF!="Media",Riesgos!#REF!="Mayor"),CONCATENATE("R1C",Riesgos!#REF!),"")</f>
        <v>#REF!</v>
      </c>
      <c r="AH26" s="83" t="e">
        <f>IF(AND(Riesgos!#REF!="Media",Riesgos!#REF!="Catastrófico"),CONCATENATE("R1C",Riesgos!#REF!),"")</f>
        <v>#REF!</v>
      </c>
      <c r="AI26" s="84" t="e">
        <f>IF(AND(Riesgos!#REF!="Media",Riesgos!#REF!="Catastrófico"),CONCATENATE("R1C",Riesgos!#REF!),"")</f>
        <v>#REF!</v>
      </c>
      <c r="AJ26" s="84" t="e">
        <f>IF(AND(Riesgos!#REF!="Media",Riesgos!#REF!="Catastrófico"),CONCATENATE("R1C",Riesgos!#REF!),"")</f>
        <v>#REF!</v>
      </c>
      <c r="AK26" s="84" t="e">
        <f>IF(AND(Riesgos!#REF!="Media",Riesgos!#REF!="Catastrófico"),CONCATENATE("R1C",Riesgos!#REF!),"")</f>
        <v>#REF!</v>
      </c>
      <c r="AL26" s="84" t="e">
        <f>IF(AND(Riesgos!#REF!="Media",Riesgos!#REF!="Catastrófico"),CONCATENATE("R1C",Riesgos!#REF!),"")</f>
        <v>#REF!</v>
      </c>
      <c r="AM26" s="85" t="e">
        <f>IF(AND(Riesgos!#REF!="Media",Riesgos!#REF!="Catastrófico"),CONCATENATE("R1C",Riesgos!#REF!),"")</f>
        <v>#REF!</v>
      </c>
      <c r="AN26" s="18"/>
      <c r="AO26" s="872" t="s">
        <v>1471</v>
      </c>
      <c r="AP26" s="873"/>
      <c r="AQ26" s="873"/>
      <c r="AR26" s="873"/>
      <c r="AS26" s="873"/>
      <c r="AT26" s="874"/>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row>
    <row r="27" spans="1:76" ht="15" customHeight="1">
      <c r="A27" s="18"/>
      <c r="B27" s="826"/>
      <c r="C27" s="826"/>
      <c r="D27" s="827"/>
      <c r="E27" s="850"/>
      <c r="F27" s="851"/>
      <c r="G27" s="851"/>
      <c r="H27" s="851"/>
      <c r="I27" s="836"/>
      <c r="J27" s="67" t="e">
        <f>IF(AND(Riesgos!#REF!="Media",Riesgos!#REF!="Leve"),CONCATENATE("R2C",Riesgos!#REF!),"")</f>
        <v>#REF!</v>
      </c>
      <c r="K27" s="68" t="e">
        <f>IF(AND(Riesgos!#REF!="Media",Riesgos!#REF!="Leve"),CONCATENATE("R2C",Riesgos!#REF!),"")</f>
        <v>#REF!</v>
      </c>
      <c r="L27" s="68" t="e">
        <f>IF(AND(Riesgos!#REF!="Media",Riesgos!#REF!="Leve"),CONCATENATE("R2C",Riesgos!#REF!),"")</f>
        <v>#REF!</v>
      </c>
      <c r="M27" s="68" t="e">
        <f>IF(AND(Riesgos!#REF!="Media",Riesgos!#REF!="Leve"),CONCATENATE("R2C",Riesgos!#REF!),"")</f>
        <v>#REF!</v>
      </c>
      <c r="N27" s="68" t="e">
        <f>IF(AND(Riesgos!#REF!="Media",Riesgos!#REF!="Leve"),CONCATENATE("R2C",Riesgos!#REF!),"")</f>
        <v>#REF!</v>
      </c>
      <c r="O27" s="69" t="e">
        <f>IF(AND(Riesgos!#REF!="Media",Riesgos!#REF!="Leve"),CONCATENATE("R2C",Riesgos!#REF!),"")</f>
        <v>#REF!</v>
      </c>
      <c r="P27" s="67" t="e">
        <f>IF(AND(Riesgos!#REF!="Media",Riesgos!#REF!="Menor"),CONCATENATE("R2C",Riesgos!#REF!),"")</f>
        <v>#REF!</v>
      </c>
      <c r="Q27" s="68" t="e">
        <f>IF(AND(Riesgos!#REF!="Media",Riesgos!#REF!="Menor"),CONCATENATE("R2C",Riesgos!#REF!),"")</f>
        <v>#REF!</v>
      </c>
      <c r="R27" s="68" t="e">
        <f>IF(AND(Riesgos!#REF!="Media",Riesgos!#REF!="Menor"),CONCATENATE("R2C",Riesgos!#REF!),"")</f>
        <v>#REF!</v>
      </c>
      <c r="S27" s="68" t="e">
        <f>IF(AND(Riesgos!#REF!="Media",Riesgos!#REF!="Menor"),CONCATENATE("R2C",Riesgos!#REF!),"")</f>
        <v>#REF!</v>
      </c>
      <c r="T27" s="68" t="e">
        <f>IF(AND(Riesgos!#REF!="Media",Riesgos!#REF!="Menor"),CONCATENATE("R2C",Riesgos!#REF!),"")</f>
        <v>#REF!</v>
      </c>
      <c r="U27" s="69" t="e">
        <f>IF(AND(Riesgos!#REF!="Media",Riesgos!#REF!="Menor"),CONCATENATE("R2C",Riesgos!#REF!),"")</f>
        <v>#REF!</v>
      </c>
      <c r="V27" s="67" t="e">
        <f>IF(AND(Riesgos!#REF!="Media",Riesgos!#REF!="Moderado"),CONCATENATE("R2C",Riesgos!#REF!),"")</f>
        <v>#REF!</v>
      </c>
      <c r="W27" s="68" t="e">
        <f>IF(AND(Riesgos!#REF!="Media",Riesgos!#REF!="Moderado"),CONCATENATE("R2C",Riesgos!#REF!),"")</f>
        <v>#REF!</v>
      </c>
      <c r="X27" s="68" t="e">
        <f>IF(AND(Riesgos!#REF!="Media",Riesgos!#REF!="Moderado"),CONCATENATE("R2C",Riesgos!#REF!),"")</f>
        <v>#REF!</v>
      </c>
      <c r="Y27" s="68" t="e">
        <f>IF(AND(Riesgos!#REF!="Media",Riesgos!#REF!="Moderado"),CONCATENATE("R2C",Riesgos!#REF!),"")</f>
        <v>#REF!</v>
      </c>
      <c r="Z27" s="68" t="e">
        <f>IF(AND(Riesgos!#REF!="Media",Riesgos!#REF!="Moderado"),CONCATENATE("R2C",Riesgos!#REF!),"")</f>
        <v>#REF!</v>
      </c>
      <c r="AA27" s="69" t="e">
        <f>IF(AND(Riesgos!#REF!="Media",Riesgos!#REF!="Moderado"),CONCATENATE("R2C",Riesgos!#REF!),"")</f>
        <v>#REF!</v>
      </c>
      <c r="AB27" s="57" t="e">
        <f>IF(AND(Riesgos!#REF!="Media",Riesgos!#REF!="Mayor"),CONCATENATE("R2C",Riesgos!#REF!),"")</f>
        <v>#REF!</v>
      </c>
      <c r="AC27" s="58" t="e">
        <f>IF(AND(Riesgos!#REF!="Media",Riesgos!#REF!="Mayor"),CONCATENATE("R2C",Riesgos!#REF!),"")</f>
        <v>#REF!</v>
      </c>
      <c r="AD27" s="58" t="e">
        <f>IF(AND(Riesgos!#REF!="Media",Riesgos!#REF!="Mayor"),CONCATENATE("R2C",Riesgos!#REF!),"")</f>
        <v>#REF!</v>
      </c>
      <c r="AE27" s="58" t="e">
        <f>IF(AND(Riesgos!#REF!="Media",Riesgos!#REF!="Mayor"),CONCATENATE("R2C",Riesgos!#REF!),"")</f>
        <v>#REF!</v>
      </c>
      <c r="AF27" s="58" t="e">
        <f>IF(AND(Riesgos!#REF!="Media",Riesgos!#REF!="Mayor"),CONCATENATE("R2C",Riesgos!#REF!),"")</f>
        <v>#REF!</v>
      </c>
      <c r="AG27" s="59" t="e">
        <f>IF(AND(Riesgos!#REF!="Media",Riesgos!#REF!="Mayor"),CONCATENATE("R2C",Riesgos!#REF!),"")</f>
        <v>#REF!</v>
      </c>
      <c r="AH27" s="86" t="e">
        <f>IF(AND(Riesgos!#REF!="Media",Riesgos!#REF!="Catastrófico"),CONCATENATE("R2C",Riesgos!#REF!),"")</f>
        <v>#REF!</v>
      </c>
      <c r="AI27" s="87" t="e">
        <f>IF(AND(Riesgos!#REF!="Media",Riesgos!#REF!="Catastrófico"),CONCATENATE("R2C",Riesgos!#REF!),"")</f>
        <v>#REF!</v>
      </c>
      <c r="AJ27" s="87" t="e">
        <f>IF(AND(Riesgos!#REF!="Media",Riesgos!#REF!="Catastrófico"),CONCATENATE("R2C",Riesgos!#REF!),"")</f>
        <v>#REF!</v>
      </c>
      <c r="AK27" s="87" t="e">
        <f>IF(AND(Riesgos!#REF!="Media",Riesgos!#REF!="Catastrófico"),CONCATENATE("R2C",Riesgos!#REF!),"")</f>
        <v>#REF!</v>
      </c>
      <c r="AL27" s="87" t="e">
        <f>IF(AND(Riesgos!#REF!="Media",Riesgos!#REF!="Catastrófico"),CONCATENATE("R2C",Riesgos!#REF!),"")</f>
        <v>#REF!</v>
      </c>
      <c r="AM27" s="88" t="e">
        <f>IF(AND(Riesgos!#REF!="Media",Riesgos!#REF!="Catastrófico"),CONCATENATE("R2C",Riesgos!#REF!),"")</f>
        <v>#REF!</v>
      </c>
      <c r="AN27" s="18"/>
      <c r="AO27" s="875"/>
      <c r="AP27" s="876"/>
      <c r="AQ27" s="876"/>
      <c r="AR27" s="876"/>
      <c r="AS27" s="876"/>
      <c r="AT27" s="877"/>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row>
    <row r="28" spans="1:76" ht="15" customHeight="1">
      <c r="A28" s="18"/>
      <c r="B28" s="826"/>
      <c r="C28" s="826"/>
      <c r="D28" s="827"/>
      <c r="E28" s="834"/>
      <c r="F28" s="835"/>
      <c r="G28" s="835"/>
      <c r="H28" s="835"/>
      <c r="I28" s="836"/>
      <c r="J28" s="67" t="e">
        <f>IF(AND(Riesgos!#REF!="Media",Riesgos!#REF!="Leve"),CONCATENATE("R3C",Riesgos!#REF!),"")</f>
        <v>#REF!</v>
      </c>
      <c r="K28" s="68" t="e">
        <f>IF(AND(Riesgos!#REF!="Media",Riesgos!#REF!="Leve"),CONCATENATE("R3C",Riesgos!#REF!),"")</f>
        <v>#REF!</v>
      </c>
      <c r="L28" s="68" t="e">
        <f>IF(AND(Riesgos!#REF!="Media",Riesgos!#REF!="Leve"),CONCATENATE("R3C",Riesgos!#REF!),"")</f>
        <v>#REF!</v>
      </c>
      <c r="M28" s="68" t="e">
        <f>IF(AND(Riesgos!#REF!="Media",Riesgos!#REF!="Leve"),CONCATENATE("R3C",Riesgos!#REF!),"")</f>
        <v>#REF!</v>
      </c>
      <c r="N28" s="68" t="e">
        <f>IF(AND(Riesgos!#REF!="Media",Riesgos!#REF!="Leve"),CONCATENATE("R3C",Riesgos!#REF!),"")</f>
        <v>#REF!</v>
      </c>
      <c r="O28" s="69" t="e">
        <f>IF(AND(Riesgos!#REF!="Media",Riesgos!#REF!="Leve"),CONCATENATE("R3C",Riesgos!#REF!),"")</f>
        <v>#REF!</v>
      </c>
      <c r="P28" s="67" t="e">
        <f>IF(AND(Riesgos!#REF!="Media",Riesgos!#REF!="Menor"),CONCATENATE("R3C",Riesgos!#REF!),"")</f>
        <v>#REF!</v>
      </c>
      <c r="Q28" s="68" t="e">
        <f>IF(AND(Riesgos!#REF!="Media",Riesgos!#REF!="Menor"),CONCATENATE("R3C",Riesgos!#REF!),"")</f>
        <v>#REF!</v>
      </c>
      <c r="R28" s="68" t="e">
        <f>IF(AND(Riesgos!#REF!="Media",Riesgos!#REF!="Menor"),CONCATENATE("R3C",Riesgos!#REF!),"")</f>
        <v>#REF!</v>
      </c>
      <c r="S28" s="68" t="e">
        <f>IF(AND(Riesgos!#REF!="Media",Riesgos!#REF!="Menor"),CONCATENATE("R3C",Riesgos!#REF!),"")</f>
        <v>#REF!</v>
      </c>
      <c r="T28" s="68" t="e">
        <f>IF(AND(Riesgos!#REF!="Media",Riesgos!#REF!="Menor"),CONCATENATE("R3C",Riesgos!#REF!),"")</f>
        <v>#REF!</v>
      </c>
      <c r="U28" s="69" t="e">
        <f>IF(AND(Riesgos!#REF!="Media",Riesgos!#REF!="Menor"),CONCATENATE("R3C",Riesgos!#REF!),"")</f>
        <v>#REF!</v>
      </c>
      <c r="V28" s="67" t="e">
        <f>IF(AND(Riesgos!#REF!="Media",Riesgos!#REF!="Moderado"),CONCATENATE("R3C",Riesgos!#REF!),"")</f>
        <v>#REF!</v>
      </c>
      <c r="W28" s="68" t="e">
        <f>IF(AND(Riesgos!#REF!="Media",Riesgos!#REF!="Moderado"),CONCATENATE("R3C",Riesgos!#REF!),"")</f>
        <v>#REF!</v>
      </c>
      <c r="X28" s="68" t="e">
        <f>IF(AND(Riesgos!#REF!="Media",Riesgos!#REF!="Moderado"),CONCATENATE("R3C",Riesgos!#REF!),"")</f>
        <v>#REF!</v>
      </c>
      <c r="Y28" s="68" t="e">
        <f>IF(AND(Riesgos!#REF!="Media",Riesgos!#REF!="Moderado"),CONCATENATE("R3C",Riesgos!#REF!),"")</f>
        <v>#REF!</v>
      </c>
      <c r="Z28" s="68" t="e">
        <f>IF(AND(Riesgos!#REF!="Media",Riesgos!#REF!="Moderado"),CONCATENATE("R3C",Riesgos!#REF!),"")</f>
        <v>#REF!</v>
      </c>
      <c r="AA28" s="69" t="e">
        <f>IF(AND(Riesgos!#REF!="Media",Riesgos!#REF!="Moderado"),CONCATENATE("R3C",Riesgos!#REF!),"")</f>
        <v>#REF!</v>
      </c>
      <c r="AB28" s="57" t="e">
        <f>IF(AND(Riesgos!#REF!="Media",Riesgos!#REF!="Mayor"),CONCATENATE("R3C",Riesgos!#REF!),"")</f>
        <v>#REF!</v>
      </c>
      <c r="AC28" s="58" t="e">
        <f>IF(AND(Riesgos!#REF!="Media",Riesgos!#REF!="Mayor"),CONCATENATE("R3C",Riesgos!#REF!),"")</f>
        <v>#REF!</v>
      </c>
      <c r="AD28" s="58" t="e">
        <f>IF(AND(Riesgos!#REF!="Media",Riesgos!#REF!="Mayor"),CONCATENATE("R3C",Riesgos!#REF!),"")</f>
        <v>#REF!</v>
      </c>
      <c r="AE28" s="58" t="e">
        <f>IF(AND(Riesgos!#REF!="Media",Riesgos!#REF!="Mayor"),CONCATENATE("R3C",Riesgos!#REF!),"")</f>
        <v>#REF!</v>
      </c>
      <c r="AF28" s="58" t="e">
        <f>IF(AND(Riesgos!#REF!="Media",Riesgos!#REF!="Mayor"),CONCATENATE("R3C",Riesgos!#REF!),"")</f>
        <v>#REF!</v>
      </c>
      <c r="AG28" s="59" t="e">
        <f>IF(AND(Riesgos!#REF!="Media",Riesgos!#REF!="Mayor"),CONCATENATE("R3C",Riesgos!#REF!),"")</f>
        <v>#REF!</v>
      </c>
      <c r="AH28" s="86" t="e">
        <f>IF(AND(Riesgos!#REF!="Media",Riesgos!#REF!="Catastrófico"),CONCATENATE("R3C",Riesgos!#REF!),"")</f>
        <v>#REF!</v>
      </c>
      <c r="AI28" s="87" t="e">
        <f>IF(AND(Riesgos!#REF!="Media",Riesgos!#REF!="Catastrófico"),CONCATENATE("R3C",Riesgos!#REF!),"")</f>
        <v>#REF!</v>
      </c>
      <c r="AJ28" s="87" t="e">
        <f>IF(AND(Riesgos!#REF!="Media",Riesgos!#REF!="Catastrófico"),CONCATENATE("R3C",Riesgos!#REF!),"")</f>
        <v>#REF!</v>
      </c>
      <c r="AK28" s="87" t="e">
        <f>IF(AND(Riesgos!#REF!="Media",Riesgos!#REF!="Catastrófico"),CONCATENATE("R3C",Riesgos!#REF!),"")</f>
        <v>#REF!</v>
      </c>
      <c r="AL28" s="87" t="e">
        <f>IF(AND(Riesgos!#REF!="Media",Riesgos!#REF!="Catastrófico"),CONCATENATE("R3C",Riesgos!#REF!),"")</f>
        <v>#REF!</v>
      </c>
      <c r="AM28" s="88" t="e">
        <f>IF(AND(Riesgos!#REF!="Media",Riesgos!#REF!="Catastrófico"),CONCATENATE("R3C",Riesgos!#REF!),"")</f>
        <v>#REF!</v>
      </c>
      <c r="AN28" s="18"/>
      <c r="AO28" s="875"/>
      <c r="AP28" s="876"/>
      <c r="AQ28" s="876"/>
      <c r="AR28" s="876"/>
      <c r="AS28" s="876"/>
      <c r="AT28" s="877"/>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row>
    <row r="29" spans="1:76" ht="15" customHeight="1">
      <c r="A29" s="18"/>
      <c r="B29" s="826"/>
      <c r="C29" s="826"/>
      <c r="D29" s="827"/>
      <c r="E29" s="834"/>
      <c r="F29" s="835"/>
      <c r="G29" s="835"/>
      <c r="H29" s="835"/>
      <c r="I29" s="836"/>
      <c r="J29" s="67" t="e">
        <f>IF(AND(Riesgos!#REF!="Media",Riesgos!#REF!="Leve"),CONCATENATE("R4C",Riesgos!#REF!),"")</f>
        <v>#REF!</v>
      </c>
      <c r="K29" s="68" t="e">
        <f>IF(AND(Riesgos!#REF!="Media",Riesgos!#REF!="Leve"),CONCATENATE("R4C",Riesgos!#REF!),"")</f>
        <v>#REF!</v>
      </c>
      <c r="L29" s="68" t="e">
        <f>IF(AND(Riesgos!#REF!="Media",Riesgos!#REF!="Leve"),CONCATENATE("R4C",Riesgos!#REF!),"")</f>
        <v>#REF!</v>
      </c>
      <c r="M29" s="68" t="e">
        <f>IF(AND(Riesgos!#REF!="Media",Riesgos!#REF!="Leve"),CONCATENATE("R4C",Riesgos!#REF!),"")</f>
        <v>#REF!</v>
      </c>
      <c r="N29" s="68" t="e">
        <f>IF(AND(Riesgos!#REF!="Media",Riesgos!#REF!="Leve"),CONCATENATE("R4C",Riesgos!#REF!),"")</f>
        <v>#REF!</v>
      </c>
      <c r="O29" s="69" t="e">
        <f>IF(AND(Riesgos!#REF!="Media",Riesgos!#REF!="Leve"),CONCATENATE("R4C",Riesgos!#REF!),"")</f>
        <v>#REF!</v>
      </c>
      <c r="P29" s="67" t="e">
        <f>IF(AND(Riesgos!#REF!="Media",Riesgos!#REF!="Menor"),CONCATENATE("R4C",Riesgos!#REF!),"")</f>
        <v>#REF!</v>
      </c>
      <c r="Q29" s="68" t="e">
        <f>IF(AND(Riesgos!#REF!="Media",Riesgos!#REF!="Menor"),CONCATENATE("R4C",Riesgos!#REF!),"")</f>
        <v>#REF!</v>
      </c>
      <c r="R29" s="68" t="e">
        <f>IF(AND(Riesgos!#REF!="Media",Riesgos!#REF!="Menor"),CONCATENATE("R4C",Riesgos!#REF!),"")</f>
        <v>#REF!</v>
      </c>
      <c r="S29" s="68" t="e">
        <f>IF(AND(Riesgos!#REF!="Media",Riesgos!#REF!="Menor"),CONCATENATE("R4C",Riesgos!#REF!),"")</f>
        <v>#REF!</v>
      </c>
      <c r="T29" s="68" t="e">
        <f>IF(AND(Riesgos!#REF!="Media",Riesgos!#REF!="Menor"),CONCATENATE("R4C",Riesgos!#REF!),"")</f>
        <v>#REF!</v>
      </c>
      <c r="U29" s="69" t="e">
        <f>IF(AND(Riesgos!#REF!="Media",Riesgos!#REF!="Menor"),CONCATENATE("R4C",Riesgos!#REF!),"")</f>
        <v>#REF!</v>
      </c>
      <c r="V29" s="67" t="e">
        <f>IF(AND(Riesgos!#REF!="Media",Riesgos!#REF!="Moderado"),CONCATENATE("R4C",Riesgos!#REF!),"")</f>
        <v>#REF!</v>
      </c>
      <c r="W29" s="68" t="e">
        <f>IF(AND(Riesgos!#REF!="Media",Riesgos!#REF!="Moderado"),CONCATENATE("R4C",Riesgos!#REF!),"")</f>
        <v>#REF!</v>
      </c>
      <c r="X29" s="68" t="e">
        <f>IF(AND(Riesgos!#REF!="Media",Riesgos!#REF!="Moderado"),CONCATENATE("R4C",Riesgos!#REF!),"")</f>
        <v>#REF!</v>
      </c>
      <c r="Y29" s="68" t="e">
        <f>IF(AND(Riesgos!#REF!="Media",Riesgos!#REF!="Moderado"),CONCATENATE("R4C",Riesgos!#REF!),"")</f>
        <v>#REF!</v>
      </c>
      <c r="Z29" s="68" t="e">
        <f>IF(AND(Riesgos!#REF!="Media",Riesgos!#REF!="Moderado"),CONCATENATE("R4C",Riesgos!#REF!),"")</f>
        <v>#REF!</v>
      </c>
      <c r="AA29" s="69" t="e">
        <f>IF(AND(Riesgos!#REF!="Media",Riesgos!#REF!="Moderado"),CONCATENATE("R4C",Riesgos!#REF!),"")</f>
        <v>#REF!</v>
      </c>
      <c r="AB29" s="57" t="e">
        <f>IF(AND(Riesgos!#REF!="Media",Riesgos!#REF!="Mayor"),CONCATENATE("R4C",Riesgos!#REF!),"")</f>
        <v>#REF!</v>
      </c>
      <c r="AC29" s="58" t="e">
        <f>IF(AND(Riesgos!#REF!="Media",Riesgos!#REF!="Mayor"),CONCATENATE("R4C",Riesgos!#REF!),"")</f>
        <v>#REF!</v>
      </c>
      <c r="AD29" s="60" t="e">
        <f>IF(AND(Riesgos!#REF!="Media",Riesgos!#REF!="Mayor"),CONCATENATE("R4C",Riesgos!#REF!),"")</f>
        <v>#REF!</v>
      </c>
      <c r="AE29" s="60" t="e">
        <f>IF(AND(Riesgos!#REF!="Media",Riesgos!#REF!="Mayor"),CONCATENATE("R4C",Riesgos!#REF!),"")</f>
        <v>#REF!</v>
      </c>
      <c r="AF29" s="60" t="e">
        <f>IF(AND(Riesgos!#REF!="Media",Riesgos!#REF!="Mayor"),CONCATENATE("R4C",Riesgos!#REF!),"")</f>
        <v>#REF!</v>
      </c>
      <c r="AG29" s="59" t="e">
        <f>IF(AND(Riesgos!#REF!="Media",Riesgos!#REF!="Mayor"),CONCATENATE("R4C",Riesgos!#REF!),"")</f>
        <v>#REF!</v>
      </c>
      <c r="AH29" s="86" t="e">
        <f>IF(AND(Riesgos!#REF!="Media",Riesgos!#REF!="Catastrófico"),CONCATENATE("R4C",Riesgos!#REF!),"")</f>
        <v>#REF!</v>
      </c>
      <c r="AI29" s="87" t="e">
        <f>IF(AND(Riesgos!#REF!="Media",Riesgos!#REF!="Catastrófico"),CONCATENATE("R4C",Riesgos!#REF!),"")</f>
        <v>#REF!</v>
      </c>
      <c r="AJ29" s="87" t="e">
        <f>IF(AND(Riesgos!#REF!="Media",Riesgos!#REF!="Catastrófico"),CONCATENATE("R4C",Riesgos!#REF!),"")</f>
        <v>#REF!</v>
      </c>
      <c r="AK29" s="87" t="e">
        <f>IF(AND(Riesgos!#REF!="Media",Riesgos!#REF!="Catastrófico"),CONCATENATE("R4C",Riesgos!#REF!),"")</f>
        <v>#REF!</v>
      </c>
      <c r="AL29" s="87" t="e">
        <f>IF(AND(Riesgos!#REF!="Media",Riesgos!#REF!="Catastrófico"),CONCATENATE("R4C",Riesgos!#REF!),"")</f>
        <v>#REF!</v>
      </c>
      <c r="AM29" s="88" t="e">
        <f>IF(AND(Riesgos!#REF!="Media",Riesgos!#REF!="Catastrófico"),CONCATENATE("R4C",Riesgos!#REF!),"")</f>
        <v>#REF!</v>
      </c>
      <c r="AN29" s="18"/>
      <c r="AO29" s="875"/>
      <c r="AP29" s="876"/>
      <c r="AQ29" s="876"/>
      <c r="AR29" s="876"/>
      <c r="AS29" s="876"/>
      <c r="AT29" s="877"/>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row>
    <row r="30" spans="1:76" ht="15" customHeight="1">
      <c r="A30" s="18"/>
      <c r="B30" s="826"/>
      <c r="C30" s="826"/>
      <c r="D30" s="827"/>
      <c r="E30" s="834"/>
      <c r="F30" s="835"/>
      <c r="G30" s="835"/>
      <c r="H30" s="835"/>
      <c r="I30" s="836"/>
      <c r="J30" s="67" t="e">
        <f>IF(AND(Riesgos!#REF!="Media",Riesgos!#REF!="Leve"),CONCATENATE("R5C",Riesgos!#REF!),"")</f>
        <v>#REF!</v>
      </c>
      <c r="K30" s="68" t="e">
        <f>IF(AND(Riesgos!#REF!="Media",Riesgos!#REF!="Leve"),CONCATENATE("R5C",Riesgos!#REF!),"")</f>
        <v>#REF!</v>
      </c>
      <c r="L30" s="68" t="e">
        <f>IF(AND(Riesgos!#REF!="Media",Riesgos!#REF!="Leve"),CONCATENATE("R5C",Riesgos!#REF!),"")</f>
        <v>#REF!</v>
      </c>
      <c r="M30" s="68" t="e">
        <f>IF(AND(Riesgos!#REF!="Media",Riesgos!#REF!="Leve"),CONCATENATE("R5C",Riesgos!#REF!),"")</f>
        <v>#REF!</v>
      </c>
      <c r="N30" s="68" t="e">
        <f>IF(AND(Riesgos!#REF!="Media",Riesgos!#REF!="Leve"),CONCATENATE("R5C",Riesgos!#REF!),"")</f>
        <v>#REF!</v>
      </c>
      <c r="O30" s="69" t="e">
        <f>IF(AND(Riesgos!#REF!="Media",Riesgos!#REF!="Leve"),CONCATENATE("R5C",Riesgos!#REF!),"")</f>
        <v>#REF!</v>
      </c>
      <c r="P30" s="67" t="e">
        <f>IF(AND(Riesgos!#REF!="Media",Riesgos!#REF!="Menor"),CONCATENATE("R5C",Riesgos!#REF!),"")</f>
        <v>#REF!</v>
      </c>
      <c r="Q30" s="68" t="e">
        <f>IF(AND(Riesgos!#REF!="Media",Riesgos!#REF!="Menor"),CONCATENATE("R5C",Riesgos!#REF!),"")</f>
        <v>#REF!</v>
      </c>
      <c r="R30" s="68" t="e">
        <f>IF(AND(Riesgos!#REF!="Media",Riesgos!#REF!="Menor"),CONCATENATE("R5C",Riesgos!#REF!),"")</f>
        <v>#REF!</v>
      </c>
      <c r="S30" s="68" t="e">
        <f>IF(AND(Riesgos!#REF!="Media",Riesgos!#REF!="Menor"),CONCATENATE("R5C",Riesgos!#REF!),"")</f>
        <v>#REF!</v>
      </c>
      <c r="T30" s="68" t="e">
        <f>IF(AND(Riesgos!#REF!="Media",Riesgos!#REF!="Menor"),CONCATENATE("R5C",Riesgos!#REF!),"")</f>
        <v>#REF!</v>
      </c>
      <c r="U30" s="69" t="e">
        <f>IF(AND(Riesgos!#REF!="Media",Riesgos!#REF!="Menor"),CONCATENATE("R5C",Riesgos!#REF!),"")</f>
        <v>#REF!</v>
      </c>
      <c r="V30" s="67" t="e">
        <f>IF(AND(Riesgos!#REF!="Media",Riesgos!#REF!="Moderado"),CONCATENATE("R5C",Riesgos!#REF!),"")</f>
        <v>#REF!</v>
      </c>
      <c r="W30" s="68" t="e">
        <f>IF(AND(Riesgos!#REF!="Media",Riesgos!#REF!="Moderado"),CONCATENATE("R5C",Riesgos!#REF!),"")</f>
        <v>#REF!</v>
      </c>
      <c r="X30" s="68" t="e">
        <f>IF(AND(Riesgos!#REF!="Media",Riesgos!#REF!="Moderado"),CONCATENATE("R5C",Riesgos!#REF!),"")</f>
        <v>#REF!</v>
      </c>
      <c r="Y30" s="68" t="e">
        <f>IF(AND(Riesgos!#REF!="Media",Riesgos!#REF!="Moderado"),CONCATENATE("R5C",Riesgos!#REF!),"")</f>
        <v>#REF!</v>
      </c>
      <c r="Z30" s="68" t="e">
        <f>IF(AND(Riesgos!#REF!="Media",Riesgos!#REF!="Moderado"),CONCATENATE("R5C",Riesgos!#REF!),"")</f>
        <v>#REF!</v>
      </c>
      <c r="AA30" s="69" t="e">
        <f>IF(AND(Riesgos!#REF!="Media",Riesgos!#REF!="Moderado"),CONCATENATE("R5C",Riesgos!#REF!),"")</f>
        <v>#REF!</v>
      </c>
      <c r="AB30" s="57" t="e">
        <f>IF(AND(Riesgos!#REF!="Media",Riesgos!#REF!="Mayor"),CONCATENATE("R5C",Riesgos!#REF!),"")</f>
        <v>#REF!</v>
      </c>
      <c r="AC30" s="58" t="e">
        <f>IF(AND(Riesgos!#REF!="Media",Riesgos!#REF!="Mayor"),CONCATENATE("R5C",Riesgos!#REF!),"")</f>
        <v>#REF!</v>
      </c>
      <c r="AD30" s="60" t="e">
        <f>IF(AND(Riesgos!#REF!="Media",Riesgos!#REF!="Mayor"),CONCATENATE("R5C",Riesgos!#REF!),"")</f>
        <v>#REF!</v>
      </c>
      <c r="AE30" s="60" t="e">
        <f>IF(AND(Riesgos!#REF!="Media",Riesgos!#REF!="Mayor"),CONCATENATE("R5C",Riesgos!#REF!),"")</f>
        <v>#REF!</v>
      </c>
      <c r="AF30" s="60" t="e">
        <f>IF(AND(Riesgos!#REF!="Media",Riesgos!#REF!="Mayor"),CONCATENATE("R5C",Riesgos!#REF!),"")</f>
        <v>#REF!</v>
      </c>
      <c r="AG30" s="59" t="e">
        <f>IF(AND(Riesgos!#REF!="Media",Riesgos!#REF!="Mayor"),CONCATENATE("R5C",Riesgos!#REF!),"")</f>
        <v>#REF!</v>
      </c>
      <c r="AH30" s="86" t="e">
        <f>IF(AND(Riesgos!#REF!="Media",Riesgos!#REF!="Catastrófico"),CONCATENATE("R5C",Riesgos!#REF!),"")</f>
        <v>#REF!</v>
      </c>
      <c r="AI30" s="87" t="e">
        <f>IF(AND(Riesgos!#REF!="Media",Riesgos!#REF!="Catastrófico"),CONCATENATE("R5C",Riesgos!#REF!),"")</f>
        <v>#REF!</v>
      </c>
      <c r="AJ30" s="87" t="e">
        <f>IF(AND(Riesgos!#REF!="Media",Riesgos!#REF!="Catastrófico"),CONCATENATE("R5C",Riesgos!#REF!),"")</f>
        <v>#REF!</v>
      </c>
      <c r="AK30" s="87" t="e">
        <f>IF(AND(Riesgos!#REF!="Media",Riesgos!#REF!="Catastrófico"),CONCATENATE("R5C",Riesgos!#REF!),"")</f>
        <v>#REF!</v>
      </c>
      <c r="AL30" s="87" t="e">
        <f>IF(AND(Riesgos!#REF!="Media",Riesgos!#REF!="Catastrófico"),CONCATENATE("R5C",Riesgos!#REF!),"")</f>
        <v>#REF!</v>
      </c>
      <c r="AM30" s="88" t="e">
        <f>IF(AND(Riesgos!#REF!="Media",Riesgos!#REF!="Catastrófico"),CONCATENATE("R5C",Riesgos!#REF!),"")</f>
        <v>#REF!</v>
      </c>
      <c r="AN30" s="18"/>
      <c r="AO30" s="875"/>
      <c r="AP30" s="876"/>
      <c r="AQ30" s="876"/>
      <c r="AR30" s="876"/>
      <c r="AS30" s="876"/>
      <c r="AT30" s="877"/>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row>
    <row r="31" spans="1:76" ht="15" customHeight="1">
      <c r="A31" s="18"/>
      <c r="B31" s="826"/>
      <c r="C31" s="826"/>
      <c r="D31" s="827"/>
      <c r="E31" s="834"/>
      <c r="F31" s="835"/>
      <c r="G31" s="835"/>
      <c r="H31" s="835"/>
      <c r="I31" s="836"/>
      <c r="J31" s="67" t="e">
        <f>IF(AND(Riesgos!#REF!="Media",Riesgos!#REF!="Leve"),CONCATENATE("R6C",Riesgos!#REF!),"")</f>
        <v>#REF!</v>
      </c>
      <c r="K31" s="68" t="e">
        <f>IF(AND(Riesgos!#REF!="Media",Riesgos!#REF!="Leve"),CONCATENATE("R6C",Riesgos!#REF!),"")</f>
        <v>#REF!</v>
      </c>
      <c r="L31" s="68" t="e">
        <f>IF(AND(Riesgos!#REF!="Media",Riesgos!#REF!="Leve"),CONCATENATE("R6C",Riesgos!#REF!),"")</f>
        <v>#REF!</v>
      </c>
      <c r="M31" s="68" t="e">
        <f>IF(AND(Riesgos!#REF!="Media",Riesgos!#REF!="Leve"),CONCATENATE("R6C",Riesgos!#REF!),"")</f>
        <v>#REF!</v>
      </c>
      <c r="N31" s="68" t="e">
        <f>IF(AND(Riesgos!#REF!="Media",Riesgos!#REF!="Leve"),CONCATENATE("R6C",Riesgos!#REF!),"")</f>
        <v>#REF!</v>
      </c>
      <c r="O31" s="69" t="e">
        <f>IF(AND(Riesgos!#REF!="Media",Riesgos!#REF!="Leve"),CONCATENATE("R6C",Riesgos!#REF!),"")</f>
        <v>#REF!</v>
      </c>
      <c r="P31" s="67" t="e">
        <f>IF(AND(Riesgos!#REF!="Media",Riesgos!#REF!="Menor"),CONCATENATE("R6C",Riesgos!#REF!),"")</f>
        <v>#REF!</v>
      </c>
      <c r="Q31" s="68" t="e">
        <f>IF(AND(Riesgos!#REF!="Media",Riesgos!#REF!="Menor"),CONCATENATE("R6C",Riesgos!#REF!),"")</f>
        <v>#REF!</v>
      </c>
      <c r="R31" s="68" t="e">
        <f>IF(AND(Riesgos!#REF!="Media",Riesgos!#REF!="Menor"),CONCATENATE("R6C",Riesgos!#REF!),"")</f>
        <v>#REF!</v>
      </c>
      <c r="S31" s="68" t="e">
        <f>IF(AND(Riesgos!#REF!="Media",Riesgos!#REF!="Menor"),CONCATENATE("R6C",Riesgos!#REF!),"")</f>
        <v>#REF!</v>
      </c>
      <c r="T31" s="68" t="e">
        <f>IF(AND(Riesgos!#REF!="Media",Riesgos!#REF!="Menor"),CONCATENATE("R6C",Riesgos!#REF!),"")</f>
        <v>#REF!</v>
      </c>
      <c r="U31" s="69" t="e">
        <f>IF(AND(Riesgos!#REF!="Media",Riesgos!#REF!="Menor"),CONCATENATE("R6C",Riesgos!#REF!),"")</f>
        <v>#REF!</v>
      </c>
      <c r="V31" s="67" t="e">
        <f>IF(AND(Riesgos!#REF!="Media",Riesgos!#REF!="Moderado"),CONCATENATE("R6C",Riesgos!#REF!),"")</f>
        <v>#REF!</v>
      </c>
      <c r="W31" s="68" t="e">
        <f>IF(AND(Riesgos!#REF!="Media",Riesgos!#REF!="Moderado"),CONCATENATE("R6C",Riesgos!#REF!),"")</f>
        <v>#REF!</v>
      </c>
      <c r="X31" s="68" t="e">
        <f>IF(AND(Riesgos!#REF!="Media",Riesgos!#REF!="Moderado"),CONCATENATE("R6C",Riesgos!#REF!),"")</f>
        <v>#REF!</v>
      </c>
      <c r="Y31" s="68" t="e">
        <f>IF(AND(Riesgos!#REF!="Media",Riesgos!#REF!="Moderado"),CONCATENATE("R6C",Riesgos!#REF!),"")</f>
        <v>#REF!</v>
      </c>
      <c r="Z31" s="68" t="e">
        <f>IF(AND(Riesgos!#REF!="Media",Riesgos!#REF!="Moderado"),CONCATENATE("R6C",Riesgos!#REF!),"")</f>
        <v>#REF!</v>
      </c>
      <c r="AA31" s="69" t="e">
        <f>IF(AND(Riesgos!#REF!="Media",Riesgos!#REF!="Moderado"),CONCATENATE("R6C",Riesgos!#REF!),"")</f>
        <v>#REF!</v>
      </c>
      <c r="AB31" s="57" t="e">
        <f>IF(AND(Riesgos!#REF!="Media",Riesgos!#REF!="Mayor"),CONCATENATE("R6C",Riesgos!#REF!),"")</f>
        <v>#REF!</v>
      </c>
      <c r="AC31" s="58" t="e">
        <f>IF(AND(Riesgos!#REF!="Media",Riesgos!#REF!="Mayor"),CONCATENATE("R6C",Riesgos!#REF!),"")</f>
        <v>#REF!</v>
      </c>
      <c r="AD31" s="60" t="e">
        <f>IF(AND(Riesgos!#REF!="Media",Riesgos!#REF!="Mayor"),CONCATENATE("R6C",Riesgos!#REF!),"")</f>
        <v>#REF!</v>
      </c>
      <c r="AE31" s="60" t="e">
        <f>IF(AND(Riesgos!#REF!="Media",Riesgos!#REF!="Mayor"),CONCATENATE("R6C",Riesgos!#REF!),"")</f>
        <v>#REF!</v>
      </c>
      <c r="AF31" s="60" t="e">
        <f>IF(AND(Riesgos!#REF!="Media",Riesgos!#REF!="Mayor"),CONCATENATE("R6C",Riesgos!#REF!),"")</f>
        <v>#REF!</v>
      </c>
      <c r="AG31" s="59" t="e">
        <f>IF(AND(Riesgos!#REF!="Media",Riesgos!#REF!="Mayor"),CONCATENATE("R6C",Riesgos!#REF!),"")</f>
        <v>#REF!</v>
      </c>
      <c r="AH31" s="86" t="e">
        <f>IF(AND(Riesgos!#REF!="Media",Riesgos!#REF!="Catastrófico"),CONCATENATE("R6C",Riesgos!#REF!),"")</f>
        <v>#REF!</v>
      </c>
      <c r="AI31" s="87" t="e">
        <f>IF(AND(Riesgos!#REF!="Media",Riesgos!#REF!="Catastrófico"),CONCATENATE("R6C",Riesgos!#REF!),"")</f>
        <v>#REF!</v>
      </c>
      <c r="AJ31" s="87" t="e">
        <f>IF(AND(Riesgos!#REF!="Media",Riesgos!#REF!="Catastrófico"),CONCATENATE("R6C",Riesgos!#REF!),"")</f>
        <v>#REF!</v>
      </c>
      <c r="AK31" s="87" t="e">
        <f>IF(AND(Riesgos!#REF!="Media",Riesgos!#REF!="Catastrófico"),CONCATENATE("R6C",Riesgos!#REF!),"")</f>
        <v>#REF!</v>
      </c>
      <c r="AL31" s="87" t="e">
        <f>IF(AND(Riesgos!#REF!="Media",Riesgos!#REF!="Catastrófico"),CONCATENATE("R6C",Riesgos!#REF!),"")</f>
        <v>#REF!</v>
      </c>
      <c r="AM31" s="88" t="e">
        <f>IF(AND(Riesgos!#REF!="Media",Riesgos!#REF!="Catastrófico"),CONCATENATE("R6C",Riesgos!#REF!),"")</f>
        <v>#REF!</v>
      </c>
      <c r="AN31" s="18"/>
      <c r="AO31" s="875"/>
      <c r="AP31" s="876"/>
      <c r="AQ31" s="876"/>
      <c r="AR31" s="876"/>
      <c r="AS31" s="876"/>
      <c r="AT31" s="877"/>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row>
    <row r="32" spans="1:76" ht="15" customHeight="1">
      <c r="A32" s="18"/>
      <c r="B32" s="826"/>
      <c r="C32" s="826"/>
      <c r="D32" s="827"/>
      <c r="E32" s="834"/>
      <c r="F32" s="835"/>
      <c r="G32" s="835"/>
      <c r="H32" s="835"/>
      <c r="I32" s="836"/>
      <c r="J32" s="67" t="e">
        <f>IF(AND(Riesgos!#REF!="Media",Riesgos!#REF!="Leve"),CONCATENATE("R7C",Riesgos!#REF!),"")</f>
        <v>#REF!</v>
      </c>
      <c r="K32" s="68" t="e">
        <f>IF(AND(Riesgos!#REF!="Media",Riesgos!#REF!="Leve"),CONCATENATE("R7C",Riesgos!#REF!),"")</f>
        <v>#REF!</v>
      </c>
      <c r="L32" s="68" t="e">
        <f>IF(AND(Riesgos!#REF!="Media",Riesgos!#REF!="Leve"),CONCATENATE("R7C",Riesgos!#REF!),"")</f>
        <v>#REF!</v>
      </c>
      <c r="M32" s="68" t="e">
        <f>IF(AND(Riesgos!#REF!="Media",Riesgos!#REF!="Leve"),CONCATENATE("R7C",Riesgos!#REF!),"")</f>
        <v>#REF!</v>
      </c>
      <c r="N32" s="68" t="e">
        <f>IF(AND(Riesgos!#REF!="Media",Riesgos!#REF!="Leve"),CONCATENATE("R7C",Riesgos!#REF!),"")</f>
        <v>#REF!</v>
      </c>
      <c r="O32" s="69" t="e">
        <f>IF(AND(Riesgos!#REF!="Media",Riesgos!#REF!="Leve"),CONCATENATE("R7C",Riesgos!#REF!),"")</f>
        <v>#REF!</v>
      </c>
      <c r="P32" s="67" t="e">
        <f>IF(AND(Riesgos!#REF!="Media",Riesgos!#REF!="Menor"),CONCATENATE("R7C",Riesgos!#REF!),"")</f>
        <v>#REF!</v>
      </c>
      <c r="Q32" s="68" t="e">
        <f>IF(AND(Riesgos!#REF!="Media",Riesgos!#REF!="Menor"),CONCATENATE("R7C",Riesgos!#REF!),"")</f>
        <v>#REF!</v>
      </c>
      <c r="R32" s="68" t="e">
        <f>IF(AND(Riesgos!#REF!="Media",Riesgos!#REF!="Menor"),CONCATENATE("R7C",Riesgos!#REF!),"")</f>
        <v>#REF!</v>
      </c>
      <c r="S32" s="68" t="e">
        <f>IF(AND(Riesgos!#REF!="Media",Riesgos!#REF!="Menor"),CONCATENATE("R7C",Riesgos!#REF!),"")</f>
        <v>#REF!</v>
      </c>
      <c r="T32" s="68" t="e">
        <f>IF(AND(Riesgos!#REF!="Media",Riesgos!#REF!="Menor"),CONCATENATE("R7C",Riesgos!#REF!),"")</f>
        <v>#REF!</v>
      </c>
      <c r="U32" s="69" t="e">
        <f>IF(AND(Riesgos!#REF!="Media",Riesgos!#REF!="Menor"),CONCATENATE("R7C",Riesgos!#REF!),"")</f>
        <v>#REF!</v>
      </c>
      <c r="V32" s="67" t="e">
        <f>IF(AND(Riesgos!#REF!="Media",Riesgos!#REF!="Moderado"),CONCATENATE("R7C",Riesgos!#REF!),"")</f>
        <v>#REF!</v>
      </c>
      <c r="W32" s="68" t="e">
        <f>IF(AND(Riesgos!#REF!="Media",Riesgos!#REF!="Moderado"),CONCATENATE("R7C",Riesgos!#REF!),"")</f>
        <v>#REF!</v>
      </c>
      <c r="X32" s="68" t="e">
        <f>IF(AND(Riesgos!#REF!="Media",Riesgos!#REF!="Moderado"),CONCATENATE("R7C",Riesgos!#REF!),"")</f>
        <v>#REF!</v>
      </c>
      <c r="Y32" s="68" t="e">
        <f>IF(AND(Riesgos!#REF!="Media",Riesgos!#REF!="Moderado"),CONCATENATE("R7C",Riesgos!#REF!),"")</f>
        <v>#REF!</v>
      </c>
      <c r="Z32" s="68" t="e">
        <f>IF(AND(Riesgos!#REF!="Media",Riesgos!#REF!="Moderado"),CONCATENATE("R7C",Riesgos!#REF!),"")</f>
        <v>#REF!</v>
      </c>
      <c r="AA32" s="69" t="e">
        <f>IF(AND(Riesgos!#REF!="Media",Riesgos!#REF!="Moderado"),CONCATENATE("R7C",Riesgos!#REF!),"")</f>
        <v>#REF!</v>
      </c>
      <c r="AB32" s="57" t="e">
        <f>IF(AND(Riesgos!#REF!="Media",Riesgos!#REF!="Mayor"),CONCATENATE("R7C",Riesgos!#REF!),"")</f>
        <v>#REF!</v>
      </c>
      <c r="AC32" s="58" t="e">
        <f>IF(AND(Riesgos!#REF!="Media",Riesgos!#REF!="Mayor"),CONCATENATE("R7C",Riesgos!#REF!),"")</f>
        <v>#REF!</v>
      </c>
      <c r="AD32" s="60" t="e">
        <f>IF(AND(Riesgos!#REF!="Media",Riesgos!#REF!="Mayor"),CONCATENATE("R7C",Riesgos!#REF!),"")</f>
        <v>#REF!</v>
      </c>
      <c r="AE32" s="60" t="e">
        <f>IF(AND(Riesgos!#REF!="Media",Riesgos!#REF!="Mayor"),CONCATENATE("R7C",Riesgos!#REF!),"")</f>
        <v>#REF!</v>
      </c>
      <c r="AF32" s="60" t="e">
        <f>IF(AND(Riesgos!#REF!="Media",Riesgos!#REF!="Mayor"),CONCATENATE("R7C",Riesgos!#REF!),"")</f>
        <v>#REF!</v>
      </c>
      <c r="AG32" s="59" t="e">
        <f>IF(AND(Riesgos!#REF!="Media",Riesgos!#REF!="Mayor"),CONCATENATE("R7C",Riesgos!#REF!),"")</f>
        <v>#REF!</v>
      </c>
      <c r="AH32" s="86" t="e">
        <f>IF(AND(Riesgos!#REF!="Media",Riesgos!#REF!="Catastrófico"),CONCATENATE("R7C",Riesgos!#REF!),"")</f>
        <v>#REF!</v>
      </c>
      <c r="AI32" s="87" t="e">
        <f>IF(AND(Riesgos!#REF!="Media",Riesgos!#REF!="Catastrófico"),CONCATENATE("R7C",Riesgos!#REF!),"")</f>
        <v>#REF!</v>
      </c>
      <c r="AJ32" s="87" t="e">
        <f>IF(AND(Riesgos!#REF!="Media",Riesgos!#REF!="Catastrófico"),CONCATENATE("R7C",Riesgos!#REF!),"")</f>
        <v>#REF!</v>
      </c>
      <c r="AK32" s="87" t="e">
        <f>IF(AND(Riesgos!#REF!="Media",Riesgos!#REF!="Catastrófico"),CONCATENATE("R7C",Riesgos!#REF!),"")</f>
        <v>#REF!</v>
      </c>
      <c r="AL32" s="87" t="e">
        <f>IF(AND(Riesgos!#REF!="Media",Riesgos!#REF!="Catastrófico"),CONCATENATE("R7C",Riesgos!#REF!),"")</f>
        <v>#REF!</v>
      </c>
      <c r="AM32" s="88" t="e">
        <f>IF(AND(Riesgos!#REF!="Media",Riesgos!#REF!="Catastrófico"),CONCATENATE("R7C",Riesgos!#REF!),"")</f>
        <v>#REF!</v>
      </c>
      <c r="AN32" s="18"/>
      <c r="AO32" s="875"/>
      <c r="AP32" s="876"/>
      <c r="AQ32" s="876"/>
      <c r="AR32" s="876"/>
      <c r="AS32" s="876"/>
      <c r="AT32" s="877"/>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row>
    <row r="33" spans="1:80" ht="15" customHeight="1">
      <c r="A33" s="18"/>
      <c r="B33" s="826"/>
      <c r="C33" s="826"/>
      <c r="D33" s="827"/>
      <c r="E33" s="834"/>
      <c r="F33" s="835"/>
      <c r="G33" s="835"/>
      <c r="H33" s="835"/>
      <c r="I33" s="836"/>
      <c r="J33" s="67" t="e">
        <f>IF(AND(Riesgos!#REF!="Media",Riesgos!#REF!="Leve"),CONCATENATE("R8C",Riesgos!#REF!),"")</f>
        <v>#REF!</v>
      </c>
      <c r="K33" s="68" t="e">
        <f>IF(AND(Riesgos!#REF!="Media",Riesgos!#REF!="Leve"),CONCATENATE("R8C",Riesgos!#REF!),"")</f>
        <v>#REF!</v>
      </c>
      <c r="L33" s="68" t="e">
        <f>IF(AND(Riesgos!#REF!="Media",Riesgos!#REF!="Leve"),CONCATENATE("R8C",Riesgos!#REF!),"")</f>
        <v>#REF!</v>
      </c>
      <c r="M33" s="68" t="e">
        <f>IF(AND(Riesgos!#REF!="Media",Riesgos!#REF!="Leve"),CONCATENATE("R8C",Riesgos!#REF!),"")</f>
        <v>#REF!</v>
      </c>
      <c r="N33" s="68" t="e">
        <f>IF(AND(Riesgos!#REF!="Media",Riesgos!#REF!="Leve"),CONCATENATE("R8C",Riesgos!#REF!),"")</f>
        <v>#REF!</v>
      </c>
      <c r="O33" s="69" t="e">
        <f>IF(AND(Riesgos!#REF!="Media",Riesgos!#REF!="Leve"),CONCATENATE("R8C",Riesgos!#REF!),"")</f>
        <v>#REF!</v>
      </c>
      <c r="P33" s="67" t="e">
        <f>IF(AND(Riesgos!#REF!="Media",Riesgos!#REF!="Menor"),CONCATENATE("R8C",Riesgos!#REF!),"")</f>
        <v>#REF!</v>
      </c>
      <c r="Q33" s="68" t="e">
        <f>IF(AND(Riesgos!#REF!="Media",Riesgos!#REF!="Menor"),CONCATENATE("R8C",Riesgos!#REF!),"")</f>
        <v>#REF!</v>
      </c>
      <c r="R33" s="68" t="e">
        <f>IF(AND(Riesgos!#REF!="Media",Riesgos!#REF!="Menor"),CONCATENATE("R8C",Riesgos!#REF!),"")</f>
        <v>#REF!</v>
      </c>
      <c r="S33" s="68" t="e">
        <f>IF(AND(Riesgos!#REF!="Media",Riesgos!#REF!="Menor"),CONCATENATE("R8C",Riesgos!#REF!),"")</f>
        <v>#REF!</v>
      </c>
      <c r="T33" s="68" t="e">
        <f>IF(AND(Riesgos!#REF!="Media",Riesgos!#REF!="Menor"),CONCATENATE("R8C",Riesgos!#REF!),"")</f>
        <v>#REF!</v>
      </c>
      <c r="U33" s="69" t="e">
        <f>IF(AND(Riesgos!#REF!="Media",Riesgos!#REF!="Menor"),CONCATENATE("R8C",Riesgos!#REF!),"")</f>
        <v>#REF!</v>
      </c>
      <c r="V33" s="67" t="e">
        <f>IF(AND(Riesgos!#REF!="Media",Riesgos!#REF!="Moderado"),CONCATENATE("R8C",Riesgos!#REF!),"")</f>
        <v>#REF!</v>
      </c>
      <c r="W33" s="68" t="e">
        <f>IF(AND(Riesgos!#REF!="Media",Riesgos!#REF!="Moderado"),CONCATENATE("R8C",Riesgos!#REF!),"")</f>
        <v>#REF!</v>
      </c>
      <c r="X33" s="68" t="e">
        <f>IF(AND(Riesgos!#REF!="Media",Riesgos!#REF!="Moderado"),CONCATENATE("R8C",Riesgos!#REF!),"")</f>
        <v>#REF!</v>
      </c>
      <c r="Y33" s="68" t="e">
        <f>IF(AND(Riesgos!#REF!="Media",Riesgos!#REF!="Moderado"),CONCATENATE("R8C",Riesgos!#REF!),"")</f>
        <v>#REF!</v>
      </c>
      <c r="Z33" s="68" t="e">
        <f>IF(AND(Riesgos!#REF!="Media",Riesgos!#REF!="Moderado"),CONCATENATE("R8C",Riesgos!#REF!),"")</f>
        <v>#REF!</v>
      </c>
      <c r="AA33" s="69" t="e">
        <f>IF(AND(Riesgos!#REF!="Media",Riesgos!#REF!="Moderado"),CONCATENATE("R8C",Riesgos!#REF!),"")</f>
        <v>#REF!</v>
      </c>
      <c r="AB33" s="57" t="e">
        <f>IF(AND(Riesgos!#REF!="Media",Riesgos!#REF!="Mayor"),CONCATENATE("R8C",Riesgos!#REF!),"")</f>
        <v>#REF!</v>
      </c>
      <c r="AC33" s="58" t="e">
        <f>IF(AND(Riesgos!#REF!="Media",Riesgos!#REF!="Mayor"),CONCATENATE("R8C",Riesgos!#REF!),"")</f>
        <v>#REF!</v>
      </c>
      <c r="AD33" s="60" t="e">
        <f>IF(AND(Riesgos!#REF!="Media",Riesgos!#REF!="Mayor"),CONCATENATE("R8C",Riesgos!#REF!),"")</f>
        <v>#REF!</v>
      </c>
      <c r="AE33" s="60" t="e">
        <f>IF(AND(Riesgos!#REF!="Media",Riesgos!#REF!="Mayor"),CONCATENATE("R8C",Riesgos!#REF!),"")</f>
        <v>#REF!</v>
      </c>
      <c r="AF33" s="60" t="e">
        <f>IF(AND(Riesgos!#REF!="Media",Riesgos!#REF!="Mayor"),CONCATENATE("R8C",Riesgos!#REF!),"")</f>
        <v>#REF!</v>
      </c>
      <c r="AG33" s="59" t="e">
        <f>IF(AND(Riesgos!#REF!="Media",Riesgos!#REF!="Mayor"),CONCATENATE("R8C",Riesgos!#REF!),"")</f>
        <v>#REF!</v>
      </c>
      <c r="AH33" s="86" t="e">
        <f>IF(AND(Riesgos!#REF!="Media",Riesgos!#REF!="Catastrófico"),CONCATENATE("R8C",Riesgos!#REF!),"")</f>
        <v>#REF!</v>
      </c>
      <c r="AI33" s="87" t="e">
        <f>IF(AND(Riesgos!#REF!="Media",Riesgos!#REF!="Catastrófico"),CONCATENATE("R8C",Riesgos!#REF!),"")</f>
        <v>#REF!</v>
      </c>
      <c r="AJ33" s="87" t="e">
        <f>IF(AND(Riesgos!#REF!="Media",Riesgos!#REF!="Catastrófico"),CONCATENATE("R8C",Riesgos!#REF!),"")</f>
        <v>#REF!</v>
      </c>
      <c r="AK33" s="87" t="e">
        <f>IF(AND(Riesgos!#REF!="Media",Riesgos!#REF!="Catastrófico"),CONCATENATE("R8C",Riesgos!#REF!),"")</f>
        <v>#REF!</v>
      </c>
      <c r="AL33" s="87" t="e">
        <f>IF(AND(Riesgos!#REF!="Media",Riesgos!#REF!="Catastrófico"),CONCATENATE("R8C",Riesgos!#REF!),"")</f>
        <v>#REF!</v>
      </c>
      <c r="AM33" s="88" t="e">
        <f>IF(AND(Riesgos!#REF!="Media",Riesgos!#REF!="Catastrófico"),CONCATENATE("R8C",Riesgos!#REF!),"")</f>
        <v>#REF!</v>
      </c>
      <c r="AN33" s="18"/>
      <c r="AO33" s="875"/>
      <c r="AP33" s="876"/>
      <c r="AQ33" s="876"/>
      <c r="AR33" s="876"/>
      <c r="AS33" s="876"/>
      <c r="AT33" s="877"/>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row>
    <row r="34" spans="1:80" ht="15" customHeight="1">
      <c r="A34" s="18"/>
      <c r="B34" s="826"/>
      <c r="C34" s="826"/>
      <c r="D34" s="827"/>
      <c r="E34" s="834"/>
      <c r="F34" s="835"/>
      <c r="G34" s="835"/>
      <c r="H34" s="835"/>
      <c r="I34" s="836"/>
      <c r="J34" s="67" t="e">
        <f>IF(AND(Riesgos!#REF!="Media",Riesgos!#REF!="Leve"),CONCATENATE("R9C",Riesgos!#REF!),"")</f>
        <v>#REF!</v>
      </c>
      <c r="K34" s="68" t="e">
        <f>IF(AND(Riesgos!#REF!="Media",Riesgos!#REF!="Leve"),CONCATENATE("R9C",Riesgos!#REF!),"")</f>
        <v>#REF!</v>
      </c>
      <c r="L34" s="68" t="e">
        <f>IF(AND(Riesgos!#REF!="Media",Riesgos!#REF!="Leve"),CONCATENATE("R9C",Riesgos!#REF!),"")</f>
        <v>#REF!</v>
      </c>
      <c r="M34" s="68" t="e">
        <f>IF(AND(Riesgos!#REF!="Media",Riesgos!#REF!="Leve"),CONCATENATE("R9C",Riesgos!#REF!),"")</f>
        <v>#REF!</v>
      </c>
      <c r="N34" s="68" t="e">
        <f>IF(AND(Riesgos!#REF!="Media",Riesgos!#REF!="Leve"),CONCATENATE("R9C",Riesgos!#REF!),"")</f>
        <v>#REF!</v>
      </c>
      <c r="O34" s="69" t="e">
        <f>IF(AND(Riesgos!#REF!="Media",Riesgos!#REF!="Leve"),CONCATENATE("R9C",Riesgos!#REF!),"")</f>
        <v>#REF!</v>
      </c>
      <c r="P34" s="67" t="e">
        <f>IF(AND(Riesgos!#REF!="Media",Riesgos!#REF!="Menor"),CONCATENATE("R9C",Riesgos!#REF!),"")</f>
        <v>#REF!</v>
      </c>
      <c r="Q34" s="68" t="e">
        <f>IF(AND(Riesgos!#REF!="Media",Riesgos!#REF!="Menor"),CONCATENATE("R9C",Riesgos!#REF!),"")</f>
        <v>#REF!</v>
      </c>
      <c r="R34" s="68" t="e">
        <f>IF(AND(Riesgos!#REF!="Media",Riesgos!#REF!="Menor"),CONCATENATE("R9C",Riesgos!#REF!),"")</f>
        <v>#REF!</v>
      </c>
      <c r="S34" s="68" t="e">
        <f>IF(AND(Riesgos!#REF!="Media",Riesgos!#REF!="Menor"),CONCATENATE("R9C",Riesgos!#REF!),"")</f>
        <v>#REF!</v>
      </c>
      <c r="T34" s="68" t="e">
        <f>IF(AND(Riesgos!#REF!="Media",Riesgos!#REF!="Menor"),CONCATENATE("R9C",Riesgos!#REF!),"")</f>
        <v>#REF!</v>
      </c>
      <c r="U34" s="69" t="e">
        <f>IF(AND(Riesgos!#REF!="Media",Riesgos!#REF!="Menor"),CONCATENATE("R9C",Riesgos!#REF!),"")</f>
        <v>#REF!</v>
      </c>
      <c r="V34" s="67" t="e">
        <f>IF(AND(Riesgos!#REF!="Media",Riesgos!#REF!="Moderado"),CONCATENATE("R9C",Riesgos!#REF!),"")</f>
        <v>#REF!</v>
      </c>
      <c r="W34" s="68" t="e">
        <f>IF(AND(Riesgos!#REF!="Media",Riesgos!#REF!="Moderado"),CONCATENATE("R9C",Riesgos!#REF!),"")</f>
        <v>#REF!</v>
      </c>
      <c r="X34" s="68" t="e">
        <f>IF(AND(Riesgos!#REF!="Media",Riesgos!#REF!="Moderado"),CONCATENATE("R9C",Riesgos!#REF!),"")</f>
        <v>#REF!</v>
      </c>
      <c r="Y34" s="68" t="e">
        <f>IF(AND(Riesgos!#REF!="Media",Riesgos!#REF!="Moderado"),CONCATENATE("R9C",Riesgos!#REF!),"")</f>
        <v>#REF!</v>
      </c>
      <c r="Z34" s="68" t="e">
        <f>IF(AND(Riesgos!#REF!="Media",Riesgos!#REF!="Moderado"),CONCATENATE("R9C",Riesgos!#REF!),"")</f>
        <v>#REF!</v>
      </c>
      <c r="AA34" s="69" t="e">
        <f>IF(AND(Riesgos!#REF!="Media",Riesgos!#REF!="Moderado"),CONCATENATE("R9C",Riesgos!#REF!),"")</f>
        <v>#REF!</v>
      </c>
      <c r="AB34" s="57" t="e">
        <f>IF(AND(Riesgos!#REF!="Media",Riesgos!#REF!="Mayor"),CONCATENATE("R9C",Riesgos!#REF!),"")</f>
        <v>#REF!</v>
      </c>
      <c r="AC34" s="58" t="e">
        <f>IF(AND(Riesgos!#REF!="Media",Riesgos!#REF!="Mayor"),CONCATENATE("R9C",Riesgos!#REF!),"")</f>
        <v>#REF!</v>
      </c>
      <c r="AD34" s="60" t="e">
        <f>IF(AND(Riesgos!#REF!="Media",Riesgos!#REF!="Mayor"),CONCATENATE("R9C",Riesgos!#REF!),"")</f>
        <v>#REF!</v>
      </c>
      <c r="AE34" s="60" t="e">
        <f>IF(AND(Riesgos!#REF!="Media",Riesgos!#REF!="Mayor"),CONCATENATE("R9C",Riesgos!#REF!),"")</f>
        <v>#REF!</v>
      </c>
      <c r="AF34" s="60" t="e">
        <f>IF(AND(Riesgos!#REF!="Media",Riesgos!#REF!="Mayor"),CONCATENATE("R9C",Riesgos!#REF!),"")</f>
        <v>#REF!</v>
      </c>
      <c r="AG34" s="59" t="e">
        <f>IF(AND(Riesgos!#REF!="Media",Riesgos!#REF!="Mayor"),CONCATENATE("R9C",Riesgos!#REF!),"")</f>
        <v>#REF!</v>
      </c>
      <c r="AH34" s="86" t="e">
        <f>IF(AND(Riesgos!#REF!="Media",Riesgos!#REF!="Catastrófico"),CONCATENATE("R9C",Riesgos!#REF!),"")</f>
        <v>#REF!</v>
      </c>
      <c r="AI34" s="87" t="e">
        <f>IF(AND(Riesgos!#REF!="Media",Riesgos!#REF!="Catastrófico"),CONCATENATE("R9C",Riesgos!#REF!),"")</f>
        <v>#REF!</v>
      </c>
      <c r="AJ34" s="87" t="e">
        <f>IF(AND(Riesgos!#REF!="Media",Riesgos!#REF!="Catastrófico"),CONCATENATE("R9C",Riesgos!#REF!),"")</f>
        <v>#REF!</v>
      </c>
      <c r="AK34" s="87" t="e">
        <f>IF(AND(Riesgos!#REF!="Media",Riesgos!#REF!="Catastrófico"),CONCATENATE("R9C",Riesgos!#REF!),"")</f>
        <v>#REF!</v>
      </c>
      <c r="AL34" s="87" t="e">
        <f>IF(AND(Riesgos!#REF!="Media",Riesgos!#REF!="Catastrófico"),CONCATENATE("R9C",Riesgos!#REF!),"")</f>
        <v>#REF!</v>
      </c>
      <c r="AM34" s="88" t="e">
        <f>IF(AND(Riesgos!#REF!="Media",Riesgos!#REF!="Catastrófico"),CONCATENATE("R9C",Riesgos!#REF!),"")</f>
        <v>#REF!</v>
      </c>
      <c r="AN34" s="18"/>
      <c r="AO34" s="875"/>
      <c r="AP34" s="876"/>
      <c r="AQ34" s="876"/>
      <c r="AR34" s="876"/>
      <c r="AS34" s="876"/>
      <c r="AT34" s="877"/>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row>
    <row r="35" spans="1:80" ht="15.75" customHeight="1">
      <c r="A35" s="18"/>
      <c r="B35" s="826"/>
      <c r="C35" s="826"/>
      <c r="D35" s="827"/>
      <c r="E35" s="837"/>
      <c r="F35" s="838"/>
      <c r="G35" s="838"/>
      <c r="H35" s="838"/>
      <c r="I35" s="839"/>
      <c r="J35" s="67" t="e">
        <f>IF(AND(Riesgos!#REF!="Media",Riesgos!#REF!="Leve"),CONCATENATE("R10C",Riesgos!#REF!),"")</f>
        <v>#REF!</v>
      </c>
      <c r="K35" s="68" t="e">
        <f>IF(AND(Riesgos!#REF!="Media",Riesgos!#REF!="Leve"),CONCATENATE("R10C",Riesgos!#REF!),"")</f>
        <v>#REF!</v>
      </c>
      <c r="L35" s="68" t="e">
        <f>IF(AND(Riesgos!#REF!="Media",Riesgos!#REF!="Leve"),CONCATENATE("R10C",Riesgos!#REF!),"")</f>
        <v>#REF!</v>
      </c>
      <c r="M35" s="68" t="e">
        <f>IF(AND(Riesgos!#REF!="Media",Riesgos!#REF!="Leve"),CONCATENATE("R10C",Riesgos!#REF!),"")</f>
        <v>#REF!</v>
      </c>
      <c r="N35" s="68" t="e">
        <f>IF(AND(Riesgos!#REF!="Media",Riesgos!#REF!="Leve"),CONCATENATE("R10C",Riesgos!#REF!),"")</f>
        <v>#REF!</v>
      </c>
      <c r="O35" s="69" t="e">
        <f>IF(AND(Riesgos!#REF!="Media",Riesgos!#REF!="Leve"),CONCATENATE("R10C",Riesgos!#REF!),"")</f>
        <v>#REF!</v>
      </c>
      <c r="P35" s="67" t="e">
        <f>IF(AND(Riesgos!#REF!="Media",Riesgos!#REF!="Menor"),CONCATENATE("R10C",Riesgos!#REF!),"")</f>
        <v>#REF!</v>
      </c>
      <c r="Q35" s="68" t="e">
        <f>IF(AND(Riesgos!#REF!="Media",Riesgos!#REF!="Menor"),CONCATENATE("R10C",Riesgos!#REF!),"")</f>
        <v>#REF!</v>
      </c>
      <c r="R35" s="68" t="e">
        <f>IF(AND(Riesgos!#REF!="Media",Riesgos!#REF!="Menor"),CONCATENATE("R10C",Riesgos!#REF!),"")</f>
        <v>#REF!</v>
      </c>
      <c r="S35" s="68" t="e">
        <f>IF(AND(Riesgos!#REF!="Media",Riesgos!#REF!="Menor"),CONCATENATE("R10C",Riesgos!#REF!),"")</f>
        <v>#REF!</v>
      </c>
      <c r="T35" s="68" t="e">
        <f>IF(AND(Riesgos!#REF!="Media",Riesgos!#REF!="Menor"),CONCATENATE("R10C",Riesgos!#REF!),"")</f>
        <v>#REF!</v>
      </c>
      <c r="U35" s="69" t="e">
        <f>IF(AND(Riesgos!#REF!="Media",Riesgos!#REF!="Menor"),CONCATENATE("R10C",Riesgos!#REF!),"")</f>
        <v>#REF!</v>
      </c>
      <c r="V35" s="67" t="e">
        <f>IF(AND(Riesgos!#REF!="Media",Riesgos!#REF!="Moderado"),CONCATENATE("R10C",Riesgos!#REF!),"")</f>
        <v>#REF!</v>
      </c>
      <c r="W35" s="68" t="e">
        <f>IF(AND(Riesgos!#REF!="Media",Riesgos!#REF!="Moderado"),CONCATENATE("R10C",Riesgos!#REF!),"")</f>
        <v>#REF!</v>
      </c>
      <c r="X35" s="68" t="e">
        <f>IF(AND(Riesgos!#REF!="Media",Riesgos!#REF!="Moderado"),CONCATENATE("R10C",Riesgos!#REF!),"")</f>
        <v>#REF!</v>
      </c>
      <c r="Y35" s="68" t="e">
        <f>IF(AND(Riesgos!#REF!="Media",Riesgos!#REF!="Moderado"),CONCATENATE("R10C",Riesgos!#REF!),"")</f>
        <v>#REF!</v>
      </c>
      <c r="Z35" s="68" t="e">
        <f>IF(AND(Riesgos!#REF!="Media",Riesgos!#REF!="Moderado"),CONCATENATE("R10C",Riesgos!#REF!),"")</f>
        <v>#REF!</v>
      </c>
      <c r="AA35" s="69" t="e">
        <f>IF(AND(Riesgos!#REF!="Media",Riesgos!#REF!="Moderado"),CONCATENATE("R10C",Riesgos!#REF!),"")</f>
        <v>#REF!</v>
      </c>
      <c r="AB35" s="61" t="e">
        <f>IF(AND(Riesgos!#REF!="Media",Riesgos!#REF!="Mayor"),CONCATENATE("R10C",Riesgos!#REF!),"")</f>
        <v>#REF!</v>
      </c>
      <c r="AC35" s="62" t="e">
        <f>IF(AND(Riesgos!#REF!="Media",Riesgos!#REF!="Mayor"),CONCATENATE("R10C",Riesgos!#REF!),"")</f>
        <v>#REF!</v>
      </c>
      <c r="AD35" s="62" t="e">
        <f>IF(AND(Riesgos!#REF!="Media",Riesgos!#REF!="Mayor"),CONCATENATE("R10C",Riesgos!#REF!),"")</f>
        <v>#REF!</v>
      </c>
      <c r="AE35" s="62" t="e">
        <f>IF(AND(Riesgos!#REF!="Media",Riesgos!#REF!="Mayor"),CONCATENATE("R10C",Riesgos!#REF!),"")</f>
        <v>#REF!</v>
      </c>
      <c r="AF35" s="62" t="e">
        <f>IF(AND(Riesgos!#REF!="Media",Riesgos!#REF!="Mayor"),CONCATENATE("R10C",Riesgos!#REF!),"")</f>
        <v>#REF!</v>
      </c>
      <c r="AG35" s="63" t="e">
        <f>IF(AND(Riesgos!#REF!="Media",Riesgos!#REF!="Mayor"),CONCATENATE("R10C",Riesgos!#REF!),"")</f>
        <v>#REF!</v>
      </c>
      <c r="AH35" s="89" t="e">
        <f>IF(AND(Riesgos!#REF!="Media",Riesgos!#REF!="Catastrófico"),CONCATENATE("R10C",Riesgos!#REF!),"")</f>
        <v>#REF!</v>
      </c>
      <c r="AI35" s="90" t="e">
        <f>IF(AND(Riesgos!#REF!="Media",Riesgos!#REF!="Catastrófico"),CONCATENATE("R10C",Riesgos!#REF!),"")</f>
        <v>#REF!</v>
      </c>
      <c r="AJ35" s="90" t="e">
        <f>IF(AND(Riesgos!#REF!="Media",Riesgos!#REF!="Catastrófico"),CONCATENATE("R10C",Riesgos!#REF!),"")</f>
        <v>#REF!</v>
      </c>
      <c r="AK35" s="90" t="e">
        <f>IF(AND(Riesgos!#REF!="Media",Riesgos!#REF!="Catastrófico"),CONCATENATE("R10C",Riesgos!#REF!),"")</f>
        <v>#REF!</v>
      </c>
      <c r="AL35" s="90" t="e">
        <f>IF(AND(Riesgos!#REF!="Media",Riesgos!#REF!="Catastrófico"),CONCATENATE("R10C",Riesgos!#REF!),"")</f>
        <v>#REF!</v>
      </c>
      <c r="AM35" s="91" t="e">
        <f>IF(AND(Riesgos!#REF!="Media",Riesgos!#REF!="Catastrófico"),CONCATENATE("R10C",Riesgos!#REF!),"")</f>
        <v>#REF!</v>
      </c>
      <c r="AN35" s="18"/>
      <c r="AO35" s="878"/>
      <c r="AP35" s="879"/>
      <c r="AQ35" s="879"/>
      <c r="AR35" s="879"/>
      <c r="AS35" s="879"/>
      <c r="AT35" s="880"/>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row>
    <row r="36" spans="1:80" ht="15" customHeight="1">
      <c r="A36" s="18"/>
      <c r="B36" s="826"/>
      <c r="C36" s="826"/>
      <c r="D36" s="827"/>
      <c r="E36" s="831" t="s">
        <v>1532</v>
      </c>
      <c r="F36" s="832"/>
      <c r="G36" s="832"/>
      <c r="H36" s="832"/>
      <c r="I36" s="832"/>
      <c r="J36" s="73" t="e">
        <f>IF(AND(Riesgos!#REF!="Baja",Riesgos!#REF!="Leve"),CONCATENATE("R1C",Riesgos!#REF!),"")</f>
        <v>#REF!</v>
      </c>
      <c r="K36" s="74" t="e">
        <f>IF(AND(Riesgos!#REF!="Baja",Riesgos!#REF!="Leve"),CONCATENATE("R1C",Riesgos!#REF!),"")</f>
        <v>#REF!</v>
      </c>
      <c r="L36" s="74" t="e">
        <f>IF(AND(Riesgos!#REF!="Baja",Riesgos!#REF!="Leve"),CONCATENATE("R1C",Riesgos!#REF!),"")</f>
        <v>#REF!</v>
      </c>
      <c r="M36" s="74" t="e">
        <f>IF(AND(Riesgos!#REF!="Baja",Riesgos!#REF!="Leve"),CONCATENATE("R1C",Riesgos!#REF!),"")</f>
        <v>#REF!</v>
      </c>
      <c r="N36" s="74" t="e">
        <f>IF(AND(Riesgos!#REF!="Baja",Riesgos!#REF!="Leve"),CONCATENATE("R1C",Riesgos!#REF!),"")</f>
        <v>#REF!</v>
      </c>
      <c r="O36" s="75" t="e">
        <f>IF(AND(Riesgos!#REF!="Baja",Riesgos!#REF!="Leve"),CONCATENATE("R1C",Riesgos!#REF!),"")</f>
        <v>#REF!</v>
      </c>
      <c r="P36" s="64" t="e">
        <f>IF(AND(Riesgos!#REF!="Baja",Riesgos!#REF!="Menor"),CONCATENATE("R1C",Riesgos!#REF!),"")</f>
        <v>#REF!</v>
      </c>
      <c r="Q36" s="65" t="e">
        <f>IF(AND(Riesgos!#REF!="Baja",Riesgos!#REF!="Menor"),CONCATENATE("R1C",Riesgos!#REF!),"")</f>
        <v>#REF!</v>
      </c>
      <c r="R36" s="65" t="e">
        <f>IF(AND(Riesgos!#REF!="Baja",Riesgos!#REF!="Menor"),CONCATENATE("R1C",Riesgos!#REF!),"")</f>
        <v>#REF!</v>
      </c>
      <c r="S36" s="65" t="e">
        <f>IF(AND(Riesgos!#REF!="Baja",Riesgos!#REF!="Menor"),CONCATENATE("R1C",Riesgos!#REF!),"")</f>
        <v>#REF!</v>
      </c>
      <c r="T36" s="65" t="e">
        <f>IF(AND(Riesgos!#REF!="Baja",Riesgos!#REF!="Menor"),CONCATENATE("R1C",Riesgos!#REF!),"")</f>
        <v>#REF!</v>
      </c>
      <c r="U36" s="66" t="e">
        <f>IF(AND(Riesgos!#REF!="Baja",Riesgos!#REF!="Menor"),CONCATENATE("R1C",Riesgos!#REF!),"")</f>
        <v>#REF!</v>
      </c>
      <c r="V36" s="64" t="e">
        <f>IF(AND(Riesgos!#REF!="Baja",Riesgos!#REF!="Moderado"),CONCATENATE("R1C",Riesgos!#REF!),"")</f>
        <v>#REF!</v>
      </c>
      <c r="W36" s="65" t="e">
        <f>IF(AND(Riesgos!#REF!="Baja",Riesgos!#REF!="Moderado"),CONCATENATE("R1C",Riesgos!#REF!),"")</f>
        <v>#REF!</v>
      </c>
      <c r="X36" s="65" t="e">
        <f>IF(AND(Riesgos!#REF!="Baja",Riesgos!#REF!="Moderado"),CONCATENATE("R1C",Riesgos!#REF!),"")</f>
        <v>#REF!</v>
      </c>
      <c r="Y36" s="65" t="e">
        <f>IF(AND(Riesgos!#REF!="Baja",Riesgos!#REF!="Moderado"),CONCATENATE("R1C",Riesgos!#REF!),"")</f>
        <v>#REF!</v>
      </c>
      <c r="Z36" s="65" t="e">
        <f>IF(AND(Riesgos!#REF!="Baja",Riesgos!#REF!="Moderado"),CONCATENATE("R1C",Riesgos!#REF!),"")</f>
        <v>#REF!</v>
      </c>
      <c r="AA36" s="66" t="e">
        <f>IF(AND(Riesgos!#REF!="Baja",Riesgos!#REF!="Moderado"),CONCATENATE("R1C",Riesgos!#REF!),"")</f>
        <v>#REF!</v>
      </c>
      <c r="AB36" s="54" t="e">
        <f>IF(AND(Riesgos!#REF!="Baja",Riesgos!#REF!="Mayor"),CONCATENATE("R1C",Riesgos!#REF!),"")</f>
        <v>#REF!</v>
      </c>
      <c r="AC36" s="55" t="e">
        <f>IF(AND(Riesgos!#REF!="Baja",Riesgos!#REF!="Mayor"),CONCATENATE("R1C",Riesgos!#REF!),"")</f>
        <v>#REF!</v>
      </c>
      <c r="AD36" s="55" t="e">
        <f>IF(AND(Riesgos!#REF!="Baja",Riesgos!#REF!="Mayor"),CONCATENATE("R1C",Riesgos!#REF!),"")</f>
        <v>#REF!</v>
      </c>
      <c r="AE36" s="55" t="e">
        <f>IF(AND(Riesgos!#REF!="Baja",Riesgos!#REF!="Mayor"),CONCATENATE("R1C",Riesgos!#REF!),"")</f>
        <v>#REF!</v>
      </c>
      <c r="AF36" s="55" t="e">
        <f>IF(AND(Riesgos!#REF!="Baja",Riesgos!#REF!="Mayor"),CONCATENATE("R1C",Riesgos!#REF!),"")</f>
        <v>#REF!</v>
      </c>
      <c r="AG36" s="56" t="e">
        <f>IF(AND(Riesgos!#REF!="Baja",Riesgos!#REF!="Mayor"),CONCATENATE("R1C",Riesgos!#REF!),"")</f>
        <v>#REF!</v>
      </c>
      <c r="AH36" s="83" t="e">
        <f>IF(AND(Riesgos!#REF!="Baja",Riesgos!#REF!="Catastrófico"),CONCATENATE("R1C",Riesgos!#REF!),"")</f>
        <v>#REF!</v>
      </c>
      <c r="AI36" s="84" t="e">
        <f>IF(AND(Riesgos!#REF!="Baja",Riesgos!#REF!="Catastrófico"),CONCATENATE("R1C",Riesgos!#REF!),"")</f>
        <v>#REF!</v>
      </c>
      <c r="AJ36" s="84" t="e">
        <f>IF(AND(Riesgos!#REF!="Baja",Riesgos!#REF!="Catastrófico"),CONCATENATE("R1C",Riesgos!#REF!),"")</f>
        <v>#REF!</v>
      </c>
      <c r="AK36" s="84" t="e">
        <f>IF(AND(Riesgos!#REF!="Baja",Riesgos!#REF!="Catastrófico"),CONCATENATE("R1C",Riesgos!#REF!),"")</f>
        <v>#REF!</v>
      </c>
      <c r="AL36" s="84" t="e">
        <f>IF(AND(Riesgos!#REF!="Baja",Riesgos!#REF!="Catastrófico"),CONCATENATE("R1C",Riesgos!#REF!),"")</f>
        <v>#REF!</v>
      </c>
      <c r="AM36" s="85" t="e">
        <f>IF(AND(Riesgos!#REF!="Baja",Riesgos!#REF!="Catastrófico"),CONCATENATE("R1C",Riesgos!#REF!),"")</f>
        <v>#REF!</v>
      </c>
      <c r="AN36" s="18"/>
      <c r="AO36" s="863" t="s">
        <v>1515</v>
      </c>
      <c r="AP36" s="864"/>
      <c r="AQ36" s="864"/>
      <c r="AR36" s="864"/>
      <c r="AS36" s="864"/>
      <c r="AT36" s="865"/>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row>
    <row r="37" spans="1:80" ht="15" customHeight="1">
      <c r="A37" s="18"/>
      <c r="B37" s="826"/>
      <c r="C37" s="826"/>
      <c r="D37" s="827"/>
      <c r="E37" s="850"/>
      <c r="F37" s="851"/>
      <c r="G37" s="851"/>
      <c r="H37" s="851"/>
      <c r="I37" s="851"/>
      <c r="J37" s="76" t="e">
        <f>IF(AND(Riesgos!#REF!="Baja",Riesgos!#REF!="Leve"),CONCATENATE("R2C",Riesgos!#REF!),"")</f>
        <v>#REF!</v>
      </c>
      <c r="K37" s="77" t="e">
        <f>IF(AND(Riesgos!#REF!="Baja",Riesgos!#REF!="Leve"),CONCATENATE("R2C",Riesgos!#REF!),"")</f>
        <v>#REF!</v>
      </c>
      <c r="L37" s="77" t="e">
        <f>IF(AND(Riesgos!#REF!="Baja",Riesgos!#REF!="Leve"),CONCATENATE("R2C",Riesgos!#REF!),"")</f>
        <v>#REF!</v>
      </c>
      <c r="M37" s="77" t="e">
        <f>IF(AND(Riesgos!#REF!="Baja",Riesgos!#REF!="Leve"),CONCATENATE("R2C",Riesgos!#REF!),"")</f>
        <v>#REF!</v>
      </c>
      <c r="N37" s="77" t="e">
        <f>IF(AND(Riesgos!#REF!="Baja",Riesgos!#REF!="Leve"),CONCATENATE("R2C",Riesgos!#REF!),"")</f>
        <v>#REF!</v>
      </c>
      <c r="O37" s="78" t="e">
        <f>IF(AND(Riesgos!#REF!="Baja",Riesgos!#REF!="Leve"),CONCATENATE("R2C",Riesgos!#REF!),"")</f>
        <v>#REF!</v>
      </c>
      <c r="P37" s="67" t="e">
        <f>IF(AND(Riesgos!#REF!="Baja",Riesgos!#REF!="Menor"),CONCATENATE("R2C",Riesgos!#REF!),"")</f>
        <v>#REF!</v>
      </c>
      <c r="Q37" s="68" t="e">
        <f>IF(AND(Riesgos!#REF!="Baja",Riesgos!#REF!="Menor"),CONCATENATE("R2C",Riesgos!#REF!),"")</f>
        <v>#REF!</v>
      </c>
      <c r="R37" s="68" t="e">
        <f>IF(AND(Riesgos!#REF!="Baja",Riesgos!#REF!="Menor"),CONCATENATE("R2C",Riesgos!#REF!),"")</f>
        <v>#REF!</v>
      </c>
      <c r="S37" s="68" t="e">
        <f>IF(AND(Riesgos!#REF!="Baja",Riesgos!#REF!="Menor"),CONCATENATE("R2C",Riesgos!#REF!),"")</f>
        <v>#REF!</v>
      </c>
      <c r="T37" s="68" t="e">
        <f>IF(AND(Riesgos!#REF!="Baja",Riesgos!#REF!="Menor"),CONCATENATE("R2C",Riesgos!#REF!),"")</f>
        <v>#REF!</v>
      </c>
      <c r="U37" s="69" t="e">
        <f>IF(AND(Riesgos!#REF!="Baja",Riesgos!#REF!="Menor"),CONCATENATE("R2C",Riesgos!#REF!),"")</f>
        <v>#REF!</v>
      </c>
      <c r="V37" s="67" t="e">
        <f>IF(AND(Riesgos!#REF!="Baja",Riesgos!#REF!="Moderado"),CONCATENATE("R2C",Riesgos!#REF!),"")</f>
        <v>#REF!</v>
      </c>
      <c r="W37" s="68" t="e">
        <f>IF(AND(Riesgos!#REF!="Baja",Riesgos!#REF!="Moderado"),CONCATENATE("R2C",Riesgos!#REF!),"")</f>
        <v>#REF!</v>
      </c>
      <c r="X37" s="68" t="e">
        <f>IF(AND(Riesgos!#REF!="Baja",Riesgos!#REF!="Moderado"),CONCATENATE("R2C",Riesgos!#REF!),"")</f>
        <v>#REF!</v>
      </c>
      <c r="Y37" s="68" t="e">
        <f>IF(AND(Riesgos!#REF!="Baja",Riesgos!#REF!="Moderado"),CONCATENATE("R2C",Riesgos!#REF!),"")</f>
        <v>#REF!</v>
      </c>
      <c r="Z37" s="68" t="e">
        <f>IF(AND(Riesgos!#REF!="Baja",Riesgos!#REF!="Moderado"),CONCATENATE("R2C",Riesgos!#REF!),"")</f>
        <v>#REF!</v>
      </c>
      <c r="AA37" s="69" t="e">
        <f>IF(AND(Riesgos!#REF!="Baja",Riesgos!#REF!="Moderado"),CONCATENATE("R2C",Riesgos!#REF!),"")</f>
        <v>#REF!</v>
      </c>
      <c r="AB37" s="57" t="e">
        <f>IF(AND(Riesgos!#REF!="Baja",Riesgos!#REF!="Mayor"),CONCATENATE("R2C",Riesgos!#REF!),"")</f>
        <v>#REF!</v>
      </c>
      <c r="AC37" s="58" t="e">
        <f>IF(AND(Riesgos!#REF!="Baja",Riesgos!#REF!="Mayor"),CONCATENATE("R2C",Riesgos!#REF!),"")</f>
        <v>#REF!</v>
      </c>
      <c r="AD37" s="58" t="e">
        <f>IF(AND(Riesgos!#REF!="Baja",Riesgos!#REF!="Mayor"),CONCATENATE("R2C",Riesgos!#REF!),"")</f>
        <v>#REF!</v>
      </c>
      <c r="AE37" s="58" t="e">
        <f>IF(AND(Riesgos!#REF!="Baja",Riesgos!#REF!="Mayor"),CONCATENATE("R2C",Riesgos!#REF!),"")</f>
        <v>#REF!</v>
      </c>
      <c r="AF37" s="58" t="e">
        <f>IF(AND(Riesgos!#REF!="Baja",Riesgos!#REF!="Mayor"),CONCATENATE("R2C",Riesgos!#REF!),"")</f>
        <v>#REF!</v>
      </c>
      <c r="AG37" s="59" t="e">
        <f>IF(AND(Riesgos!#REF!="Baja",Riesgos!#REF!="Mayor"),CONCATENATE("R2C",Riesgos!#REF!),"")</f>
        <v>#REF!</v>
      </c>
      <c r="AH37" s="86" t="e">
        <f>IF(AND(Riesgos!#REF!="Baja",Riesgos!#REF!="Catastrófico"),CONCATENATE("R2C",Riesgos!#REF!),"")</f>
        <v>#REF!</v>
      </c>
      <c r="AI37" s="87" t="e">
        <f>IF(AND(Riesgos!#REF!="Baja",Riesgos!#REF!="Catastrófico"),CONCATENATE("R2C",Riesgos!#REF!),"")</f>
        <v>#REF!</v>
      </c>
      <c r="AJ37" s="87" t="e">
        <f>IF(AND(Riesgos!#REF!="Baja",Riesgos!#REF!="Catastrófico"),CONCATENATE("R2C",Riesgos!#REF!),"")</f>
        <v>#REF!</v>
      </c>
      <c r="AK37" s="87" t="e">
        <f>IF(AND(Riesgos!#REF!="Baja",Riesgos!#REF!="Catastrófico"),CONCATENATE("R2C",Riesgos!#REF!),"")</f>
        <v>#REF!</v>
      </c>
      <c r="AL37" s="87" t="e">
        <f>IF(AND(Riesgos!#REF!="Baja",Riesgos!#REF!="Catastrófico"),CONCATENATE("R2C",Riesgos!#REF!),"")</f>
        <v>#REF!</v>
      </c>
      <c r="AM37" s="88" t="e">
        <f>IF(AND(Riesgos!#REF!="Baja",Riesgos!#REF!="Catastrófico"),CONCATENATE("R2C",Riesgos!#REF!),"")</f>
        <v>#REF!</v>
      </c>
      <c r="AN37" s="18"/>
      <c r="AO37" s="866"/>
      <c r="AP37" s="867"/>
      <c r="AQ37" s="867"/>
      <c r="AR37" s="867"/>
      <c r="AS37" s="867"/>
      <c r="AT37" s="86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row>
    <row r="38" spans="1:80" ht="15" customHeight="1">
      <c r="A38" s="18"/>
      <c r="B38" s="826"/>
      <c r="C38" s="826"/>
      <c r="D38" s="827"/>
      <c r="E38" s="834"/>
      <c r="F38" s="835"/>
      <c r="G38" s="835"/>
      <c r="H38" s="835"/>
      <c r="I38" s="851"/>
      <c r="J38" s="76" t="e">
        <f>IF(AND(Riesgos!#REF!="Baja",Riesgos!#REF!="Leve"),CONCATENATE("R3C",Riesgos!#REF!),"")</f>
        <v>#REF!</v>
      </c>
      <c r="K38" s="77" t="e">
        <f>IF(AND(Riesgos!#REF!="Baja",Riesgos!#REF!="Leve"),CONCATENATE("R3C",Riesgos!#REF!),"")</f>
        <v>#REF!</v>
      </c>
      <c r="L38" s="77" t="e">
        <f>IF(AND(Riesgos!#REF!="Baja",Riesgos!#REF!="Leve"),CONCATENATE("R3C",Riesgos!#REF!),"")</f>
        <v>#REF!</v>
      </c>
      <c r="M38" s="77" t="e">
        <f>IF(AND(Riesgos!#REF!="Baja",Riesgos!#REF!="Leve"),CONCATENATE("R3C",Riesgos!#REF!),"")</f>
        <v>#REF!</v>
      </c>
      <c r="N38" s="77" t="e">
        <f>IF(AND(Riesgos!#REF!="Baja",Riesgos!#REF!="Leve"),CONCATENATE("R3C",Riesgos!#REF!),"")</f>
        <v>#REF!</v>
      </c>
      <c r="O38" s="78" t="e">
        <f>IF(AND(Riesgos!#REF!="Baja",Riesgos!#REF!="Leve"),CONCATENATE("R3C",Riesgos!#REF!),"")</f>
        <v>#REF!</v>
      </c>
      <c r="P38" s="67" t="e">
        <f>IF(AND(Riesgos!#REF!="Baja",Riesgos!#REF!="Menor"),CONCATENATE("R3C",Riesgos!#REF!),"")</f>
        <v>#REF!</v>
      </c>
      <c r="Q38" s="68" t="e">
        <f>IF(AND(Riesgos!#REF!="Baja",Riesgos!#REF!="Menor"),CONCATENATE("R3C",Riesgos!#REF!),"")</f>
        <v>#REF!</v>
      </c>
      <c r="R38" s="68" t="e">
        <f>IF(AND(Riesgos!#REF!="Baja",Riesgos!#REF!="Menor"),CONCATENATE("R3C",Riesgos!#REF!),"")</f>
        <v>#REF!</v>
      </c>
      <c r="S38" s="68" t="e">
        <f>IF(AND(Riesgos!#REF!="Baja",Riesgos!#REF!="Menor"),CONCATENATE("R3C",Riesgos!#REF!),"")</f>
        <v>#REF!</v>
      </c>
      <c r="T38" s="68" t="e">
        <f>IF(AND(Riesgos!#REF!="Baja",Riesgos!#REF!="Menor"),CONCATENATE("R3C",Riesgos!#REF!),"")</f>
        <v>#REF!</v>
      </c>
      <c r="U38" s="69" t="e">
        <f>IF(AND(Riesgos!#REF!="Baja",Riesgos!#REF!="Menor"),CONCATENATE("R3C",Riesgos!#REF!),"")</f>
        <v>#REF!</v>
      </c>
      <c r="V38" s="67" t="e">
        <f>IF(AND(Riesgos!#REF!="Baja",Riesgos!#REF!="Moderado"),CONCATENATE("R3C",Riesgos!#REF!),"")</f>
        <v>#REF!</v>
      </c>
      <c r="W38" s="68" t="e">
        <f>IF(AND(Riesgos!#REF!="Baja",Riesgos!#REF!="Moderado"),CONCATENATE("R3C",Riesgos!#REF!),"")</f>
        <v>#REF!</v>
      </c>
      <c r="X38" s="68" t="e">
        <f>IF(AND(Riesgos!#REF!="Baja",Riesgos!#REF!="Moderado"),CONCATENATE("R3C",Riesgos!#REF!),"")</f>
        <v>#REF!</v>
      </c>
      <c r="Y38" s="68" t="e">
        <f>IF(AND(Riesgos!#REF!="Baja",Riesgos!#REF!="Moderado"),CONCATENATE("R3C",Riesgos!#REF!),"")</f>
        <v>#REF!</v>
      </c>
      <c r="Z38" s="68" t="e">
        <f>IF(AND(Riesgos!#REF!="Baja",Riesgos!#REF!="Moderado"),CONCATENATE("R3C",Riesgos!#REF!),"")</f>
        <v>#REF!</v>
      </c>
      <c r="AA38" s="69" t="e">
        <f>IF(AND(Riesgos!#REF!="Baja",Riesgos!#REF!="Moderado"),CONCATENATE("R3C",Riesgos!#REF!),"")</f>
        <v>#REF!</v>
      </c>
      <c r="AB38" s="57" t="e">
        <f>IF(AND(Riesgos!#REF!="Baja",Riesgos!#REF!="Mayor"),CONCATENATE("R3C",Riesgos!#REF!),"")</f>
        <v>#REF!</v>
      </c>
      <c r="AC38" s="58" t="e">
        <f>IF(AND(Riesgos!#REF!="Baja",Riesgos!#REF!="Mayor"),CONCATENATE("R3C",Riesgos!#REF!),"")</f>
        <v>#REF!</v>
      </c>
      <c r="AD38" s="58" t="e">
        <f>IF(AND(Riesgos!#REF!="Baja",Riesgos!#REF!="Mayor"),CONCATENATE("R3C",Riesgos!#REF!),"")</f>
        <v>#REF!</v>
      </c>
      <c r="AE38" s="58" t="e">
        <f>IF(AND(Riesgos!#REF!="Baja",Riesgos!#REF!="Mayor"),CONCATENATE("R3C",Riesgos!#REF!),"")</f>
        <v>#REF!</v>
      </c>
      <c r="AF38" s="58" t="e">
        <f>IF(AND(Riesgos!#REF!="Baja",Riesgos!#REF!="Mayor"),CONCATENATE("R3C",Riesgos!#REF!),"")</f>
        <v>#REF!</v>
      </c>
      <c r="AG38" s="59" t="e">
        <f>IF(AND(Riesgos!#REF!="Baja",Riesgos!#REF!="Mayor"),CONCATENATE("R3C",Riesgos!#REF!),"")</f>
        <v>#REF!</v>
      </c>
      <c r="AH38" s="86" t="e">
        <f>IF(AND(Riesgos!#REF!="Baja",Riesgos!#REF!="Catastrófico"),CONCATENATE("R3C",Riesgos!#REF!),"")</f>
        <v>#REF!</v>
      </c>
      <c r="AI38" s="87" t="e">
        <f>IF(AND(Riesgos!#REF!="Baja",Riesgos!#REF!="Catastrófico"),CONCATENATE("R3C",Riesgos!#REF!),"")</f>
        <v>#REF!</v>
      </c>
      <c r="AJ38" s="87" t="e">
        <f>IF(AND(Riesgos!#REF!="Baja",Riesgos!#REF!="Catastrófico"),CONCATENATE("R3C",Riesgos!#REF!),"")</f>
        <v>#REF!</v>
      </c>
      <c r="AK38" s="87" t="e">
        <f>IF(AND(Riesgos!#REF!="Baja",Riesgos!#REF!="Catastrófico"),CONCATENATE("R3C",Riesgos!#REF!),"")</f>
        <v>#REF!</v>
      </c>
      <c r="AL38" s="87" t="e">
        <f>IF(AND(Riesgos!#REF!="Baja",Riesgos!#REF!="Catastrófico"),CONCATENATE("R3C",Riesgos!#REF!),"")</f>
        <v>#REF!</v>
      </c>
      <c r="AM38" s="88" t="e">
        <f>IF(AND(Riesgos!#REF!="Baja",Riesgos!#REF!="Catastrófico"),CONCATENATE("R3C",Riesgos!#REF!),"")</f>
        <v>#REF!</v>
      </c>
      <c r="AN38" s="18"/>
      <c r="AO38" s="866"/>
      <c r="AP38" s="867"/>
      <c r="AQ38" s="867"/>
      <c r="AR38" s="867"/>
      <c r="AS38" s="867"/>
      <c r="AT38" s="86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row>
    <row r="39" spans="1:80" ht="15" customHeight="1">
      <c r="A39" s="18"/>
      <c r="B39" s="826"/>
      <c r="C39" s="826"/>
      <c r="D39" s="827"/>
      <c r="E39" s="834"/>
      <c r="F39" s="835"/>
      <c r="G39" s="835"/>
      <c r="H39" s="835"/>
      <c r="I39" s="851"/>
      <c r="J39" s="76" t="e">
        <f>IF(AND(Riesgos!#REF!="Baja",Riesgos!#REF!="Leve"),CONCATENATE("R4C",Riesgos!#REF!),"")</f>
        <v>#REF!</v>
      </c>
      <c r="K39" s="77" t="e">
        <f>IF(AND(Riesgos!#REF!="Baja",Riesgos!#REF!="Leve"),CONCATENATE("R4C",Riesgos!#REF!),"")</f>
        <v>#REF!</v>
      </c>
      <c r="L39" s="77" t="e">
        <f>IF(AND(Riesgos!#REF!="Baja",Riesgos!#REF!="Leve"),CONCATENATE("R4C",Riesgos!#REF!),"")</f>
        <v>#REF!</v>
      </c>
      <c r="M39" s="77" t="e">
        <f>IF(AND(Riesgos!#REF!="Baja",Riesgos!#REF!="Leve"),CONCATENATE("R4C",Riesgos!#REF!),"")</f>
        <v>#REF!</v>
      </c>
      <c r="N39" s="77" t="e">
        <f>IF(AND(Riesgos!#REF!="Baja",Riesgos!#REF!="Leve"),CONCATENATE("R4C",Riesgos!#REF!),"")</f>
        <v>#REF!</v>
      </c>
      <c r="O39" s="78" t="e">
        <f>IF(AND(Riesgos!#REF!="Baja",Riesgos!#REF!="Leve"),CONCATENATE("R4C",Riesgos!#REF!),"")</f>
        <v>#REF!</v>
      </c>
      <c r="P39" s="67" t="e">
        <f>IF(AND(Riesgos!#REF!="Baja",Riesgos!#REF!="Menor"),CONCATENATE("R4C",Riesgos!#REF!),"")</f>
        <v>#REF!</v>
      </c>
      <c r="Q39" s="68" t="e">
        <f>IF(AND(Riesgos!#REF!="Baja",Riesgos!#REF!="Menor"),CONCATENATE("R4C",Riesgos!#REF!),"")</f>
        <v>#REF!</v>
      </c>
      <c r="R39" s="68" t="e">
        <f>IF(AND(Riesgos!#REF!="Baja",Riesgos!#REF!="Menor"),CONCATENATE("R4C",Riesgos!#REF!),"")</f>
        <v>#REF!</v>
      </c>
      <c r="S39" s="68" t="e">
        <f>IF(AND(Riesgos!#REF!="Baja",Riesgos!#REF!="Menor"),CONCATENATE("R4C",Riesgos!#REF!),"")</f>
        <v>#REF!</v>
      </c>
      <c r="T39" s="68" t="e">
        <f>IF(AND(Riesgos!#REF!="Baja",Riesgos!#REF!="Menor"),CONCATENATE("R4C",Riesgos!#REF!),"")</f>
        <v>#REF!</v>
      </c>
      <c r="U39" s="69" t="e">
        <f>IF(AND(Riesgos!#REF!="Baja",Riesgos!#REF!="Menor"),CONCATENATE("R4C",Riesgos!#REF!),"")</f>
        <v>#REF!</v>
      </c>
      <c r="V39" s="67" t="e">
        <f>IF(AND(Riesgos!#REF!="Baja",Riesgos!#REF!="Moderado"),CONCATENATE("R4C",Riesgos!#REF!),"")</f>
        <v>#REF!</v>
      </c>
      <c r="W39" s="68" t="e">
        <f>IF(AND(Riesgos!#REF!="Baja",Riesgos!#REF!="Moderado"),CONCATENATE("R4C",Riesgos!#REF!),"")</f>
        <v>#REF!</v>
      </c>
      <c r="X39" s="68" t="e">
        <f>IF(AND(Riesgos!#REF!="Baja",Riesgos!#REF!="Moderado"),CONCATENATE("R4C",Riesgos!#REF!),"")</f>
        <v>#REF!</v>
      </c>
      <c r="Y39" s="68" t="e">
        <f>IF(AND(Riesgos!#REF!="Baja",Riesgos!#REF!="Moderado"),CONCATENATE("R4C",Riesgos!#REF!),"")</f>
        <v>#REF!</v>
      </c>
      <c r="Z39" s="68" t="e">
        <f>IF(AND(Riesgos!#REF!="Baja",Riesgos!#REF!="Moderado"),CONCATENATE("R4C",Riesgos!#REF!),"")</f>
        <v>#REF!</v>
      </c>
      <c r="AA39" s="69" t="e">
        <f>IF(AND(Riesgos!#REF!="Baja",Riesgos!#REF!="Moderado"),CONCATENATE("R4C",Riesgos!#REF!),"")</f>
        <v>#REF!</v>
      </c>
      <c r="AB39" s="57" t="e">
        <f>IF(AND(Riesgos!#REF!="Baja",Riesgos!#REF!="Mayor"),CONCATENATE("R4C",Riesgos!#REF!),"")</f>
        <v>#REF!</v>
      </c>
      <c r="AC39" s="58" t="e">
        <f>IF(AND(Riesgos!#REF!="Baja",Riesgos!#REF!="Mayor"),CONCATENATE("R4C",Riesgos!#REF!),"")</f>
        <v>#REF!</v>
      </c>
      <c r="AD39" s="58" t="e">
        <f>IF(AND(Riesgos!#REF!="Baja",Riesgos!#REF!="Mayor"),CONCATENATE("R4C",Riesgos!#REF!),"")</f>
        <v>#REF!</v>
      </c>
      <c r="AE39" s="58" t="e">
        <f>IF(AND(Riesgos!#REF!="Baja",Riesgos!#REF!="Mayor"),CONCATENATE("R4C",Riesgos!#REF!),"")</f>
        <v>#REF!</v>
      </c>
      <c r="AF39" s="58" t="e">
        <f>IF(AND(Riesgos!#REF!="Baja",Riesgos!#REF!="Mayor"),CONCATENATE("R4C",Riesgos!#REF!),"")</f>
        <v>#REF!</v>
      </c>
      <c r="AG39" s="59" t="e">
        <f>IF(AND(Riesgos!#REF!="Baja",Riesgos!#REF!="Mayor"),CONCATENATE("R4C",Riesgos!#REF!),"")</f>
        <v>#REF!</v>
      </c>
      <c r="AH39" s="86" t="e">
        <f>IF(AND(Riesgos!#REF!="Baja",Riesgos!#REF!="Catastrófico"),CONCATENATE("R4C",Riesgos!#REF!),"")</f>
        <v>#REF!</v>
      </c>
      <c r="AI39" s="87" t="e">
        <f>IF(AND(Riesgos!#REF!="Baja",Riesgos!#REF!="Catastrófico"),CONCATENATE("R4C",Riesgos!#REF!),"")</f>
        <v>#REF!</v>
      </c>
      <c r="AJ39" s="87" t="e">
        <f>IF(AND(Riesgos!#REF!="Baja",Riesgos!#REF!="Catastrófico"),CONCATENATE("R4C",Riesgos!#REF!),"")</f>
        <v>#REF!</v>
      </c>
      <c r="AK39" s="87" t="e">
        <f>IF(AND(Riesgos!#REF!="Baja",Riesgos!#REF!="Catastrófico"),CONCATENATE("R4C",Riesgos!#REF!),"")</f>
        <v>#REF!</v>
      </c>
      <c r="AL39" s="87" t="e">
        <f>IF(AND(Riesgos!#REF!="Baja",Riesgos!#REF!="Catastrófico"),CONCATENATE("R4C",Riesgos!#REF!),"")</f>
        <v>#REF!</v>
      </c>
      <c r="AM39" s="88" t="e">
        <f>IF(AND(Riesgos!#REF!="Baja",Riesgos!#REF!="Catastrófico"),CONCATENATE("R4C",Riesgos!#REF!),"")</f>
        <v>#REF!</v>
      </c>
      <c r="AN39" s="18"/>
      <c r="AO39" s="866"/>
      <c r="AP39" s="867"/>
      <c r="AQ39" s="867"/>
      <c r="AR39" s="867"/>
      <c r="AS39" s="867"/>
      <c r="AT39" s="86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row>
    <row r="40" spans="1:80" ht="15" customHeight="1">
      <c r="A40" s="18"/>
      <c r="B40" s="826"/>
      <c r="C40" s="826"/>
      <c r="D40" s="827"/>
      <c r="E40" s="834"/>
      <c r="F40" s="835"/>
      <c r="G40" s="835"/>
      <c r="H40" s="835"/>
      <c r="I40" s="851"/>
      <c r="J40" s="76" t="e">
        <f>IF(AND(Riesgos!#REF!="Baja",Riesgos!#REF!="Leve"),CONCATENATE("R5C",Riesgos!#REF!),"")</f>
        <v>#REF!</v>
      </c>
      <c r="K40" s="77" t="e">
        <f>IF(AND(Riesgos!#REF!="Baja",Riesgos!#REF!="Leve"),CONCATENATE("R5C",Riesgos!#REF!),"")</f>
        <v>#REF!</v>
      </c>
      <c r="L40" s="77" t="e">
        <f>IF(AND(Riesgos!#REF!="Baja",Riesgos!#REF!="Leve"),CONCATENATE("R5C",Riesgos!#REF!),"")</f>
        <v>#REF!</v>
      </c>
      <c r="M40" s="77" t="e">
        <f>IF(AND(Riesgos!#REF!="Baja",Riesgos!#REF!="Leve"),CONCATENATE("R5C",Riesgos!#REF!),"")</f>
        <v>#REF!</v>
      </c>
      <c r="N40" s="77" t="e">
        <f>IF(AND(Riesgos!#REF!="Baja",Riesgos!#REF!="Leve"),CONCATENATE("R5C",Riesgos!#REF!),"")</f>
        <v>#REF!</v>
      </c>
      <c r="O40" s="78" t="e">
        <f>IF(AND(Riesgos!#REF!="Baja",Riesgos!#REF!="Leve"),CONCATENATE("R5C",Riesgos!#REF!),"")</f>
        <v>#REF!</v>
      </c>
      <c r="P40" s="67" t="e">
        <f>IF(AND(Riesgos!#REF!="Baja",Riesgos!#REF!="Menor"),CONCATENATE("R5C",Riesgos!#REF!),"")</f>
        <v>#REF!</v>
      </c>
      <c r="Q40" s="68" t="e">
        <f>IF(AND(Riesgos!#REF!="Baja",Riesgos!#REF!="Menor"),CONCATENATE("R5C",Riesgos!#REF!),"")</f>
        <v>#REF!</v>
      </c>
      <c r="R40" s="68" t="e">
        <f>IF(AND(Riesgos!#REF!="Baja",Riesgos!#REF!="Menor"),CONCATENATE("R5C",Riesgos!#REF!),"")</f>
        <v>#REF!</v>
      </c>
      <c r="S40" s="68" t="e">
        <f>IF(AND(Riesgos!#REF!="Baja",Riesgos!#REF!="Menor"),CONCATENATE("R5C",Riesgos!#REF!),"")</f>
        <v>#REF!</v>
      </c>
      <c r="T40" s="68" t="e">
        <f>IF(AND(Riesgos!#REF!="Baja",Riesgos!#REF!="Menor"),CONCATENATE("R5C",Riesgos!#REF!),"")</f>
        <v>#REF!</v>
      </c>
      <c r="U40" s="69" t="e">
        <f>IF(AND(Riesgos!#REF!="Baja",Riesgos!#REF!="Menor"),CONCATENATE("R5C",Riesgos!#REF!),"")</f>
        <v>#REF!</v>
      </c>
      <c r="V40" s="67" t="e">
        <f>IF(AND(Riesgos!#REF!="Baja",Riesgos!#REF!="Moderado"),CONCATENATE("R5C",Riesgos!#REF!),"")</f>
        <v>#REF!</v>
      </c>
      <c r="W40" s="68" t="e">
        <f>IF(AND(Riesgos!#REF!="Baja",Riesgos!#REF!="Moderado"),CONCATENATE("R5C",Riesgos!#REF!),"")</f>
        <v>#REF!</v>
      </c>
      <c r="X40" s="68" t="e">
        <f>IF(AND(Riesgos!#REF!="Baja",Riesgos!#REF!="Moderado"),CONCATENATE("R5C",Riesgos!#REF!),"")</f>
        <v>#REF!</v>
      </c>
      <c r="Y40" s="68" t="e">
        <f>IF(AND(Riesgos!#REF!="Baja",Riesgos!#REF!="Moderado"),CONCATENATE("R5C",Riesgos!#REF!),"")</f>
        <v>#REF!</v>
      </c>
      <c r="Z40" s="68" t="e">
        <f>IF(AND(Riesgos!#REF!="Baja",Riesgos!#REF!="Moderado"),CONCATENATE("R5C",Riesgos!#REF!),"")</f>
        <v>#REF!</v>
      </c>
      <c r="AA40" s="69" t="e">
        <f>IF(AND(Riesgos!#REF!="Baja",Riesgos!#REF!="Moderado"),CONCATENATE("R5C",Riesgos!#REF!),"")</f>
        <v>#REF!</v>
      </c>
      <c r="AB40" s="57" t="e">
        <f>IF(AND(Riesgos!#REF!="Baja",Riesgos!#REF!="Mayor"),CONCATENATE("R5C",Riesgos!#REF!),"")</f>
        <v>#REF!</v>
      </c>
      <c r="AC40" s="58" t="e">
        <f>IF(AND(Riesgos!#REF!="Baja",Riesgos!#REF!="Mayor"),CONCATENATE("R5C",Riesgos!#REF!),"")</f>
        <v>#REF!</v>
      </c>
      <c r="AD40" s="60" t="e">
        <f>IF(AND(Riesgos!#REF!="Baja",Riesgos!#REF!="Mayor"),CONCATENATE("R5C",Riesgos!#REF!),"")</f>
        <v>#REF!</v>
      </c>
      <c r="AE40" s="60" t="e">
        <f>IF(AND(Riesgos!#REF!="Baja",Riesgos!#REF!="Mayor"),CONCATENATE("R5C",Riesgos!#REF!),"")</f>
        <v>#REF!</v>
      </c>
      <c r="AF40" s="60" t="e">
        <f>IF(AND(Riesgos!#REF!="Baja",Riesgos!#REF!="Mayor"),CONCATENATE("R5C",Riesgos!#REF!),"")</f>
        <v>#REF!</v>
      </c>
      <c r="AG40" s="59" t="e">
        <f>IF(AND(Riesgos!#REF!="Baja",Riesgos!#REF!="Mayor"),CONCATENATE("R5C",Riesgos!#REF!),"")</f>
        <v>#REF!</v>
      </c>
      <c r="AH40" s="86" t="e">
        <f>IF(AND(Riesgos!#REF!="Baja",Riesgos!#REF!="Catastrófico"),CONCATENATE("R5C",Riesgos!#REF!),"")</f>
        <v>#REF!</v>
      </c>
      <c r="AI40" s="87" t="e">
        <f>IF(AND(Riesgos!#REF!="Baja",Riesgos!#REF!="Catastrófico"),CONCATENATE("R5C",Riesgos!#REF!),"")</f>
        <v>#REF!</v>
      </c>
      <c r="AJ40" s="87" t="e">
        <f>IF(AND(Riesgos!#REF!="Baja",Riesgos!#REF!="Catastrófico"),CONCATENATE("R5C",Riesgos!#REF!),"")</f>
        <v>#REF!</v>
      </c>
      <c r="AK40" s="87" t="e">
        <f>IF(AND(Riesgos!#REF!="Baja",Riesgos!#REF!="Catastrófico"),CONCATENATE("R5C",Riesgos!#REF!),"")</f>
        <v>#REF!</v>
      </c>
      <c r="AL40" s="87" t="e">
        <f>IF(AND(Riesgos!#REF!="Baja",Riesgos!#REF!="Catastrófico"),CONCATENATE("R5C",Riesgos!#REF!),"")</f>
        <v>#REF!</v>
      </c>
      <c r="AM40" s="88" t="e">
        <f>IF(AND(Riesgos!#REF!="Baja",Riesgos!#REF!="Catastrófico"),CONCATENATE("R5C",Riesgos!#REF!),"")</f>
        <v>#REF!</v>
      </c>
      <c r="AN40" s="18"/>
      <c r="AO40" s="866"/>
      <c r="AP40" s="867"/>
      <c r="AQ40" s="867"/>
      <c r="AR40" s="867"/>
      <c r="AS40" s="867"/>
      <c r="AT40" s="86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row>
    <row r="41" spans="1:80" ht="15" customHeight="1">
      <c r="A41" s="18"/>
      <c r="B41" s="826"/>
      <c r="C41" s="826"/>
      <c r="D41" s="827"/>
      <c r="E41" s="834"/>
      <c r="F41" s="835"/>
      <c r="G41" s="835"/>
      <c r="H41" s="835"/>
      <c r="I41" s="851"/>
      <c r="J41" s="76" t="e">
        <f>IF(AND(Riesgos!#REF!="Baja",Riesgos!#REF!="Leve"),CONCATENATE("R6C",Riesgos!#REF!),"")</f>
        <v>#REF!</v>
      </c>
      <c r="K41" s="77" t="e">
        <f>IF(AND(Riesgos!#REF!="Baja",Riesgos!#REF!="Leve"),CONCATENATE("R6C",Riesgos!#REF!),"")</f>
        <v>#REF!</v>
      </c>
      <c r="L41" s="77" t="e">
        <f>IF(AND(Riesgos!#REF!="Baja",Riesgos!#REF!="Leve"),CONCATENATE("R6C",Riesgos!#REF!),"")</f>
        <v>#REF!</v>
      </c>
      <c r="M41" s="77" t="e">
        <f>IF(AND(Riesgos!#REF!="Baja",Riesgos!#REF!="Leve"),CONCATENATE("R6C",Riesgos!#REF!),"")</f>
        <v>#REF!</v>
      </c>
      <c r="N41" s="77" t="e">
        <f>IF(AND(Riesgos!#REF!="Baja",Riesgos!#REF!="Leve"),CONCATENATE("R6C",Riesgos!#REF!),"")</f>
        <v>#REF!</v>
      </c>
      <c r="O41" s="78" t="e">
        <f>IF(AND(Riesgos!#REF!="Baja",Riesgos!#REF!="Leve"),CONCATENATE("R6C",Riesgos!#REF!),"")</f>
        <v>#REF!</v>
      </c>
      <c r="P41" s="67" t="e">
        <f>IF(AND(Riesgos!#REF!="Baja",Riesgos!#REF!="Menor"),CONCATENATE("R6C",Riesgos!#REF!),"")</f>
        <v>#REF!</v>
      </c>
      <c r="Q41" s="68" t="e">
        <f>IF(AND(Riesgos!#REF!="Baja",Riesgos!#REF!="Menor"),CONCATENATE("R6C",Riesgos!#REF!),"")</f>
        <v>#REF!</v>
      </c>
      <c r="R41" s="68" t="e">
        <f>IF(AND(Riesgos!#REF!="Baja",Riesgos!#REF!="Menor"),CONCATENATE("R6C",Riesgos!#REF!),"")</f>
        <v>#REF!</v>
      </c>
      <c r="S41" s="68" t="e">
        <f>IF(AND(Riesgos!#REF!="Baja",Riesgos!#REF!="Menor"),CONCATENATE("R6C",Riesgos!#REF!),"")</f>
        <v>#REF!</v>
      </c>
      <c r="T41" s="68" t="e">
        <f>IF(AND(Riesgos!#REF!="Baja",Riesgos!#REF!="Menor"),CONCATENATE("R6C",Riesgos!#REF!),"")</f>
        <v>#REF!</v>
      </c>
      <c r="U41" s="69" t="e">
        <f>IF(AND(Riesgos!#REF!="Baja",Riesgos!#REF!="Menor"),CONCATENATE("R6C",Riesgos!#REF!),"")</f>
        <v>#REF!</v>
      </c>
      <c r="V41" s="67" t="e">
        <f>IF(AND(Riesgos!#REF!="Baja",Riesgos!#REF!="Moderado"),CONCATENATE("R6C",Riesgos!#REF!),"")</f>
        <v>#REF!</v>
      </c>
      <c r="W41" s="68" t="e">
        <f>IF(AND(Riesgos!#REF!="Baja",Riesgos!#REF!="Moderado"),CONCATENATE("R6C",Riesgos!#REF!),"")</f>
        <v>#REF!</v>
      </c>
      <c r="X41" s="68" t="e">
        <f>IF(AND(Riesgos!#REF!="Baja",Riesgos!#REF!="Moderado"),CONCATENATE("R6C",Riesgos!#REF!),"")</f>
        <v>#REF!</v>
      </c>
      <c r="Y41" s="68" t="e">
        <f>IF(AND(Riesgos!#REF!="Baja",Riesgos!#REF!="Moderado"),CONCATENATE("R6C",Riesgos!#REF!),"")</f>
        <v>#REF!</v>
      </c>
      <c r="Z41" s="68" t="e">
        <f>IF(AND(Riesgos!#REF!="Baja",Riesgos!#REF!="Moderado"),CONCATENATE("R6C",Riesgos!#REF!),"")</f>
        <v>#REF!</v>
      </c>
      <c r="AA41" s="69" t="e">
        <f>IF(AND(Riesgos!#REF!="Baja",Riesgos!#REF!="Moderado"),CONCATENATE("R6C",Riesgos!#REF!),"")</f>
        <v>#REF!</v>
      </c>
      <c r="AB41" s="57" t="e">
        <f>IF(AND(Riesgos!#REF!="Baja",Riesgos!#REF!="Mayor"),CONCATENATE("R6C",Riesgos!#REF!),"")</f>
        <v>#REF!</v>
      </c>
      <c r="AC41" s="58" t="e">
        <f>IF(AND(Riesgos!#REF!="Baja",Riesgos!#REF!="Mayor"),CONCATENATE("R6C",Riesgos!#REF!),"")</f>
        <v>#REF!</v>
      </c>
      <c r="AD41" s="60" t="e">
        <f>IF(AND(Riesgos!#REF!="Baja",Riesgos!#REF!="Mayor"),CONCATENATE("R6C",Riesgos!#REF!),"")</f>
        <v>#REF!</v>
      </c>
      <c r="AE41" s="60" t="e">
        <f>IF(AND(Riesgos!#REF!="Baja",Riesgos!#REF!="Mayor"),CONCATENATE("R6C",Riesgos!#REF!),"")</f>
        <v>#REF!</v>
      </c>
      <c r="AF41" s="60" t="e">
        <f>IF(AND(Riesgos!#REF!="Baja",Riesgos!#REF!="Mayor"),CONCATENATE("R6C",Riesgos!#REF!),"")</f>
        <v>#REF!</v>
      </c>
      <c r="AG41" s="59" t="e">
        <f>IF(AND(Riesgos!#REF!="Baja",Riesgos!#REF!="Mayor"),CONCATENATE("R6C",Riesgos!#REF!),"")</f>
        <v>#REF!</v>
      </c>
      <c r="AH41" s="86" t="e">
        <f>IF(AND(Riesgos!#REF!="Baja",Riesgos!#REF!="Catastrófico"),CONCATENATE("R6C",Riesgos!#REF!),"")</f>
        <v>#REF!</v>
      </c>
      <c r="AI41" s="87" t="e">
        <f>IF(AND(Riesgos!#REF!="Baja",Riesgos!#REF!="Catastrófico"),CONCATENATE("R6C",Riesgos!#REF!),"")</f>
        <v>#REF!</v>
      </c>
      <c r="AJ41" s="87" t="e">
        <f>IF(AND(Riesgos!#REF!="Baja",Riesgos!#REF!="Catastrófico"),CONCATENATE("R6C",Riesgos!#REF!),"")</f>
        <v>#REF!</v>
      </c>
      <c r="AK41" s="87" t="e">
        <f>IF(AND(Riesgos!#REF!="Baja",Riesgos!#REF!="Catastrófico"),CONCATENATE("R6C",Riesgos!#REF!),"")</f>
        <v>#REF!</v>
      </c>
      <c r="AL41" s="87" t="e">
        <f>IF(AND(Riesgos!#REF!="Baja",Riesgos!#REF!="Catastrófico"),CONCATENATE("R6C",Riesgos!#REF!),"")</f>
        <v>#REF!</v>
      </c>
      <c r="AM41" s="88" t="e">
        <f>IF(AND(Riesgos!#REF!="Baja",Riesgos!#REF!="Catastrófico"),CONCATENATE("R6C",Riesgos!#REF!),"")</f>
        <v>#REF!</v>
      </c>
      <c r="AN41" s="18"/>
      <c r="AO41" s="866"/>
      <c r="AP41" s="867"/>
      <c r="AQ41" s="867"/>
      <c r="AR41" s="867"/>
      <c r="AS41" s="867"/>
      <c r="AT41" s="86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row>
    <row r="42" spans="1:80" ht="15" customHeight="1">
      <c r="A42" s="18"/>
      <c r="B42" s="826"/>
      <c r="C42" s="826"/>
      <c r="D42" s="827"/>
      <c r="E42" s="834"/>
      <c r="F42" s="835"/>
      <c r="G42" s="835"/>
      <c r="H42" s="835"/>
      <c r="I42" s="851"/>
      <c r="J42" s="76" t="e">
        <f>IF(AND(Riesgos!#REF!="Baja",Riesgos!#REF!="Leve"),CONCATENATE("R7C",Riesgos!#REF!),"")</f>
        <v>#REF!</v>
      </c>
      <c r="K42" s="77" t="e">
        <f>IF(AND(Riesgos!#REF!="Baja",Riesgos!#REF!="Leve"),CONCATENATE("R7C",Riesgos!#REF!),"")</f>
        <v>#REF!</v>
      </c>
      <c r="L42" s="77" t="e">
        <f>IF(AND(Riesgos!#REF!="Baja",Riesgos!#REF!="Leve"),CONCATENATE("R7C",Riesgos!#REF!),"")</f>
        <v>#REF!</v>
      </c>
      <c r="M42" s="77" t="e">
        <f>IF(AND(Riesgos!#REF!="Baja",Riesgos!#REF!="Leve"),CONCATENATE("R7C",Riesgos!#REF!),"")</f>
        <v>#REF!</v>
      </c>
      <c r="N42" s="77" t="e">
        <f>IF(AND(Riesgos!#REF!="Baja",Riesgos!#REF!="Leve"),CONCATENATE("R7C",Riesgos!#REF!),"")</f>
        <v>#REF!</v>
      </c>
      <c r="O42" s="78" t="e">
        <f>IF(AND(Riesgos!#REF!="Baja",Riesgos!#REF!="Leve"),CONCATENATE("R7C",Riesgos!#REF!),"")</f>
        <v>#REF!</v>
      </c>
      <c r="P42" s="67" t="e">
        <f>IF(AND(Riesgos!#REF!="Baja",Riesgos!#REF!="Menor"),CONCATENATE("R7C",Riesgos!#REF!),"")</f>
        <v>#REF!</v>
      </c>
      <c r="Q42" s="68" t="e">
        <f>IF(AND(Riesgos!#REF!="Baja",Riesgos!#REF!="Menor"),CONCATENATE("R7C",Riesgos!#REF!),"")</f>
        <v>#REF!</v>
      </c>
      <c r="R42" s="68" t="e">
        <f>IF(AND(Riesgos!#REF!="Baja",Riesgos!#REF!="Menor"),CONCATENATE("R7C",Riesgos!#REF!),"")</f>
        <v>#REF!</v>
      </c>
      <c r="S42" s="68" t="e">
        <f>IF(AND(Riesgos!#REF!="Baja",Riesgos!#REF!="Menor"),CONCATENATE("R7C",Riesgos!#REF!),"")</f>
        <v>#REF!</v>
      </c>
      <c r="T42" s="68" t="e">
        <f>IF(AND(Riesgos!#REF!="Baja",Riesgos!#REF!="Menor"),CONCATENATE("R7C",Riesgos!#REF!),"")</f>
        <v>#REF!</v>
      </c>
      <c r="U42" s="69" t="e">
        <f>IF(AND(Riesgos!#REF!="Baja",Riesgos!#REF!="Menor"),CONCATENATE("R7C",Riesgos!#REF!),"")</f>
        <v>#REF!</v>
      </c>
      <c r="V42" s="67" t="e">
        <f>IF(AND(Riesgos!#REF!="Baja",Riesgos!#REF!="Moderado"),CONCATENATE("R7C",Riesgos!#REF!),"")</f>
        <v>#REF!</v>
      </c>
      <c r="W42" s="68" t="e">
        <f>IF(AND(Riesgos!#REF!="Baja",Riesgos!#REF!="Moderado"),CONCATENATE("R7C",Riesgos!#REF!),"")</f>
        <v>#REF!</v>
      </c>
      <c r="X42" s="68" t="e">
        <f>IF(AND(Riesgos!#REF!="Baja",Riesgos!#REF!="Moderado"),CONCATENATE("R7C",Riesgos!#REF!),"")</f>
        <v>#REF!</v>
      </c>
      <c r="Y42" s="68" t="e">
        <f>IF(AND(Riesgos!#REF!="Baja",Riesgos!#REF!="Moderado"),CONCATENATE("R7C",Riesgos!#REF!),"")</f>
        <v>#REF!</v>
      </c>
      <c r="Z42" s="68" t="e">
        <f>IF(AND(Riesgos!#REF!="Baja",Riesgos!#REF!="Moderado"),CONCATENATE("R7C",Riesgos!#REF!),"")</f>
        <v>#REF!</v>
      </c>
      <c r="AA42" s="69" t="e">
        <f>IF(AND(Riesgos!#REF!="Baja",Riesgos!#REF!="Moderado"),CONCATENATE("R7C",Riesgos!#REF!),"")</f>
        <v>#REF!</v>
      </c>
      <c r="AB42" s="57" t="e">
        <f>IF(AND(Riesgos!#REF!="Baja",Riesgos!#REF!="Mayor"),CONCATENATE("R7C",Riesgos!#REF!),"")</f>
        <v>#REF!</v>
      </c>
      <c r="AC42" s="58" t="e">
        <f>IF(AND(Riesgos!#REF!="Baja",Riesgos!#REF!="Mayor"),CONCATENATE("R7C",Riesgos!#REF!),"")</f>
        <v>#REF!</v>
      </c>
      <c r="AD42" s="60" t="e">
        <f>IF(AND(Riesgos!#REF!="Baja",Riesgos!#REF!="Mayor"),CONCATENATE("R7C",Riesgos!#REF!),"")</f>
        <v>#REF!</v>
      </c>
      <c r="AE42" s="60" t="e">
        <f>IF(AND(Riesgos!#REF!="Baja",Riesgos!#REF!="Mayor"),CONCATENATE("R7C",Riesgos!#REF!),"")</f>
        <v>#REF!</v>
      </c>
      <c r="AF42" s="60" t="e">
        <f>IF(AND(Riesgos!#REF!="Baja",Riesgos!#REF!="Mayor"),CONCATENATE("R7C",Riesgos!#REF!),"")</f>
        <v>#REF!</v>
      </c>
      <c r="AG42" s="59" t="e">
        <f>IF(AND(Riesgos!#REF!="Baja",Riesgos!#REF!="Mayor"),CONCATENATE("R7C",Riesgos!#REF!),"")</f>
        <v>#REF!</v>
      </c>
      <c r="AH42" s="86" t="e">
        <f>IF(AND(Riesgos!#REF!="Baja",Riesgos!#REF!="Catastrófico"),CONCATENATE("R7C",Riesgos!#REF!),"")</f>
        <v>#REF!</v>
      </c>
      <c r="AI42" s="87" t="e">
        <f>IF(AND(Riesgos!#REF!="Baja",Riesgos!#REF!="Catastrófico"),CONCATENATE("R7C",Riesgos!#REF!),"")</f>
        <v>#REF!</v>
      </c>
      <c r="AJ42" s="87" t="e">
        <f>IF(AND(Riesgos!#REF!="Baja",Riesgos!#REF!="Catastrófico"),CONCATENATE("R7C",Riesgos!#REF!),"")</f>
        <v>#REF!</v>
      </c>
      <c r="AK42" s="87" t="e">
        <f>IF(AND(Riesgos!#REF!="Baja",Riesgos!#REF!="Catastrófico"),CONCATENATE("R7C",Riesgos!#REF!),"")</f>
        <v>#REF!</v>
      </c>
      <c r="AL42" s="87" t="e">
        <f>IF(AND(Riesgos!#REF!="Baja",Riesgos!#REF!="Catastrófico"),CONCATENATE("R7C",Riesgos!#REF!),"")</f>
        <v>#REF!</v>
      </c>
      <c r="AM42" s="88" t="e">
        <f>IF(AND(Riesgos!#REF!="Baja",Riesgos!#REF!="Catastrófico"),CONCATENATE("R7C",Riesgos!#REF!),"")</f>
        <v>#REF!</v>
      </c>
      <c r="AN42" s="18"/>
      <c r="AO42" s="866"/>
      <c r="AP42" s="867"/>
      <c r="AQ42" s="867"/>
      <c r="AR42" s="867"/>
      <c r="AS42" s="867"/>
      <c r="AT42" s="86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row>
    <row r="43" spans="1:80" ht="15" customHeight="1">
      <c r="A43" s="18"/>
      <c r="B43" s="826"/>
      <c r="C43" s="826"/>
      <c r="D43" s="827"/>
      <c r="E43" s="834"/>
      <c r="F43" s="835"/>
      <c r="G43" s="835"/>
      <c r="H43" s="835"/>
      <c r="I43" s="851"/>
      <c r="J43" s="76" t="e">
        <f>IF(AND(Riesgos!#REF!="Baja",Riesgos!#REF!="Leve"),CONCATENATE("R8C",Riesgos!#REF!),"")</f>
        <v>#REF!</v>
      </c>
      <c r="K43" s="77" t="e">
        <f>IF(AND(Riesgos!#REF!="Baja",Riesgos!#REF!="Leve"),CONCATENATE("R8C",Riesgos!#REF!),"")</f>
        <v>#REF!</v>
      </c>
      <c r="L43" s="77" t="e">
        <f>IF(AND(Riesgos!#REF!="Baja",Riesgos!#REF!="Leve"),CONCATENATE("R8C",Riesgos!#REF!),"")</f>
        <v>#REF!</v>
      </c>
      <c r="M43" s="77" t="e">
        <f>IF(AND(Riesgos!#REF!="Baja",Riesgos!#REF!="Leve"),CONCATENATE("R8C",Riesgos!#REF!),"")</f>
        <v>#REF!</v>
      </c>
      <c r="N43" s="77" t="e">
        <f>IF(AND(Riesgos!#REF!="Baja",Riesgos!#REF!="Leve"),CONCATENATE("R8C",Riesgos!#REF!),"")</f>
        <v>#REF!</v>
      </c>
      <c r="O43" s="78" t="e">
        <f>IF(AND(Riesgos!#REF!="Baja",Riesgos!#REF!="Leve"),CONCATENATE("R8C",Riesgos!#REF!),"")</f>
        <v>#REF!</v>
      </c>
      <c r="P43" s="67" t="e">
        <f>IF(AND(Riesgos!#REF!="Baja",Riesgos!#REF!="Menor"),CONCATENATE("R8C",Riesgos!#REF!),"")</f>
        <v>#REF!</v>
      </c>
      <c r="Q43" s="68" t="e">
        <f>IF(AND(Riesgos!#REF!="Baja",Riesgos!#REF!="Menor"),CONCATENATE("R8C",Riesgos!#REF!),"")</f>
        <v>#REF!</v>
      </c>
      <c r="R43" s="68" t="e">
        <f>IF(AND(Riesgos!#REF!="Baja",Riesgos!#REF!="Menor"),CONCATENATE("R8C",Riesgos!#REF!),"")</f>
        <v>#REF!</v>
      </c>
      <c r="S43" s="68" t="e">
        <f>IF(AND(Riesgos!#REF!="Baja",Riesgos!#REF!="Menor"),CONCATENATE("R8C",Riesgos!#REF!),"")</f>
        <v>#REF!</v>
      </c>
      <c r="T43" s="68" t="e">
        <f>IF(AND(Riesgos!#REF!="Baja",Riesgos!#REF!="Menor"),CONCATENATE("R8C",Riesgos!#REF!),"")</f>
        <v>#REF!</v>
      </c>
      <c r="U43" s="69" t="e">
        <f>IF(AND(Riesgos!#REF!="Baja",Riesgos!#REF!="Menor"),CONCATENATE("R8C",Riesgos!#REF!),"")</f>
        <v>#REF!</v>
      </c>
      <c r="V43" s="67" t="e">
        <f>IF(AND(Riesgos!#REF!="Baja",Riesgos!#REF!="Moderado"),CONCATENATE("R8C",Riesgos!#REF!),"")</f>
        <v>#REF!</v>
      </c>
      <c r="W43" s="68" t="e">
        <f>IF(AND(Riesgos!#REF!="Baja",Riesgos!#REF!="Moderado"),CONCATENATE("R8C",Riesgos!#REF!),"")</f>
        <v>#REF!</v>
      </c>
      <c r="X43" s="68" t="e">
        <f>IF(AND(Riesgos!#REF!="Baja",Riesgos!#REF!="Moderado"),CONCATENATE("R8C",Riesgos!#REF!),"")</f>
        <v>#REF!</v>
      </c>
      <c r="Y43" s="68" t="e">
        <f>IF(AND(Riesgos!#REF!="Baja",Riesgos!#REF!="Moderado"),CONCATENATE("R8C",Riesgos!#REF!),"")</f>
        <v>#REF!</v>
      </c>
      <c r="Z43" s="68" t="e">
        <f>IF(AND(Riesgos!#REF!="Baja",Riesgos!#REF!="Moderado"),CONCATENATE("R8C",Riesgos!#REF!),"")</f>
        <v>#REF!</v>
      </c>
      <c r="AA43" s="69" t="e">
        <f>IF(AND(Riesgos!#REF!="Baja",Riesgos!#REF!="Moderado"),CONCATENATE("R8C",Riesgos!#REF!),"")</f>
        <v>#REF!</v>
      </c>
      <c r="AB43" s="57" t="e">
        <f>IF(AND(Riesgos!#REF!="Baja",Riesgos!#REF!="Mayor"),CONCATENATE("R8C",Riesgos!#REF!),"")</f>
        <v>#REF!</v>
      </c>
      <c r="AC43" s="58" t="e">
        <f>IF(AND(Riesgos!#REF!="Baja",Riesgos!#REF!="Mayor"),CONCATENATE("R8C",Riesgos!#REF!),"")</f>
        <v>#REF!</v>
      </c>
      <c r="AD43" s="60" t="e">
        <f>IF(AND(Riesgos!#REF!="Baja",Riesgos!#REF!="Mayor"),CONCATENATE("R8C",Riesgos!#REF!),"")</f>
        <v>#REF!</v>
      </c>
      <c r="AE43" s="60" t="e">
        <f>IF(AND(Riesgos!#REF!="Baja",Riesgos!#REF!="Mayor"),CONCATENATE("R8C",Riesgos!#REF!),"")</f>
        <v>#REF!</v>
      </c>
      <c r="AF43" s="60" t="e">
        <f>IF(AND(Riesgos!#REF!="Baja",Riesgos!#REF!="Mayor"),CONCATENATE("R8C",Riesgos!#REF!),"")</f>
        <v>#REF!</v>
      </c>
      <c r="AG43" s="59" t="e">
        <f>IF(AND(Riesgos!#REF!="Baja",Riesgos!#REF!="Mayor"),CONCATENATE("R8C",Riesgos!#REF!),"")</f>
        <v>#REF!</v>
      </c>
      <c r="AH43" s="86" t="e">
        <f>IF(AND(Riesgos!#REF!="Baja",Riesgos!#REF!="Catastrófico"),CONCATENATE("R8C",Riesgos!#REF!),"")</f>
        <v>#REF!</v>
      </c>
      <c r="AI43" s="87" t="e">
        <f>IF(AND(Riesgos!#REF!="Baja",Riesgos!#REF!="Catastrófico"),CONCATENATE("R8C",Riesgos!#REF!),"")</f>
        <v>#REF!</v>
      </c>
      <c r="AJ43" s="87" t="e">
        <f>IF(AND(Riesgos!#REF!="Baja",Riesgos!#REF!="Catastrófico"),CONCATENATE("R8C",Riesgos!#REF!),"")</f>
        <v>#REF!</v>
      </c>
      <c r="AK43" s="87" t="e">
        <f>IF(AND(Riesgos!#REF!="Baja",Riesgos!#REF!="Catastrófico"),CONCATENATE("R8C",Riesgos!#REF!),"")</f>
        <v>#REF!</v>
      </c>
      <c r="AL43" s="87" t="e">
        <f>IF(AND(Riesgos!#REF!="Baja",Riesgos!#REF!="Catastrófico"),CONCATENATE("R8C",Riesgos!#REF!),"")</f>
        <v>#REF!</v>
      </c>
      <c r="AM43" s="88" t="e">
        <f>IF(AND(Riesgos!#REF!="Baja",Riesgos!#REF!="Catastrófico"),CONCATENATE("R8C",Riesgos!#REF!),"")</f>
        <v>#REF!</v>
      </c>
      <c r="AN43" s="18"/>
      <c r="AO43" s="866"/>
      <c r="AP43" s="867"/>
      <c r="AQ43" s="867"/>
      <c r="AR43" s="867"/>
      <c r="AS43" s="867"/>
      <c r="AT43" s="86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row>
    <row r="44" spans="1:80" ht="15" customHeight="1">
      <c r="A44" s="18"/>
      <c r="B44" s="826"/>
      <c r="C44" s="826"/>
      <c r="D44" s="827"/>
      <c r="E44" s="834"/>
      <c r="F44" s="835"/>
      <c r="G44" s="835"/>
      <c r="H44" s="835"/>
      <c r="I44" s="851"/>
      <c r="J44" s="76" t="e">
        <f>IF(AND(Riesgos!#REF!="Baja",Riesgos!#REF!="Leve"),CONCATENATE("R9C",Riesgos!#REF!),"")</f>
        <v>#REF!</v>
      </c>
      <c r="K44" s="77" t="e">
        <f>IF(AND(Riesgos!#REF!="Baja",Riesgos!#REF!="Leve"),CONCATENATE("R9C",Riesgos!#REF!),"")</f>
        <v>#REF!</v>
      </c>
      <c r="L44" s="77" t="e">
        <f>IF(AND(Riesgos!#REF!="Baja",Riesgos!#REF!="Leve"),CONCATENATE("R9C",Riesgos!#REF!),"")</f>
        <v>#REF!</v>
      </c>
      <c r="M44" s="77" t="e">
        <f>IF(AND(Riesgos!#REF!="Baja",Riesgos!#REF!="Leve"),CONCATENATE("R9C",Riesgos!#REF!),"")</f>
        <v>#REF!</v>
      </c>
      <c r="N44" s="77" t="e">
        <f>IF(AND(Riesgos!#REF!="Baja",Riesgos!#REF!="Leve"),CONCATENATE("R9C",Riesgos!#REF!),"")</f>
        <v>#REF!</v>
      </c>
      <c r="O44" s="78" t="e">
        <f>IF(AND(Riesgos!#REF!="Baja",Riesgos!#REF!="Leve"),CONCATENATE("R9C",Riesgos!#REF!),"")</f>
        <v>#REF!</v>
      </c>
      <c r="P44" s="67" t="e">
        <f>IF(AND(Riesgos!#REF!="Baja",Riesgos!#REF!="Menor"),CONCATENATE("R9C",Riesgos!#REF!),"")</f>
        <v>#REF!</v>
      </c>
      <c r="Q44" s="68" t="e">
        <f>IF(AND(Riesgos!#REF!="Baja",Riesgos!#REF!="Menor"),CONCATENATE("R9C",Riesgos!#REF!),"")</f>
        <v>#REF!</v>
      </c>
      <c r="R44" s="68" t="e">
        <f>IF(AND(Riesgos!#REF!="Baja",Riesgos!#REF!="Menor"),CONCATENATE("R9C",Riesgos!#REF!),"")</f>
        <v>#REF!</v>
      </c>
      <c r="S44" s="68" t="e">
        <f>IF(AND(Riesgos!#REF!="Baja",Riesgos!#REF!="Menor"),CONCATENATE("R9C",Riesgos!#REF!),"")</f>
        <v>#REF!</v>
      </c>
      <c r="T44" s="68" t="e">
        <f>IF(AND(Riesgos!#REF!="Baja",Riesgos!#REF!="Menor"),CONCATENATE("R9C",Riesgos!#REF!),"")</f>
        <v>#REF!</v>
      </c>
      <c r="U44" s="69" t="e">
        <f>IF(AND(Riesgos!#REF!="Baja",Riesgos!#REF!="Menor"),CONCATENATE("R9C",Riesgos!#REF!),"")</f>
        <v>#REF!</v>
      </c>
      <c r="V44" s="67" t="e">
        <f>IF(AND(Riesgos!#REF!="Baja",Riesgos!#REF!="Moderado"),CONCATENATE("R9C",Riesgos!#REF!),"")</f>
        <v>#REF!</v>
      </c>
      <c r="W44" s="68" t="e">
        <f>IF(AND(Riesgos!#REF!="Baja",Riesgos!#REF!="Moderado"),CONCATENATE("R9C",Riesgos!#REF!),"")</f>
        <v>#REF!</v>
      </c>
      <c r="X44" s="68" t="e">
        <f>IF(AND(Riesgos!#REF!="Baja",Riesgos!#REF!="Moderado"),CONCATENATE("R9C",Riesgos!#REF!),"")</f>
        <v>#REF!</v>
      </c>
      <c r="Y44" s="68" t="e">
        <f>IF(AND(Riesgos!#REF!="Baja",Riesgos!#REF!="Moderado"),CONCATENATE("R9C",Riesgos!#REF!),"")</f>
        <v>#REF!</v>
      </c>
      <c r="Z44" s="68" t="e">
        <f>IF(AND(Riesgos!#REF!="Baja",Riesgos!#REF!="Moderado"),CONCATENATE("R9C",Riesgos!#REF!),"")</f>
        <v>#REF!</v>
      </c>
      <c r="AA44" s="69" t="e">
        <f>IF(AND(Riesgos!#REF!="Baja",Riesgos!#REF!="Moderado"),CONCATENATE("R9C",Riesgos!#REF!),"")</f>
        <v>#REF!</v>
      </c>
      <c r="AB44" s="57" t="e">
        <f>IF(AND(Riesgos!#REF!="Baja",Riesgos!#REF!="Mayor"),CONCATENATE("R9C",Riesgos!#REF!),"")</f>
        <v>#REF!</v>
      </c>
      <c r="AC44" s="58" t="e">
        <f>IF(AND(Riesgos!#REF!="Baja",Riesgos!#REF!="Mayor"),CONCATENATE("R9C",Riesgos!#REF!),"")</f>
        <v>#REF!</v>
      </c>
      <c r="AD44" s="60" t="e">
        <f>IF(AND(Riesgos!#REF!="Baja",Riesgos!#REF!="Mayor"),CONCATENATE("R9C",Riesgos!#REF!),"")</f>
        <v>#REF!</v>
      </c>
      <c r="AE44" s="60" t="e">
        <f>IF(AND(Riesgos!#REF!="Baja",Riesgos!#REF!="Mayor"),CONCATENATE("R9C",Riesgos!#REF!),"")</f>
        <v>#REF!</v>
      </c>
      <c r="AF44" s="60" t="e">
        <f>IF(AND(Riesgos!#REF!="Baja",Riesgos!#REF!="Mayor"),CONCATENATE("R9C",Riesgos!#REF!),"")</f>
        <v>#REF!</v>
      </c>
      <c r="AG44" s="59" t="e">
        <f>IF(AND(Riesgos!#REF!="Baja",Riesgos!#REF!="Mayor"),CONCATENATE("R9C",Riesgos!#REF!),"")</f>
        <v>#REF!</v>
      </c>
      <c r="AH44" s="86" t="e">
        <f>IF(AND(Riesgos!#REF!="Baja",Riesgos!#REF!="Catastrófico"),CONCATENATE("R9C",Riesgos!#REF!),"")</f>
        <v>#REF!</v>
      </c>
      <c r="AI44" s="87" t="e">
        <f>IF(AND(Riesgos!#REF!="Baja",Riesgos!#REF!="Catastrófico"),CONCATENATE("R9C",Riesgos!#REF!),"")</f>
        <v>#REF!</v>
      </c>
      <c r="AJ44" s="87" t="e">
        <f>IF(AND(Riesgos!#REF!="Baja",Riesgos!#REF!="Catastrófico"),CONCATENATE("R9C",Riesgos!#REF!),"")</f>
        <v>#REF!</v>
      </c>
      <c r="AK44" s="87" t="e">
        <f>IF(AND(Riesgos!#REF!="Baja",Riesgos!#REF!="Catastrófico"),CONCATENATE("R9C",Riesgos!#REF!),"")</f>
        <v>#REF!</v>
      </c>
      <c r="AL44" s="87" t="e">
        <f>IF(AND(Riesgos!#REF!="Baja",Riesgos!#REF!="Catastrófico"),CONCATENATE("R9C",Riesgos!#REF!),"")</f>
        <v>#REF!</v>
      </c>
      <c r="AM44" s="88" t="e">
        <f>IF(AND(Riesgos!#REF!="Baja",Riesgos!#REF!="Catastrófico"),CONCATENATE("R9C",Riesgos!#REF!),"")</f>
        <v>#REF!</v>
      </c>
      <c r="AN44" s="18"/>
      <c r="AO44" s="866"/>
      <c r="AP44" s="867"/>
      <c r="AQ44" s="867"/>
      <c r="AR44" s="867"/>
      <c r="AS44" s="867"/>
      <c r="AT44" s="86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row>
    <row r="45" spans="1:80" ht="15.75" customHeight="1">
      <c r="A45" s="18"/>
      <c r="B45" s="826"/>
      <c r="C45" s="826"/>
      <c r="D45" s="827"/>
      <c r="E45" s="837"/>
      <c r="F45" s="838"/>
      <c r="G45" s="838"/>
      <c r="H45" s="838"/>
      <c r="I45" s="838"/>
      <c r="J45" s="79" t="e">
        <f>IF(AND(Riesgos!#REF!="Baja",Riesgos!#REF!="Leve"),CONCATENATE("R10C",Riesgos!#REF!),"")</f>
        <v>#REF!</v>
      </c>
      <c r="K45" s="80" t="e">
        <f>IF(AND(Riesgos!#REF!="Baja",Riesgos!#REF!="Leve"),CONCATENATE("R10C",Riesgos!#REF!),"")</f>
        <v>#REF!</v>
      </c>
      <c r="L45" s="80" t="e">
        <f>IF(AND(Riesgos!#REF!="Baja",Riesgos!#REF!="Leve"),CONCATENATE("R10C",Riesgos!#REF!),"")</f>
        <v>#REF!</v>
      </c>
      <c r="M45" s="80" t="e">
        <f>IF(AND(Riesgos!#REF!="Baja",Riesgos!#REF!="Leve"),CONCATENATE("R10C",Riesgos!#REF!),"")</f>
        <v>#REF!</v>
      </c>
      <c r="N45" s="80" t="e">
        <f>IF(AND(Riesgos!#REF!="Baja",Riesgos!#REF!="Leve"),CONCATENATE("R10C",Riesgos!#REF!),"")</f>
        <v>#REF!</v>
      </c>
      <c r="O45" s="81" t="e">
        <f>IF(AND(Riesgos!#REF!="Baja",Riesgos!#REF!="Leve"),CONCATENATE("R10C",Riesgos!#REF!),"")</f>
        <v>#REF!</v>
      </c>
      <c r="P45" s="67" t="e">
        <f>IF(AND(Riesgos!#REF!="Baja",Riesgos!#REF!="Menor"),CONCATENATE("R10C",Riesgos!#REF!),"")</f>
        <v>#REF!</v>
      </c>
      <c r="Q45" s="68" t="e">
        <f>IF(AND(Riesgos!#REF!="Baja",Riesgos!#REF!="Menor"),CONCATENATE("R10C",Riesgos!#REF!),"")</f>
        <v>#REF!</v>
      </c>
      <c r="R45" s="68" t="e">
        <f>IF(AND(Riesgos!#REF!="Baja",Riesgos!#REF!="Menor"),CONCATENATE("R10C",Riesgos!#REF!),"")</f>
        <v>#REF!</v>
      </c>
      <c r="S45" s="68" t="e">
        <f>IF(AND(Riesgos!#REF!="Baja",Riesgos!#REF!="Menor"),CONCATENATE("R10C",Riesgos!#REF!),"")</f>
        <v>#REF!</v>
      </c>
      <c r="T45" s="68" t="e">
        <f>IF(AND(Riesgos!#REF!="Baja",Riesgos!#REF!="Menor"),CONCATENATE("R10C",Riesgos!#REF!),"")</f>
        <v>#REF!</v>
      </c>
      <c r="U45" s="69" t="e">
        <f>IF(AND(Riesgos!#REF!="Baja",Riesgos!#REF!="Menor"),CONCATENATE("R10C",Riesgos!#REF!),"")</f>
        <v>#REF!</v>
      </c>
      <c r="V45" s="70" t="e">
        <f>IF(AND(Riesgos!#REF!="Baja",Riesgos!#REF!="Moderado"),CONCATENATE("R10C",Riesgos!#REF!),"")</f>
        <v>#REF!</v>
      </c>
      <c r="W45" s="71" t="e">
        <f>IF(AND(Riesgos!#REF!="Baja",Riesgos!#REF!="Moderado"),CONCATENATE("R10C",Riesgos!#REF!),"")</f>
        <v>#REF!</v>
      </c>
      <c r="X45" s="71" t="e">
        <f>IF(AND(Riesgos!#REF!="Baja",Riesgos!#REF!="Moderado"),CONCATENATE("R10C",Riesgos!#REF!),"")</f>
        <v>#REF!</v>
      </c>
      <c r="Y45" s="71" t="e">
        <f>IF(AND(Riesgos!#REF!="Baja",Riesgos!#REF!="Moderado"),CONCATENATE("R10C",Riesgos!#REF!),"")</f>
        <v>#REF!</v>
      </c>
      <c r="Z45" s="71" t="e">
        <f>IF(AND(Riesgos!#REF!="Baja",Riesgos!#REF!="Moderado"),CONCATENATE("R10C",Riesgos!#REF!),"")</f>
        <v>#REF!</v>
      </c>
      <c r="AA45" s="72" t="e">
        <f>IF(AND(Riesgos!#REF!="Baja",Riesgos!#REF!="Moderado"),CONCATENATE("R10C",Riesgos!#REF!),"")</f>
        <v>#REF!</v>
      </c>
      <c r="AB45" s="61" t="e">
        <f>IF(AND(Riesgos!#REF!="Baja",Riesgos!#REF!="Mayor"),CONCATENATE("R10C",Riesgos!#REF!),"")</f>
        <v>#REF!</v>
      </c>
      <c r="AC45" s="62" t="e">
        <f>IF(AND(Riesgos!#REF!="Baja",Riesgos!#REF!="Mayor"),CONCATENATE("R10C",Riesgos!#REF!),"")</f>
        <v>#REF!</v>
      </c>
      <c r="AD45" s="62" t="e">
        <f>IF(AND(Riesgos!#REF!="Baja",Riesgos!#REF!="Mayor"),CONCATENATE("R10C",Riesgos!#REF!),"")</f>
        <v>#REF!</v>
      </c>
      <c r="AE45" s="62" t="e">
        <f>IF(AND(Riesgos!#REF!="Baja",Riesgos!#REF!="Mayor"),CONCATENATE("R10C",Riesgos!#REF!),"")</f>
        <v>#REF!</v>
      </c>
      <c r="AF45" s="62" t="e">
        <f>IF(AND(Riesgos!#REF!="Baja",Riesgos!#REF!="Mayor"),CONCATENATE("R10C",Riesgos!#REF!),"")</f>
        <v>#REF!</v>
      </c>
      <c r="AG45" s="63" t="e">
        <f>IF(AND(Riesgos!#REF!="Baja",Riesgos!#REF!="Mayor"),CONCATENATE("R10C",Riesgos!#REF!),"")</f>
        <v>#REF!</v>
      </c>
      <c r="AH45" s="89" t="e">
        <f>IF(AND(Riesgos!#REF!="Baja",Riesgos!#REF!="Catastrófico"),CONCATENATE("R10C",Riesgos!#REF!),"")</f>
        <v>#REF!</v>
      </c>
      <c r="AI45" s="90" t="e">
        <f>IF(AND(Riesgos!#REF!="Baja",Riesgos!#REF!="Catastrófico"),CONCATENATE("R10C",Riesgos!#REF!),"")</f>
        <v>#REF!</v>
      </c>
      <c r="AJ45" s="90" t="e">
        <f>IF(AND(Riesgos!#REF!="Baja",Riesgos!#REF!="Catastrófico"),CONCATENATE("R10C",Riesgos!#REF!),"")</f>
        <v>#REF!</v>
      </c>
      <c r="AK45" s="90" t="e">
        <f>IF(AND(Riesgos!#REF!="Baja",Riesgos!#REF!="Catastrófico"),CONCATENATE("R10C",Riesgos!#REF!),"")</f>
        <v>#REF!</v>
      </c>
      <c r="AL45" s="90" t="e">
        <f>IF(AND(Riesgos!#REF!="Baja",Riesgos!#REF!="Catastrófico"),CONCATENATE("R10C",Riesgos!#REF!),"")</f>
        <v>#REF!</v>
      </c>
      <c r="AM45" s="91" t="e">
        <f>IF(AND(Riesgos!#REF!="Baja",Riesgos!#REF!="Catastrófico"),CONCATENATE("R10C",Riesgos!#REF!),"")</f>
        <v>#REF!</v>
      </c>
      <c r="AN45" s="18"/>
      <c r="AO45" s="869"/>
      <c r="AP45" s="870"/>
      <c r="AQ45" s="870"/>
      <c r="AR45" s="870"/>
      <c r="AS45" s="870"/>
      <c r="AT45" s="871"/>
    </row>
    <row r="46" spans="1:80" ht="46.5" customHeight="1">
      <c r="A46" s="18"/>
      <c r="B46" s="826"/>
      <c r="C46" s="826"/>
      <c r="D46" s="827"/>
      <c r="E46" s="831" t="s">
        <v>1533</v>
      </c>
      <c r="F46" s="832"/>
      <c r="G46" s="832"/>
      <c r="H46" s="832"/>
      <c r="I46" s="833"/>
      <c r="J46" s="73" t="e">
        <f>IF(AND(Riesgos!#REF!="Muy Baja",Riesgos!#REF!="Leve"),CONCATENATE("R1C",Riesgos!#REF!),"")</f>
        <v>#REF!</v>
      </c>
      <c r="K46" s="74" t="e">
        <f>IF(AND(Riesgos!#REF!="Muy Baja",Riesgos!#REF!="Leve"),CONCATENATE("R1C",Riesgos!#REF!),"")</f>
        <v>#REF!</v>
      </c>
      <c r="L46" s="74" t="e">
        <f>IF(AND(Riesgos!#REF!="Muy Baja",Riesgos!#REF!="Leve"),CONCATENATE("R1C",Riesgos!#REF!),"")</f>
        <v>#REF!</v>
      </c>
      <c r="M46" s="74" t="e">
        <f>IF(AND(Riesgos!#REF!="Muy Baja",Riesgos!#REF!="Leve"),CONCATENATE("R1C",Riesgos!#REF!),"")</f>
        <v>#REF!</v>
      </c>
      <c r="N46" s="74" t="e">
        <f>IF(AND(Riesgos!#REF!="Muy Baja",Riesgos!#REF!="Leve"),CONCATENATE("R1C",Riesgos!#REF!),"")</f>
        <v>#REF!</v>
      </c>
      <c r="O46" s="75" t="e">
        <f>IF(AND(Riesgos!#REF!="Muy Baja",Riesgos!#REF!="Leve"),CONCATENATE("R1C",Riesgos!#REF!),"")</f>
        <v>#REF!</v>
      </c>
      <c r="P46" s="73" t="e">
        <f>IF(AND(Riesgos!#REF!="Muy Baja",Riesgos!#REF!="Menor"),CONCATENATE("R1C",Riesgos!#REF!),"")</f>
        <v>#REF!</v>
      </c>
      <c r="Q46" s="74" t="e">
        <f>IF(AND(Riesgos!#REF!="Muy Baja",Riesgos!#REF!="Menor"),CONCATENATE("R1C",Riesgos!#REF!),"")</f>
        <v>#REF!</v>
      </c>
      <c r="R46" s="74" t="e">
        <f>IF(AND(Riesgos!#REF!="Muy Baja",Riesgos!#REF!="Menor"),CONCATENATE("R1C",Riesgos!#REF!),"")</f>
        <v>#REF!</v>
      </c>
      <c r="S46" s="74" t="e">
        <f>IF(AND(Riesgos!#REF!="Muy Baja",Riesgos!#REF!="Menor"),CONCATENATE("R1C",Riesgos!#REF!),"")</f>
        <v>#REF!</v>
      </c>
      <c r="T46" s="74" t="e">
        <f>IF(AND(Riesgos!#REF!="Muy Baja",Riesgos!#REF!="Menor"),CONCATENATE("R1C",Riesgos!#REF!),"")</f>
        <v>#REF!</v>
      </c>
      <c r="U46" s="75" t="e">
        <f>IF(AND(Riesgos!#REF!="Muy Baja",Riesgos!#REF!="Menor"),CONCATENATE("R1C",Riesgos!#REF!),"")</f>
        <v>#REF!</v>
      </c>
      <c r="V46" s="64" t="e">
        <f>IF(AND(Riesgos!#REF!="Muy Baja",Riesgos!#REF!="Moderado"),CONCATENATE("R1C",Riesgos!#REF!),"")</f>
        <v>#REF!</v>
      </c>
      <c r="W46" s="82" t="e">
        <f>IF(AND(Riesgos!#REF!="Muy Baja",Riesgos!#REF!="Moderado"),CONCATENATE("R1C",Riesgos!#REF!),"")</f>
        <v>#REF!</v>
      </c>
      <c r="X46" s="65" t="e">
        <f>IF(AND(Riesgos!#REF!="Muy Baja",Riesgos!#REF!="Moderado"),CONCATENATE("R1C",Riesgos!#REF!),"")</f>
        <v>#REF!</v>
      </c>
      <c r="Y46" s="65" t="e">
        <f>IF(AND(Riesgos!#REF!="Muy Baja",Riesgos!#REF!="Moderado"),CONCATENATE("R1C",Riesgos!#REF!),"")</f>
        <v>#REF!</v>
      </c>
      <c r="Z46" s="65" t="e">
        <f>IF(AND(Riesgos!#REF!="Muy Baja",Riesgos!#REF!="Moderado"),CONCATENATE("R1C",Riesgos!#REF!),"")</f>
        <v>#REF!</v>
      </c>
      <c r="AA46" s="66" t="e">
        <f>IF(AND(Riesgos!#REF!="Muy Baja",Riesgos!#REF!="Moderado"),CONCATENATE("R1C",Riesgos!#REF!),"")</f>
        <v>#REF!</v>
      </c>
      <c r="AB46" s="54" t="e">
        <f>IF(AND(Riesgos!#REF!="Muy Baja",Riesgos!#REF!="Mayor"),CONCATENATE("R1C",Riesgos!#REF!),"")</f>
        <v>#REF!</v>
      </c>
      <c r="AC46" s="55" t="e">
        <f>IF(AND(Riesgos!#REF!="Muy Baja",Riesgos!#REF!="Mayor"),CONCATENATE("R1C",Riesgos!#REF!),"")</f>
        <v>#REF!</v>
      </c>
      <c r="AD46" s="55" t="e">
        <f>IF(AND(Riesgos!#REF!="Muy Baja",Riesgos!#REF!="Mayor"),CONCATENATE("R1C",Riesgos!#REF!),"")</f>
        <v>#REF!</v>
      </c>
      <c r="AE46" s="55" t="e">
        <f>IF(AND(Riesgos!#REF!="Muy Baja",Riesgos!#REF!="Mayor"),CONCATENATE("R1C",Riesgos!#REF!),"")</f>
        <v>#REF!</v>
      </c>
      <c r="AF46" s="55" t="e">
        <f>IF(AND(Riesgos!#REF!="Muy Baja",Riesgos!#REF!="Mayor"),CONCATENATE("R1C",Riesgos!#REF!),"")</f>
        <v>#REF!</v>
      </c>
      <c r="AG46" s="56" t="e">
        <f>IF(AND(Riesgos!#REF!="Muy Baja",Riesgos!#REF!="Mayor"),CONCATENATE("R1C",Riesgos!#REF!),"")</f>
        <v>#REF!</v>
      </c>
      <c r="AH46" s="83" t="e">
        <f>IF(AND(Riesgos!#REF!="Muy Baja",Riesgos!#REF!="Catastrófico"),CONCATENATE("R1C",Riesgos!#REF!),"")</f>
        <v>#REF!</v>
      </c>
      <c r="AI46" s="84" t="e">
        <f>IF(AND(Riesgos!#REF!="Muy Baja",Riesgos!#REF!="Catastrófico"),CONCATENATE("R1C",Riesgos!#REF!),"")</f>
        <v>#REF!</v>
      </c>
      <c r="AJ46" s="84" t="e">
        <f>IF(AND(Riesgos!#REF!="Muy Baja",Riesgos!#REF!="Catastrófico"),CONCATENATE("R1C",Riesgos!#REF!),"")</f>
        <v>#REF!</v>
      </c>
      <c r="AK46" s="84" t="e">
        <f>IF(AND(Riesgos!#REF!="Muy Baja",Riesgos!#REF!="Catastrófico"),CONCATENATE("R1C",Riesgos!#REF!),"")</f>
        <v>#REF!</v>
      </c>
      <c r="AL46" s="84" t="e">
        <f>IF(AND(Riesgos!#REF!="Muy Baja",Riesgos!#REF!="Catastrófico"),CONCATENATE("R1C",Riesgos!#REF!),"")</f>
        <v>#REF!</v>
      </c>
      <c r="AM46" s="85" t="e">
        <f>IF(AND(Riesgos!#REF!="Muy Baja",Riesgos!#REF!="Catastrófico"),CONCATENATE("R1C",Riesgos!#REF!),"")</f>
        <v>#REF!</v>
      </c>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row>
    <row r="47" spans="1:80" ht="46.5" customHeight="1">
      <c r="A47" s="18"/>
      <c r="B47" s="826"/>
      <c r="C47" s="826"/>
      <c r="D47" s="827"/>
      <c r="E47" s="850"/>
      <c r="F47" s="851"/>
      <c r="G47" s="851"/>
      <c r="H47" s="851"/>
      <c r="I47" s="836"/>
      <c r="J47" s="76" t="e">
        <f>IF(AND(Riesgos!#REF!="Muy Baja",Riesgos!#REF!="Leve"),CONCATENATE("R2C",Riesgos!#REF!),"")</f>
        <v>#REF!</v>
      </c>
      <c r="K47" s="77" t="e">
        <f>IF(AND(Riesgos!#REF!="Muy Baja",Riesgos!#REF!="Leve"),CONCATENATE("R2C",Riesgos!#REF!),"")</f>
        <v>#REF!</v>
      </c>
      <c r="L47" s="77" t="e">
        <f>IF(AND(Riesgos!#REF!="Muy Baja",Riesgos!#REF!="Leve"),CONCATENATE("R2C",Riesgos!#REF!),"")</f>
        <v>#REF!</v>
      </c>
      <c r="M47" s="77" t="e">
        <f>IF(AND(Riesgos!#REF!="Muy Baja",Riesgos!#REF!="Leve"),CONCATENATE("R2C",Riesgos!#REF!),"")</f>
        <v>#REF!</v>
      </c>
      <c r="N47" s="77" t="e">
        <f>IF(AND(Riesgos!#REF!="Muy Baja",Riesgos!#REF!="Leve"),CONCATENATE("R2C",Riesgos!#REF!),"")</f>
        <v>#REF!</v>
      </c>
      <c r="O47" s="78" t="e">
        <f>IF(AND(Riesgos!#REF!="Muy Baja",Riesgos!#REF!="Leve"),CONCATENATE("R2C",Riesgos!#REF!),"")</f>
        <v>#REF!</v>
      </c>
      <c r="P47" s="76" t="e">
        <f>IF(AND(Riesgos!#REF!="Muy Baja",Riesgos!#REF!="Menor"),CONCATENATE("R2C",Riesgos!#REF!),"")</f>
        <v>#REF!</v>
      </c>
      <c r="Q47" s="77" t="e">
        <f>IF(AND(Riesgos!#REF!="Muy Baja",Riesgos!#REF!="Menor"),CONCATENATE("R2C",Riesgos!#REF!),"")</f>
        <v>#REF!</v>
      </c>
      <c r="R47" s="77" t="e">
        <f>IF(AND(Riesgos!#REF!="Muy Baja",Riesgos!#REF!="Menor"),CONCATENATE("R2C",Riesgos!#REF!),"")</f>
        <v>#REF!</v>
      </c>
      <c r="S47" s="77" t="e">
        <f>IF(AND(Riesgos!#REF!="Muy Baja",Riesgos!#REF!="Menor"),CONCATENATE("R2C",Riesgos!#REF!),"")</f>
        <v>#REF!</v>
      </c>
      <c r="T47" s="77" t="e">
        <f>IF(AND(Riesgos!#REF!="Muy Baja",Riesgos!#REF!="Menor"),CONCATENATE("R2C",Riesgos!#REF!),"")</f>
        <v>#REF!</v>
      </c>
      <c r="U47" s="78" t="e">
        <f>IF(AND(Riesgos!#REF!="Muy Baja",Riesgos!#REF!="Menor"),CONCATENATE("R2C",Riesgos!#REF!),"")</f>
        <v>#REF!</v>
      </c>
      <c r="V47" s="67" t="e">
        <f>IF(AND(Riesgos!#REF!="Muy Baja",Riesgos!#REF!="Moderado"),CONCATENATE("R2C",Riesgos!#REF!),"")</f>
        <v>#REF!</v>
      </c>
      <c r="W47" s="68" t="e">
        <f>IF(AND(Riesgos!#REF!="Muy Baja",Riesgos!#REF!="Moderado"),CONCATENATE("R2C",Riesgos!#REF!),"")</f>
        <v>#REF!</v>
      </c>
      <c r="X47" s="68" t="e">
        <f>IF(AND(Riesgos!#REF!="Muy Baja",Riesgos!#REF!="Moderado"),CONCATENATE("R2C",Riesgos!#REF!),"")</f>
        <v>#REF!</v>
      </c>
      <c r="Y47" s="68" t="e">
        <f>IF(AND(Riesgos!#REF!="Muy Baja",Riesgos!#REF!="Moderado"),CONCATENATE("R2C",Riesgos!#REF!),"")</f>
        <v>#REF!</v>
      </c>
      <c r="Z47" s="68" t="e">
        <f>IF(AND(Riesgos!#REF!="Muy Baja",Riesgos!#REF!="Moderado"),CONCATENATE("R2C",Riesgos!#REF!),"")</f>
        <v>#REF!</v>
      </c>
      <c r="AA47" s="69" t="e">
        <f>IF(AND(Riesgos!#REF!="Muy Baja",Riesgos!#REF!="Moderado"),CONCATENATE("R2C",Riesgos!#REF!),"")</f>
        <v>#REF!</v>
      </c>
      <c r="AB47" s="57" t="e">
        <f>IF(AND(Riesgos!#REF!="Muy Baja",Riesgos!#REF!="Mayor"),CONCATENATE("R2C",Riesgos!#REF!),"")</f>
        <v>#REF!</v>
      </c>
      <c r="AC47" s="58" t="e">
        <f>IF(AND(Riesgos!#REF!="Muy Baja",Riesgos!#REF!="Mayor"),CONCATENATE("R2C",Riesgos!#REF!),"")</f>
        <v>#REF!</v>
      </c>
      <c r="AD47" s="58" t="e">
        <f>IF(AND(Riesgos!#REF!="Muy Baja",Riesgos!#REF!="Mayor"),CONCATENATE("R2C",Riesgos!#REF!),"")</f>
        <v>#REF!</v>
      </c>
      <c r="AE47" s="58" t="e">
        <f>IF(AND(Riesgos!#REF!="Muy Baja",Riesgos!#REF!="Mayor"),CONCATENATE("R2C",Riesgos!#REF!),"")</f>
        <v>#REF!</v>
      </c>
      <c r="AF47" s="58" t="e">
        <f>IF(AND(Riesgos!#REF!="Muy Baja",Riesgos!#REF!="Mayor"),CONCATENATE("R2C",Riesgos!#REF!),"")</f>
        <v>#REF!</v>
      </c>
      <c r="AG47" s="59" t="e">
        <f>IF(AND(Riesgos!#REF!="Muy Baja",Riesgos!#REF!="Mayor"),CONCATENATE("R2C",Riesgos!#REF!),"")</f>
        <v>#REF!</v>
      </c>
      <c r="AH47" s="86" t="e">
        <f>IF(AND(Riesgos!#REF!="Muy Baja",Riesgos!#REF!="Catastrófico"),CONCATENATE("R2C",Riesgos!#REF!),"")</f>
        <v>#REF!</v>
      </c>
      <c r="AI47" s="87" t="e">
        <f>IF(AND(Riesgos!#REF!="Muy Baja",Riesgos!#REF!="Catastrófico"),CONCATENATE("R2C",Riesgos!#REF!),"")</f>
        <v>#REF!</v>
      </c>
      <c r="AJ47" s="87" t="e">
        <f>IF(AND(Riesgos!#REF!="Muy Baja",Riesgos!#REF!="Catastrófico"),CONCATENATE("R2C",Riesgos!#REF!),"")</f>
        <v>#REF!</v>
      </c>
      <c r="AK47" s="87" t="e">
        <f>IF(AND(Riesgos!#REF!="Muy Baja",Riesgos!#REF!="Catastrófico"),CONCATENATE("R2C",Riesgos!#REF!),"")</f>
        <v>#REF!</v>
      </c>
      <c r="AL47" s="87" t="e">
        <f>IF(AND(Riesgos!#REF!="Muy Baja",Riesgos!#REF!="Catastrófico"),CONCATENATE("R2C",Riesgos!#REF!),"")</f>
        <v>#REF!</v>
      </c>
      <c r="AM47" s="88" t="e">
        <f>IF(AND(Riesgos!#REF!="Muy Baja",Riesgos!#REF!="Catastrófico"),CONCATENATE("R2C",Riesgos!#REF!),"")</f>
        <v>#REF!</v>
      </c>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row>
    <row r="48" spans="1:80" ht="15" customHeight="1">
      <c r="A48" s="18"/>
      <c r="B48" s="826"/>
      <c r="C48" s="826"/>
      <c r="D48" s="827"/>
      <c r="E48" s="850"/>
      <c r="F48" s="851"/>
      <c r="G48" s="851"/>
      <c r="H48" s="851"/>
      <c r="I48" s="836"/>
      <c r="J48" s="76" t="e">
        <f>IF(AND(Riesgos!#REF!="Muy Baja",Riesgos!#REF!="Leve"),CONCATENATE("R3C",Riesgos!#REF!),"")</f>
        <v>#REF!</v>
      </c>
      <c r="K48" s="77" t="e">
        <f>IF(AND(Riesgos!#REF!="Muy Baja",Riesgos!#REF!="Leve"),CONCATENATE("R3C",Riesgos!#REF!),"")</f>
        <v>#REF!</v>
      </c>
      <c r="L48" s="77" t="e">
        <f>IF(AND(Riesgos!#REF!="Muy Baja",Riesgos!#REF!="Leve"),CONCATENATE("R3C",Riesgos!#REF!),"")</f>
        <v>#REF!</v>
      </c>
      <c r="M48" s="77" t="e">
        <f>IF(AND(Riesgos!#REF!="Muy Baja",Riesgos!#REF!="Leve"),CONCATENATE("R3C",Riesgos!#REF!),"")</f>
        <v>#REF!</v>
      </c>
      <c r="N48" s="77" t="e">
        <f>IF(AND(Riesgos!#REF!="Muy Baja",Riesgos!#REF!="Leve"),CONCATENATE("R3C",Riesgos!#REF!),"")</f>
        <v>#REF!</v>
      </c>
      <c r="O48" s="78" t="e">
        <f>IF(AND(Riesgos!#REF!="Muy Baja",Riesgos!#REF!="Leve"),CONCATENATE("R3C",Riesgos!#REF!),"")</f>
        <v>#REF!</v>
      </c>
      <c r="P48" s="76" t="e">
        <f>IF(AND(Riesgos!#REF!="Muy Baja",Riesgos!#REF!="Menor"),CONCATENATE("R3C",Riesgos!#REF!),"")</f>
        <v>#REF!</v>
      </c>
      <c r="Q48" s="77" t="e">
        <f>IF(AND(Riesgos!#REF!="Muy Baja",Riesgos!#REF!="Menor"),CONCATENATE("R3C",Riesgos!#REF!),"")</f>
        <v>#REF!</v>
      </c>
      <c r="R48" s="77" t="e">
        <f>IF(AND(Riesgos!#REF!="Muy Baja",Riesgos!#REF!="Menor"),CONCATENATE("R3C",Riesgos!#REF!),"")</f>
        <v>#REF!</v>
      </c>
      <c r="S48" s="77" t="e">
        <f>IF(AND(Riesgos!#REF!="Muy Baja",Riesgos!#REF!="Menor"),CONCATENATE("R3C",Riesgos!#REF!),"")</f>
        <v>#REF!</v>
      </c>
      <c r="T48" s="77" t="e">
        <f>IF(AND(Riesgos!#REF!="Muy Baja",Riesgos!#REF!="Menor"),CONCATENATE("R3C",Riesgos!#REF!),"")</f>
        <v>#REF!</v>
      </c>
      <c r="U48" s="78" t="e">
        <f>IF(AND(Riesgos!#REF!="Muy Baja",Riesgos!#REF!="Menor"),CONCATENATE("R3C",Riesgos!#REF!),"")</f>
        <v>#REF!</v>
      </c>
      <c r="V48" s="67" t="e">
        <f>IF(AND(Riesgos!#REF!="Muy Baja",Riesgos!#REF!="Moderado"),CONCATENATE("R3C",Riesgos!#REF!),"")</f>
        <v>#REF!</v>
      </c>
      <c r="W48" s="68" t="e">
        <f>IF(AND(Riesgos!#REF!="Muy Baja",Riesgos!#REF!="Moderado"),CONCATENATE("R3C",Riesgos!#REF!),"")</f>
        <v>#REF!</v>
      </c>
      <c r="X48" s="68" t="e">
        <f>IF(AND(Riesgos!#REF!="Muy Baja",Riesgos!#REF!="Moderado"),CONCATENATE("R3C",Riesgos!#REF!),"")</f>
        <v>#REF!</v>
      </c>
      <c r="Y48" s="68" t="e">
        <f>IF(AND(Riesgos!#REF!="Muy Baja",Riesgos!#REF!="Moderado"),CONCATENATE("R3C",Riesgos!#REF!),"")</f>
        <v>#REF!</v>
      </c>
      <c r="Z48" s="68" t="e">
        <f>IF(AND(Riesgos!#REF!="Muy Baja",Riesgos!#REF!="Moderado"),CONCATENATE("R3C",Riesgos!#REF!),"")</f>
        <v>#REF!</v>
      </c>
      <c r="AA48" s="69" t="e">
        <f>IF(AND(Riesgos!#REF!="Muy Baja",Riesgos!#REF!="Moderado"),CONCATENATE("R3C",Riesgos!#REF!),"")</f>
        <v>#REF!</v>
      </c>
      <c r="AB48" s="57" t="e">
        <f>IF(AND(Riesgos!#REF!="Muy Baja",Riesgos!#REF!="Mayor"),CONCATENATE("R3C",Riesgos!#REF!),"")</f>
        <v>#REF!</v>
      </c>
      <c r="AC48" s="58" t="e">
        <f>IF(AND(Riesgos!#REF!="Muy Baja",Riesgos!#REF!="Mayor"),CONCATENATE("R3C",Riesgos!#REF!),"")</f>
        <v>#REF!</v>
      </c>
      <c r="AD48" s="58" t="e">
        <f>IF(AND(Riesgos!#REF!="Muy Baja",Riesgos!#REF!="Mayor"),CONCATENATE("R3C",Riesgos!#REF!),"")</f>
        <v>#REF!</v>
      </c>
      <c r="AE48" s="58" t="e">
        <f>IF(AND(Riesgos!#REF!="Muy Baja",Riesgos!#REF!="Mayor"),CONCATENATE("R3C",Riesgos!#REF!),"")</f>
        <v>#REF!</v>
      </c>
      <c r="AF48" s="58" t="e">
        <f>IF(AND(Riesgos!#REF!="Muy Baja",Riesgos!#REF!="Mayor"),CONCATENATE("R3C",Riesgos!#REF!),"")</f>
        <v>#REF!</v>
      </c>
      <c r="AG48" s="59" t="e">
        <f>IF(AND(Riesgos!#REF!="Muy Baja",Riesgos!#REF!="Mayor"),CONCATENATE("R3C",Riesgos!#REF!),"")</f>
        <v>#REF!</v>
      </c>
      <c r="AH48" s="86" t="e">
        <f>IF(AND(Riesgos!#REF!="Muy Baja",Riesgos!#REF!="Catastrófico"),CONCATENATE("R3C",Riesgos!#REF!),"")</f>
        <v>#REF!</v>
      </c>
      <c r="AI48" s="87" t="e">
        <f>IF(AND(Riesgos!#REF!="Muy Baja",Riesgos!#REF!="Catastrófico"),CONCATENATE("R3C",Riesgos!#REF!),"")</f>
        <v>#REF!</v>
      </c>
      <c r="AJ48" s="87" t="e">
        <f>IF(AND(Riesgos!#REF!="Muy Baja",Riesgos!#REF!="Catastrófico"),CONCATENATE("R3C",Riesgos!#REF!),"")</f>
        <v>#REF!</v>
      </c>
      <c r="AK48" s="87" t="e">
        <f>IF(AND(Riesgos!#REF!="Muy Baja",Riesgos!#REF!="Catastrófico"),CONCATENATE("R3C",Riesgos!#REF!),"")</f>
        <v>#REF!</v>
      </c>
      <c r="AL48" s="87" t="e">
        <f>IF(AND(Riesgos!#REF!="Muy Baja",Riesgos!#REF!="Catastrófico"),CONCATENATE("R3C",Riesgos!#REF!),"")</f>
        <v>#REF!</v>
      </c>
      <c r="AM48" s="88" t="e">
        <f>IF(AND(Riesgos!#REF!="Muy Baja",Riesgos!#REF!="Catastrófico"),CONCATENATE("R3C",Riesgos!#REF!),"")</f>
        <v>#REF!</v>
      </c>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row>
    <row r="49" spans="1:80" ht="15" customHeight="1">
      <c r="A49" s="18"/>
      <c r="B49" s="826"/>
      <c r="C49" s="826"/>
      <c r="D49" s="827"/>
      <c r="E49" s="834"/>
      <c r="F49" s="835"/>
      <c r="G49" s="835"/>
      <c r="H49" s="835"/>
      <c r="I49" s="836"/>
      <c r="J49" s="76" t="e">
        <f>IF(AND(Riesgos!#REF!="Muy Baja",Riesgos!#REF!="Leve"),CONCATENATE("R4C",Riesgos!#REF!),"")</f>
        <v>#REF!</v>
      </c>
      <c r="K49" s="77" t="e">
        <f>IF(AND(Riesgos!#REF!="Muy Baja",Riesgos!#REF!="Leve"),CONCATENATE("R4C",Riesgos!#REF!),"")</f>
        <v>#REF!</v>
      </c>
      <c r="L49" s="77" t="e">
        <f>IF(AND(Riesgos!#REF!="Muy Baja",Riesgos!#REF!="Leve"),CONCATENATE("R4C",Riesgos!#REF!),"")</f>
        <v>#REF!</v>
      </c>
      <c r="M49" s="77" t="e">
        <f>IF(AND(Riesgos!#REF!="Muy Baja",Riesgos!#REF!="Leve"),CONCATENATE("R4C",Riesgos!#REF!),"")</f>
        <v>#REF!</v>
      </c>
      <c r="N49" s="77" t="e">
        <f>IF(AND(Riesgos!#REF!="Muy Baja",Riesgos!#REF!="Leve"),CONCATENATE("R4C",Riesgos!#REF!),"")</f>
        <v>#REF!</v>
      </c>
      <c r="O49" s="78" t="e">
        <f>IF(AND(Riesgos!#REF!="Muy Baja",Riesgos!#REF!="Leve"),CONCATENATE("R4C",Riesgos!#REF!),"")</f>
        <v>#REF!</v>
      </c>
      <c r="P49" s="76" t="e">
        <f>IF(AND(Riesgos!#REF!="Muy Baja",Riesgos!#REF!="Menor"),CONCATENATE("R4C",Riesgos!#REF!),"")</f>
        <v>#REF!</v>
      </c>
      <c r="Q49" s="77" t="e">
        <f>IF(AND(Riesgos!#REF!="Muy Baja",Riesgos!#REF!="Menor"),CONCATENATE("R4C",Riesgos!#REF!),"")</f>
        <v>#REF!</v>
      </c>
      <c r="R49" s="77" t="e">
        <f>IF(AND(Riesgos!#REF!="Muy Baja",Riesgos!#REF!="Menor"),CONCATENATE("R4C",Riesgos!#REF!),"")</f>
        <v>#REF!</v>
      </c>
      <c r="S49" s="77" t="e">
        <f>IF(AND(Riesgos!#REF!="Muy Baja",Riesgos!#REF!="Menor"),CONCATENATE("R4C",Riesgos!#REF!),"")</f>
        <v>#REF!</v>
      </c>
      <c r="T49" s="77" t="e">
        <f>IF(AND(Riesgos!#REF!="Muy Baja",Riesgos!#REF!="Menor"),CONCATENATE("R4C",Riesgos!#REF!),"")</f>
        <v>#REF!</v>
      </c>
      <c r="U49" s="78" t="e">
        <f>IF(AND(Riesgos!#REF!="Muy Baja",Riesgos!#REF!="Menor"),CONCATENATE("R4C",Riesgos!#REF!),"")</f>
        <v>#REF!</v>
      </c>
      <c r="V49" s="67" t="e">
        <f>IF(AND(Riesgos!#REF!="Muy Baja",Riesgos!#REF!="Moderado"),CONCATENATE("R4C",Riesgos!#REF!),"")</f>
        <v>#REF!</v>
      </c>
      <c r="W49" s="68" t="e">
        <f>IF(AND(Riesgos!#REF!="Muy Baja",Riesgos!#REF!="Moderado"),CONCATENATE("R4C",Riesgos!#REF!),"")</f>
        <v>#REF!</v>
      </c>
      <c r="X49" s="68" t="e">
        <f>IF(AND(Riesgos!#REF!="Muy Baja",Riesgos!#REF!="Moderado"),CONCATENATE("R4C",Riesgos!#REF!),"")</f>
        <v>#REF!</v>
      </c>
      <c r="Y49" s="68" t="e">
        <f>IF(AND(Riesgos!#REF!="Muy Baja",Riesgos!#REF!="Moderado"),CONCATENATE("R4C",Riesgos!#REF!),"")</f>
        <v>#REF!</v>
      </c>
      <c r="Z49" s="68" t="e">
        <f>IF(AND(Riesgos!#REF!="Muy Baja",Riesgos!#REF!="Moderado"),CONCATENATE("R4C",Riesgos!#REF!),"")</f>
        <v>#REF!</v>
      </c>
      <c r="AA49" s="69" t="e">
        <f>IF(AND(Riesgos!#REF!="Muy Baja",Riesgos!#REF!="Moderado"),CONCATENATE("R4C",Riesgos!#REF!),"")</f>
        <v>#REF!</v>
      </c>
      <c r="AB49" s="57" t="e">
        <f>IF(AND(Riesgos!#REF!="Muy Baja",Riesgos!#REF!="Mayor"),CONCATENATE("R4C",Riesgos!#REF!),"")</f>
        <v>#REF!</v>
      </c>
      <c r="AC49" s="58" t="e">
        <f>IF(AND(Riesgos!#REF!="Muy Baja",Riesgos!#REF!="Mayor"),CONCATENATE("R4C",Riesgos!#REF!),"")</f>
        <v>#REF!</v>
      </c>
      <c r="AD49" s="58" t="e">
        <f>IF(AND(Riesgos!#REF!="Muy Baja",Riesgos!#REF!="Mayor"),CONCATENATE("R4C",Riesgos!#REF!),"")</f>
        <v>#REF!</v>
      </c>
      <c r="AE49" s="58" t="e">
        <f>IF(AND(Riesgos!#REF!="Muy Baja",Riesgos!#REF!="Mayor"),CONCATENATE("R4C",Riesgos!#REF!),"")</f>
        <v>#REF!</v>
      </c>
      <c r="AF49" s="58" t="e">
        <f>IF(AND(Riesgos!#REF!="Muy Baja",Riesgos!#REF!="Mayor"),CONCATENATE("R4C",Riesgos!#REF!),"")</f>
        <v>#REF!</v>
      </c>
      <c r="AG49" s="59" t="e">
        <f>IF(AND(Riesgos!#REF!="Muy Baja",Riesgos!#REF!="Mayor"),CONCATENATE("R4C",Riesgos!#REF!),"")</f>
        <v>#REF!</v>
      </c>
      <c r="AH49" s="86" t="e">
        <f>IF(AND(Riesgos!#REF!="Muy Baja",Riesgos!#REF!="Catastrófico"),CONCATENATE("R4C",Riesgos!#REF!),"")</f>
        <v>#REF!</v>
      </c>
      <c r="AI49" s="87" t="e">
        <f>IF(AND(Riesgos!#REF!="Muy Baja",Riesgos!#REF!="Catastrófico"),CONCATENATE("R4C",Riesgos!#REF!),"")</f>
        <v>#REF!</v>
      </c>
      <c r="AJ49" s="87" t="e">
        <f>IF(AND(Riesgos!#REF!="Muy Baja",Riesgos!#REF!="Catastrófico"),CONCATENATE("R4C",Riesgos!#REF!),"")</f>
        <v>#REF!</v>
      </c>
      <c r="AK49" s="87" t="e">
        <f>IF(AND(Riesgos!#REF!="Muy Baja",Riesgos!#REF!="Catastrófico"),CONCATENATE("R4C",Riesgos!#REF!),"")</f>
        <v>#REF!</v>
      </c>
      <c r="AL49" s="87" t="e">
        <f>IF(AND(Riesgos!#REF!="Muy Baja",Riesgos!#REF!="Catastrófico"),CONCATENATE("R4C",Riesgos!#REF!),"")</f>
        <v>#REF!</v>
      </c>
      <c r="AM49" s="88" t="e">
        <f>IF(AND(Riesgos!#REF!="Muy Baja",Riesgos!#REF!="Catastrófico"),CONCATENATE("R4C",Riesgos!#REF!),"")</f>
        <v>#REF!</v>
      </c>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row>
    <row r="50" spans="1:80" ht="15" customHeight="1">
      <c r="A50" s="18"/>
      <c r="B50" s="826"/>
      <c r="C50" s="826"/>
      <c r="D50" s="827"/>
      <c r="E50" s="834"/>
      <c r="F50" s="835"/>
      <c r="G50" s="835"/>
      <c r="H50" s="835"/>
      <c r="I50" s="836"/>
      <c r="J50" s="76" t="e">
        <f>IF(AND(Riesgos!#REF!="Muy Baja",Riesgos!#REF!="Leve"),CONCATENATE("R5C",Riesgos!#REF!),"")</f>
        <v>#REF!</v>
      </c>
      <c r="K50" s="77" t="e">
        <f>IF(AND(Riesgos!#REF!="Muy Baja",Riesgos!#REF!="Leve"),CONCATENATE("R5C",Riesgos!#REF!),"")</f>
        <v>#REF!</v>
      </c>
      <c r="L50" s="77" t="e">
        <f>IF(AND(Riesgos!#REF!="Muy Baja",Riesgos!#REF!="Leve"),CONCATENATE("R5C",Riesgos!#REF!),"")</f>
        <v>#REF!</v>
      </c>
      <c r="M50" s="77" t="e">
        <f>IF(AND(Riesgos!#REF!="Muy Baja",Riesgos!#REF!="Leve"),CONCATENATE("R5C",Riesgos!#REF!),"")</f>
        <v>#REF!</v>
      </c>
      <c r="N50" s="77" t="e">
        <f>IF(AND(Riesgos!#REF!="Muy Baja",Riesgos!#REF!="Leve"),CONCATENATE("R5C",Riesgos!#REF!),"")</f>
        <v>#REF!</v>
      </c>
      <c r="O50" s="78" t="e">
        <f>IF(AND(Riesgos!#REF!="Muy Baja",Riesgos!#REF!="Leve"),CONCATENATE("R5C",Riesgos!#REF!),"")</f>
        <v>#REF!</v>
      </c>
      <c r="P50" s="76" t="e">
        <f>IF(AND(Riesgos!#REF!="Muy Baja",Riesgos!#REF!="Menor"),CONCATENATE("R5C",Riesgos!#REF!),"")</f>
        <v>#REF!</v>
      </c>
      <c r="Q50" s="77" t="e">
        <f>IF(AND(Riesgos!#REF!="Muy Baja",Riesgos!#REF!="Menor"),CONCATENATE("R5C",Riesgos!#REF!),"")</f>
        <v>#REF!</v>
      </c>
      <c r="R50" s="77" t="e">
        <f>IF(AND(Riesgos!#REF!="Muy Baja",Riesgos!#REF!="Menor"),CONCATENATE("R5C",Riesgos!#REF!),"")</f>
        <v>#REF!</v>
      </c>
      <c r="S50" s="77" t="e">
        <f>IF(AND(Riesgos!#REF!="Muy Baja",Riesgos!#REF!="Menor"),CONCATENATE("R5C",Riesgos!#REF!),"")</f>
        <v>#REF!</v>
      </c>
      <c r="T50" s="77" t="e">
        <f>IF(AND(Riesgos!#REF!="Muy Baja",Riesgos!#REF!="Menor"),CONCATENATE("R5C",Riesgos!#REF!),"")</f>
        <v>#REF!</v>
      </c>
      <c r="U50" s="78" t="e">
        <f>IF(AND(Riesgos!#REF!="Muy Baja",Riesgos!#REF!="Menor"),CONCATENATE("R5C",Riesgos!#REF!),"")</f>
        <v>#REF!</v>
      </c>
      <c r="V50" s="67" t="e">
        <f>IF(AND(Riesgos!#REF!="Muy Baja",Riesgos!#REF!="Moderado"),CONCATENATE("R5C",Riesgos!#REF!),"")</f>
        <v>#REF!</v>
      </c>
      <c r="W50" s="68" t="e">
        <f>IF(AND(Riesgos!#REF!="Muy Baja",Riesgos!#REF!="Moderado"),CONCATENATE("R5C",Riesgos!#REF!),"")</f>
        <v>#REF!</v>
      </c>
      <c r="X50" s="68" t="e">
        <f>IF(AND(Riesgos!#REF!="Muy Baja",Riesgos!#REF!="Moderado"),CONCATENATE("R5C",Riesgos!#REF!),"")</f>
        <v>#REF!</v>
      </c>
      <c r="Y50" s="68" t="e">
        <f>IF(AND(Riesgos!#REF!="Muy Baja",Riesgos!#REF!="Moderado"),CONCATENATE("R5C",Riesgos!#REF!),"")</f>
        <v>#REF!</v>
      </c>
      <c r="Z50" s="68" t="e">
        <f>IF(AND(Riesgos!#REF!="Muy Baja",Riesgos!#REF!="Moderado"),CONCATENATE("R5C",Riesgos!#REF!),"")</f>
        <v>#REF!</v>
      </c>
      <c r="AA50" s="69" t="e">
        <f>IF(AND(Riesgos!#REF!="Muy Baja",Riesgos!#REF!="Moderado"),CONCATENATE("R5C",Riesgos!#REF!),"")</f>
        <v>#REF!</v>
      </c>
      <c r="AB50" s="57" t="e">
        <f>IF(AND(Riesgos!#REF!="Muy Baja",Riesgos!#REF!="Mayor"),CONCATENATE("R5C",Riesgos!#REF!),"")</f>
        <v>#REF!</v>
      </c>
      <c r="AC50" s="58" t="e">
        <f>IF(AND(Riesgos!#REF!="Muy Baja",Riesgos!#REF!="Mayor"),CONCATENATE("R5C",Riesgos!#REF!),"")</f>
        <v>#REF!</v>
      </c>
      <c r="AD50" s="60" t="e">
        <f>IF(AND(Riesgos!#REF!="Muy Baja",Riesgos!#REF!="Mayor"),CONCATENATE("R5C",Riesgos!#REF!),"")</f>
        <v>#REF!</v>
      </c>
      <c r="AE50" s="60" t="e">
        <f>IF(AND(Riesgos!#REF!="Muy Baja",Riesgos!#REF!="Mayor"),CONCATENATE("R5C",Riesgos!#REF!),"")</f>
        <v>#REF!</v>
      </c>
      <c r="AF50" s="60" t="e">
        <f>IF(AND(Riesgos!#REF!="Muy Baja",Riesgos!#REF!="Mayor"),CONCATENATE("R5C",Riesgos!#REF!),"")</f>
        <v>#REF!</v>
      </c>
      <c r="AG50" s="59" t="e">
        <f>IF(AND(Riesgos!#REF!="Muy Baja",Riesgos!#REF!="Mayor"),CONCATENATE("R5C",Riesgos!#REF!),"")</f>
        <v>#REF!</v>
      </c>
      <c r="AH50" s="86" t="e">
        <f>IF(AND(Riesgos!#REF!="Muy Baja",Riesgos!#REF!="Catastrófico"),CONCATENATE("R5C",Riesgos!#REF!),"")</f>
        <v>#REF!</v>
      </c>
      <c r="AI50" s="87" t="e">
        <f>IF(AND(Riesgos!#REF!="Muy Baja",Riesgos!#REF!="Catastrófico"),CONCATENATE("R5C",Riesgos!#REF!),"")</f>
        <v>#REF!</v>
      </c>
      <c r="AJ50" s="87" t="e">
        <f>IF(AND(Riesgos!#REF!="Muy Baja",Riesgos!#REF!="Catastrófico"),CONCATENATE("R5C",Riesgos!#REF!),"")</f>
        <v>#REF!</v>
      </c>
      <c r="AK50" s="87" t="e">
        <f>IF(AND(Riesgos!#REF!="Muy Baja",Riesgos!#REF!="Catastrófico"),CONCATENATE("R5C",Riesgos!#REF!),"")</f>
        <v>#REF!</v>
      </c>
      <c r="AL50" s="87" t="e">
        <f>IF(AND(Riesgos!#REF!="Muy Baja",Riesgos!#REF!="Catastrófico"),CONCATENATE("R5C",Riesgos!#REF!),"")</f>
        <v>#REF!</v>
      </c>
      <c r="AM50" s="88" t="e">
        <f>IF(AND(Riesgos!#REF!="Muy Baja",Riesgos!#REF!="Catastrófico"),CONCATENATE("R5C",Riesgos!#REF!),"")</f>
        <v>#REF!</v>
      </c>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row>
    <row r="51" spans="1:80" ht="15" customHeight="1">
      <c r="A51" s="18"/>
      <c r="B51" s="826"/>
      <c r="C51" s="826"/>
      <c r="D51" s="827"/>
      <c r="E51" s="834"/>
      <c r="F51" s="835"/>
      <c r="G51" s="835"/>
      <c r="H51" s="835"/>
      <c r="I51" s="836"/>
      <c r="J51" s="76" t="e">
        <f>IF(AND(Riesgos!#REF!="Muy Baja",Riesgos!#REF!="Leve"),CONCATENATE("R6C",Riesgos!#REF!),"")</f>
        <v>#REF!</v>
      </c>
      <c r="K51" s="77" t="e">
        <f>IF(AND(Riesgos!#REF!="Muy Baja",Riesgos!#REF!="Leve"),CONCATENATE("R6C",Riesgos!#REF!),"")</f>
        <v>#REF!</v>
      </c>
      <c r="L51" s="77" t="e">
        <f>IF(AND(Riesgos!#REF!="Muy Baja",Riesgos!#REF!="Leve"),CONCATENATE("R6C",Riesgos!#REF!),"")</f>
        <v>#REF!</v>
      </c>
      <c r="M51" s="77" t="e">
        <f>IF(AND(Riesgos!#REF!="Muy Baja",Riesgos!#REF!="Leve"),CONCATENATE("R6C",Riesgos!#REF!),"")</f>
        <v>#REF!</v>
      </c>
      <c r="N51" s="77" t="e">
        <f>IF(AND(Riesgos!#REF!="Muy Baja",Riesgos!#REF!="Leve"),CONCATENATE("R6C",Riesgos!#REF!),"")</f>
        <v>#REF!</v>
      </c>
      <c r="O51" s="78" t="e">
        <f>IF(AND(Riesgos!#REF!="Muy Baja",Riesgos!#REF!="Leve"),CONCATENATE("R6C",Riesgos!#REF!),"")</f>
        <v>#REF!</v>
      </c>
      <c r="P51" s="76" t="e">
        <f>IF(AND(Riesgos!#REF!="Muy Baja",Riesgos!#REF!="Menor"),CONCATENATE("R6C",Riesgos!#REF!),"")</f>
        <v>#REF!</v>
      </c>
      <c r="Q51" s="77" t="e">
        <f>IF(AND(Riesgos!#REF!="Muy Baja",Riesgos!#REF!="Menor"),CONCATENATE("R6C",Riesgos!#REF!),"")</f>
        <v>#REF!</v>
      </c>
      <c r="R51" s="77" t="e">
        <f>IF(AND(Riesgos!#REF!="Muy Baja",Riesgos!#REF!="Menor"),CONCATENATE("R6C",Riesgos!#REF!),"")</f>
        <v>#REF!</v>
      </c>
      <c r="S51" s="77" t="e">
        <f>IF(AND(Riesgos!#REF!="Muy Baja",Riesgos!#REF!="Menor"),CONCATENATE("R6C",Riesgos!#REF!),"")</f>
        <v>#REF!</v>
      </c>
      <c r="T51" s="77" t="e">
        <f>IF(AND(Riesgos!#REF!="Muy Baja",Riesgos!#REF!="Menor"),CONCATENATE("R6C",Riesgos!#REF!),"")</f>
        <v>#REF!</v>
      </c>
      <c r="U51" s="78" t="e">
        <f>IF(AND(Riesgos!#REF!="Muy Baja",Riesgos!#REF!="Menor"),CONCATENATE("R6C",Riesgos!#REF!),"")</f>
        <v>#REF!</v>
      </c>
      <c r="V51" s="67" t="e">
        <f>IF(AND(Riesgos!#REF!="Muy Baja",Riesgos!#REF!="Moderado"),CONCATENATE("R6C",Riesgos!#REF!),"")</f>
        <v>#REF!</v>
      </c>
      <c r="W51" s="68" t="e">
        <f>IF(AND(Riesgos!#REF!="Muy Baja",Riesgos!#REF!="Moderado"),CONCATENATE("R6C",Riesgos!#REF!),"")</f>
        <v>#REF!</v>
      </c>
      <c r="X51" s="68" t="e">
        <f>IF(AND(Riesgos!#REF!="Muy Baja",Riesgos!#REF!="Moderado"),CONCATENATE("R6C",Riesgos!#REF!),"")</f>
        <v>#REF!</v>
      </c>
      <c r="Y51" s="68" t="e">
        <f>IF(AND(Riesgos!#REF!="Muy Baja",Riesgos!#REF!="Moderado"),CONCATENATE("R6C",Riesgos!#REF!),"")</f>
        <v>#REF!</v>
      </c>
      <c r="Z51" s="68" t="e">
        <f>IF(AND(Riesgos!#REF!="Muy Baja",Riesgos!#REF!="Moderado"),CONCATENATE("R6C",Riesgos!#REF!),"")</f>
        <v>#REF!</v>
      </c>
      <c r="AA51" s="69" t="e">
        <f>IF(AND(Riesgos!#REF!="Muy Baja",Riesgos!#REF!="Moderado"),CONCATENATE("R6C",Riesgos!#REF!),"")</f>
        <v>#REF!</v>
      </c>
      <c r="AB51" s="57" t="e">
        <f>IF(AND(Riesgos!#REF!="Muy Baja",Riesgos!#REF!="Mayor"),CONCATENATE("R6C",Riesgos!#REF!),"")</f>
        <v>#REF!</v>
      </c>
      <c r="AC51" s="58" t="e">
        <f>IF(AND(Riesgos!#REF!="Muy Baja",Riesgos!#REF!="Mayor"),CONCATENATE("R6C",Riesgos!#REF!),"")</f>
        <v>#REF!</v>
      </c>
      <c r="AD51" s="60" t="e">
        <f>IF(AND(Riesgos!#REF!="Muy Baja",Riesgos!#REF!="Mayor"),CONCATENATE("R6C",Riesgos!#REF!),"")</f>
        <v>#REF!</v>
      </c>
      <c r="AE51" s="60" t="e">
        <f>IF(AND(Riesgos!#REF!="Muy Baja",Riesgos!#REF!="Mayor"),CONCATENATE("R6C",Riesgos!#REF!),"")</f>
        <v>#REF!</v>
      </c>
      <c r="AF51" s="60" t="e">
        <f>IF(AND(Riesgos!#REF!="Muy Baja",Riesgos!#REF!="Mayor"),CONCATENATE("R6C",Riesgos!#REF!),"")</f>
        <v>#REF!</v>
      </c>
      <c r="AG51" s="59" t="e">
        <f>IF(AND(Riesgos!#REF!="Muy Baja",Riesgos!#REF!="Mayor"),CONCATENATE("R6C",Riesgos!#REF!),"")</f>
        <v>#REF!</v>
      </c>
      <c r="AH51" s="86" t="e">
        <f>IF(AND(Riesgos!#REF!="Muy Baja",Riesgos!#REF!="Catastrófico"),CONCATENATE("R6C",Riesgos!#REF!),"")</f>
        <v>#REF!</v>
      </c>
      <c r="AI51" s="87" t="e">
        <f>IF(AND(Riesgos!#REF!="Muy Baja",Riesgos!#REF!="Catastrófico"),CONCATENATE("R6C",Riesgos!#REF!),"")</f>
        <v>#REF!</v>
      </c>
      <c r="AJ51" s="87" t="e">
        <f>IF(AND(Riesgos!#REF!="Muy Baja",Riesgos!#REF!="Catastrófico"),CONCATENATE("R6C",Riesgos!#REF!),"")</f>
        <v>#REF!</v>
      </c>
      <c r="AK51" s="87" t="e">
        <f>IF(AND(Riesgos!#REF!="Muy Baja",Riesgos!#REF!="Catastrófico"),CONCATENATE("R6C",Riesgos!#REF!),"")</f>
        <v>#REF!</v>
      </c>
      <c r="AL51" s="87" t="e">
        <f>IF(AND(Riesgos!#REF!="Muy Baja",Riesgos!#REF!="Catastrófico"),CONCATENATE("R6C",Riesgos!#REF!),"")</f>
        <v>#REF!</v>
      </c>
      <c r="AM51" s="88" t="e">
        <f>IF(AND(Riesgos!#REF!="Muy Baja",Riesgos!#REF!="Catastrófico"),CONCATENATE("R6C",Riesgos!#REF!),"")</f>
        <v>#REF!</v>
      </c>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row>
    <row r="52" spans="1:80" ht="15" customHeight="1">
      <c r="A52" s="18"/>
      <c r="B52" s="826"/>
      <c r="C52" s="826"/>
      <c r="D52" s="827"/>
      <c r="E52" s="834"/>
      <c r="F52" s="835"/>
      <c r="G52" s="835"/>
      <c r="H52" s="835"/>
      <c r="I52" s="836"/>
      <c r="J52" s="76" t="e">
        <f>IF(AND(Riesgos!#REF!="Muy Baja",Riesgos!#REF!="Leve"),CONCATENATE("R7C",Riesgos!#REF!),"")</f>
        <v>#REF!</v>
      </c>
      <c r="K52" s="77" t="e">
        <f>IF(AND(Riesgos!#REF!="Muy Baja",Riesgos!#REF!="Leve"),CONCATENATE("R7C",Riesgos!#REF!),"")</f>
        <v>#REF!</v>
      </c>
      <c r="L52" s="77" t="e">
        <f>IF(AND(Riesgos!#REF!="Muy Baja",Riesgos!#REF!="Leve"),CONCATENATE("R7C",Riesgos!#REF!),"")</f>
        <v>#REF!</v>
      </c>
      <c r="M52" s="77" t="e">
        <f>IF(AND(Riesgos!#REF!="Muy Baja",Riesgos!#REF!="Leve"),CONCATENATE("R7C",Riesgos!#REF!),"")</f>
        <v>#REF!</v>
      </c>
      <c r="N52" s="77" t="e">
        <f>IF(AND(Riesgos!#REF!="Muy Baja",Riesgos!#REF!="Leve"),CONCATENATE("R7C",Riesgos!#REF!),"")</f>
        <v>#REF!</v>
      </c>
      <c r="O52" s="78" t="e">
        <f>IF(AND(Riesgos!#REF!="Muy Baja",Riesgos!#REF!="Leve"),CONCATENATE("R7C",Riesgos!#REF!),"")</f>
        <v>#REF!</v>
      </c>
      <c r="P52" s="76" t="e">
        <f>IF(AND(Riesgos!#REF!="Muy Baja",Riesgos!#REF!="Menor"),CONCATENATE("R7C",Riesgos!#REF!),"")</f>
        <v>#REF!</v>
      </c>
      <c r="Q52" s="77" t="e">
        <f>IF(AND(Riesgos!#REF!="Muy Baja",Riesgos!#REF!="Menor"),CONCATENATE("R7C",Riesgos!#REF!),"")</f>
        <v>#REF!</v>
      </c>
      <c r="R52" s="77" t="e">
        <f>IF(AND(Riesgos!#REF!="Muy Baja",Riesgos!#REF!="Menor"),CONCATENATE("R7C",Riesgos!#REF!),"")</f>
        <v>#REF!</v>
      </c>
      <c r="S52" s="77" t="e">
        <f>IF(AND(Riesgos!#REF!="Muy Baja",Riesgos!#REF!="Menor"),CONCATENATE("R7C",Riesgos!#REF!),"")</f>
        <v>#REF!</v>
      </c>
      <c r="T52" s="77" t="e">
        <f>IF(AND(Riesgos!#REF!="Muy Baja",Riesgos!#REF!="Menor"),CONCATENATE("R7C",Riesgos!#REF!),"")</f>
        <v>#REF!</v>
      </c>
      <c r="U52" s="78" t="e">
        <f>IF(AND(Riesgos!#REF!="Muy Baja",Riesgos!#REF!="Menor"),CONCATENATE("R7C",Riesgos!#REF!),"")</f>
        <v>#REF!</v>
      </c>
      <c r="V52" s="67" t="e">
        <f>IF(AND(Riesgos!#REF!="Muy Baja",Riesgos!#REF!="Moderado"),CONCATENATE("R7C",Riesgos!#REF!),"")</f>
        <v>#REF!</v>
      </c>
      <c r="W52" s="68" t="e">
        <f>IF(AND(Riesgos!#REF!="Muy Baja",Riesgos!#REF!="Moderado"),CONCATENATE("R7C",Riesgos!#REF!),"")</f>
        <v>#REF!</v>
      </c>
      <c r="X52" s="68" t="e">
        <f>IF(AND(Riesgos!#REF!="Muy Baja",Riesgos!#REF!="Moderado"),CONCATENATE("R7C",Riesgos!#REF!),"")</f>
        <v>#REF!</v>
      </c>
      <c r="Y52" s="68" t="e">
        <f>IF(AND(Riesgos!#REF!="Muy Baja",Riesgos!#REF!="Moderado"),CONCATENATE("R7C",Riesgos!#REF!),"")</f>
        <v>#REF!</v>
      </c>
      <c r="Z52" s="68" t="e">
        <f>IF(AND(Riesgos!#REF!="Muy Baja",Riesgos!#REF!="Moderado"),CONCATENATE("R7C",Riesgos!#REF!),"")</f>
        <v>#REF!</v>
      </c>
      <c r="AA52" s="69" t="e">
        <f>IF(AND(Riesgos!#REF!="Muy Baja",Riesgos!#REF!="Moderado"),CONCATENATE("R7C",Riesgos!#REF!),"")</f>
        <v>#REF!</v>
      </c>
      <c r="AB52" s="57" t="e">
        <f>IF(AND(Riesgos!#REF!="Muy Baja",Riesgos!#REF!="Mayor"),CONCATENATE("R7C",Riesgos!#REF!),"")</f>
        <v>#REF!</v>
      </c>
      <c r="AC52" s="58" t="e">
        <f>IF(AND(Riesgos!#REF!="Muy Baja",Riesgos!#REF!="Mayor"),CONCATENATE("R7C",Riesgos!#REF!),"")</f>
        <v>#REF!</v>
      </c>
      <c r="AD52" s="60" t="e">
        <f>IF(AND(Riesgos!#REF!="Muy Baja",Riesgos!#REF!="Mayor"),CONCATENATE("R7C",Riesgos!#REF!),"")</f>
        <v>#REF!</v>
      </c>
      <c r="AE52" s="60" t="e">
        <f>IF(AND(Riesgos!#REF!="Muy Baja",Riesgos!#REF!="Mayor"),CONCATENATE("R7C",Riesgos!#REF!),"")</f>
        <v>#REF!</v>
      </c>
      <c r="AF52" s="60" t="e">
        <f>IF(AND(Riesgos!#REF!="Muy Baja",Riesgos!#REF!="Mayor"),CONCATENATE("R7C",Riesgos!#REF!),"")</f>
        <v>#REF!</v>
      </c>
      <c r="AG52" s="59" t="e">
        <f>IF(AND(Riesgos!#REF!="Muy Baja",Riesgos!#REF!="Mayor"),CONCATENATE("R7C",Riesgos!#REF!),"")</f>
        <v>#REF!</v>
      </c>
      <c r="AH52" s="86" t="e">
        <f>IF(AND(Riesgos!#REF!="Muy Baja",Riesgos!#REF!="Catastrófico"),CONCATENATE("R7C",Riesgos!#REF!),"")</f>
        <v>#REF!</v>
      </c>
      <c r="AI52" s="87" t="e">
        <f>IF(AND(Riesgos!#REF!="Muy Baja",Riesgos!#REF!="Catastrófico"),CONCATENATE("R7C",Riesgos!#REF!),"")</f>
        <v>#REF!</v>
      </c>
      <c r="AJ52" s="87" t="e">
        <f>IF(AND(Riesgos!#REF!="Muy Baja",Riesgos!#REF!="Catastrófico"),CONCATENATE("R7C",Riesgos!#REF!),"")</f>
        <v>#REF!</v>
      </c>
      <c r="AK52" s="87" t="e">
        <f>IF(AND(Riesgos!#REF!="Muy Baja",Riesgos!#REF!="Catastrófico"),CONCATENATE("R7C",Riesgos!#REF!),"")</f>
        <v>#REF!</v>
      </c>
      <c r="AL52" s="87" t="e">
        <f>IF(AND(Riesgos!#REF!="Muy Baja",Riesgos!#REF!="Catastrófico"),CONCATENATE("R7C",Riesgos!#REF!),"")</f>
        <v>#REF!</v>
      </c>
      <c r="AM52" s="88" t="e">
        <f>IF(AND(Riesgos!#REF!="Muy Baja",Riesgos!#REF!="Catastrófico"),CONCATENATE("R7C",Riesgos!#REF!),"")</f>
        <v>#REF!</v>
      </c>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row>
    <row r="53" spans="1:80" ht="15" customHeight="1">
      <c r="A53" s="18"/>
      <c r="B53" s="826"/>
      <c r="C53" s="826"/>
      <c r="D53" s="827"/>
      <c r="E53" s="834"/>
      <c r="F53" s="835"/>
      <c r="G53" s="835"/>
      <c r="H53" s="835"/>
      <c r="I53" s="836"/>
      <c r="J53" s="76" t="e">
        <f>IF(AND(Riesgos!#REF!="Muy Baja",Riesgos!#REF!="Leve"),CONCATENATE("R8C",Riesgos!#REF!),"")</f>
        <v>#REF!</v>
      </c>
      <c r="K53" s="77" t="e">
        <f>IF(AND(Riesgos!#REF!="Muy Baja",Riesgos!#REF!="Leve"),CONCATENATE("R8C",Riesgos!#REF!),"")</f>
        <v>#REF!</v>
      </c>
      <c r="L53" s="77" t="e">
        <f>IF(AND(Riesgos!#REF!="Muy Baja",Riesgos!#REF!="Leve"),CONCATENATE("R8C",Riesgos!#REF!),"")</f>
        <v>#REF!</v>
      </c>
      <c r="M53" s="77" t="e">
        <f>IF(AND(Riesgos!#REF!="Muy Baja",Riesgos!#REF!="Leve"),CONCATENATE("R8C",Riesgos!#REF!),"")</f>
        <v>#REF!</v>
      </c>
      <c r="N53" s="77" t="e">
        <f>IF(AND(Riesgos!#REF!="Muy Baja",Riesgos!#REF!="Leve"),CONCATENATE("R8C",Riesgos!#REF!),"")</f>
        <v>#REF!</v>
      </c>
      <c r="O53" s="78" t="e">
        <f>IF(AND(Riesgos!#REF!="Muy Baja",Riesgos!#REF!="Leve"),CONCATENATE("R8C",Riesgos!#REF!),"")</f>
        <v>#REF!</v>
      </c>
      <c r="P53" s="76" t="e">
        <f>IF(AND(Riesgos!#REF!="Muy Baja",Riesgos!#REF!="Menor"),CONCATENATE("R8C",Riesgos!#REF!),"")</f>
        <v>#REF!</v>
      </c>
      <c r="Q53" s="77" t="e">
        <f>IF(AND(Riesgos!#REF!="Muy Baja",Riesgos!#REF!="Menor"),CONCATENATE("R8C",Riesgos!#REF!),"")</f>
        <v>#REF!</v>
      </c>
      <c r="R53" s="77" t="e">
        <f>IF(AND(Riesgos!#REF!="Muy Baja",Riesgos!#REF!="Menor"),CONCATENATE("R8C",Riesgos!#REF!),"")</f>
        <v>#REF!</v>
      </c>
      <c r="S53" s="77" t="e">
        <f>IF(AND(Riesgos!#REF!="Muy Baja",Riesgos!#REF!="Menor"),CONCATENATE("R8C",Riesgos!#REF!),"")</f>
        <v>#REF!</v>
      </c>
      <c r="T53" s="77" t="e">
        <f>IF(AND(Riesgos!#REF!="Muy Baja",Riesgos!#REF!="Menor"),CONCATENATE("R8C",Riesgos!#REF!),"")</f>
        <v>#REF!</v>
      </c>
      <c r="U53" s="78" t="e">
        <f>IF(AND(Riesgos!#REF!="Muy Baja",Riesgos!#REF!="Menor"),CONCATENATE("R8C",Riesgos!#REF!),"")</f>
        <v>#REF!</v>
      </c>
      <c r="V53" s="67" t="e">
        <f>IF(AND(Riesgos!#REF!="Muy Baja",Riesgos!#REF!="Moderado"),CONCATENATE("R8C",Riesgos!#REF!),"")</f>
        <v>#REF!</v>
      </c>
      <c r="W53" s="68" t="e">
        <f>IF(AND(Riesgos!#REF!="Muy Baja",Riesgos!#REF!="Moderado"),CONCATENATE("R8C",Riesgos!#REF!),"")</f>
        <v>#REF!</v>
      </c>
      <c r="X53" s="68" t="e">
        <f>IF(AND(Riesgos!#REF!="Muy Baja",Riesgos!#REF!="Moderado"),CONCATENATE("R8C",Riesgos!#REF!),"")</f>
        <v>#REF!</v>
      </c>
      <c r="Y53" s="68" t="e">
        <f>IF(AND(Riesgos!#REF!="Muy Baja",Riesgos!#REF!="Moderado"),CONCATENATE("R8C",Riesgos!#REF!),"")</f>
        <v>#REF!</v>
      </c>
      <c r="Z53" s="68" t="e">
        <f>IF(AND(Riesgos!#REF!="Muy Baja",Riesgos!#REF!="Moderado"),CONCATENATE("R8C",Riesgos!#REF!),"")</f>
        <v>#REF!</v>
      </c>
      <c r="AA53" s="69" t="e">
        <f>IF(AND(Riesgos!#REF!="Muy Baja",Riesgos!#REF!="Moderado"),CONCATENATE("R8C",Riesgos!#REF!),"")</f>
        <v>#REF!</v>
      </c>
      <c r="AB53" s="57" t="e">
        <f>IF(AND(Riesgos!#REF!="Muy Baja",Riesgos!#REF!="Mayor"),CONCATENATE("R8C",Riesgos!#REF!),"")</f>
        <v>#REF!</v>
      </c>
      <c r="AC53" s="58" t="e">
        <f>IF(AND(Riesgos!#REF!="Muy Baja",Riesgos!#REF!="Mayor"),CONCATENATE("R8C",Riesgos!#REF!),"")</f>
        <v>#REF!</v>
      </c>
      <c r="AD53" s="60" t="e">
        <f>IF(AND(Riesgos!#REF!="Muy Baja",Riesgos!#REF!="Mayor"),CONCATENATE("R8C",Riesgos!#REF!),"")</f>
        <v>#REF!</v>
      </c>
      <c r="AE53" s="60" t="e">
        <f>IF(AND(Riesgos!#REF!="Muy Baja",Riesgos!#REF!="Mayor"),CONCATENATE("R8C",Riesgos!#REF!),"")</f>
        <v>#REF!</v>
      </c>
      <c r="AF53" s="60" t="e">
        <f>IF(AND(Riesgos!#REF!="Muy Baja",Riesgos!#REF!="Mayor"),CONCATENATE("R8C",Riesgos!#REF!),"")</f>
        <v>#REF!</v>
      </c>
      <c r="AG53" s="59" t="e">
        <f>IF(AND(Riesgos!#REF!="Muy Baja",Riesgos!#REF!="Mayor"),CONCATENATE("R8C",Riesgos!#REF!),"")</f>
        <v>#REF!</v>
      </c>
      <c r="AH53" s="86" t="e">
        <f>IF(AND(Riesgos!#REF!="Muy Baja",Riesgos!#REF!="Catastrófico"),CONCATENATE("R8C",Riesgos!#REF!),"")</f>
        <v>#REF!</v>
      </c>
      <c r="AI53" s="87" t="e">
        <f>IF(AND(Riesgos!#REF!="Muy Baja",Riesgos!#REF!="Catastrófico"),CONCATENATE("R8C",Riesgos!#REF!),"")</f>
        <v>#REF!</v>
      </c>
      <c r="AJ53" s="87" t="e">
        <f>IF(AND(Riesgos!#REF!="Muy Baja",Riesgos!#REF!="Catastrófico"),CONCATENATE("R8C",Riesgos!#REF!),"")</f>
        <v>#REF!</v>
      </c>
      <c r="AK53" s="87" t="e">
        <f>IF(AND(Riesgos!#REF!="Muy Baja",Riesgos!#REF!="Catastrófico"),CONCATENATE("R8C",Riesgos!#REF!),"")</f>
        <v>#REF!</v>
      </c>
      <c r="AL53" s="87" t="e">
        <f>IF(AND(Riesgos!#REF!="Muy Baja",Riesgos!#REF!="Catastrófico"),CONCATENATE("R8C",Riesgos!#REF!),"")</f>
        <v>#REF!</v>
      </c>
      <c r="AM53" s="88" t="e">
        <f>IF(AND(Riesgos!#REF!="Muy Baja",Riesgos!#REF!="Catastrófico"),CONCATENATE("R8C",Riesgos!#REF!),"")</f>
        <v>#REF!</v>
      </c>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row>
    <row r="54" spans="1:80" ht="15" customHeight="1">
      <c r="A54" s="18"/>
      <c r="B54" s="826"/>
      <c r="C54" s="826"/>
      <c r="D54" s="827"/>
      <c r="E54" s="834"/>
      <c r="F54" s="835"/>
      <c r="G54" s="835"/>
      <c r="H54" s="835"/>
      <c r="I54" s="836"/>
      <c r="J54" s="76" t="e">
        <f>IF(AND(Riesgos!#REF!="Muy Baja",Riesgos!#REF!="Leve"),CONCATENATE("R9C",Riesgos!#REF!),"")</f>
        <v>#REF!</v>
      </c>
      <c r="K54" s="77" t="e">
        <f>IF(AND(Riesgos!#REF!="Muy Baja",Riesgos!#REF!="Leve"),CONCATENATE("R9C",Riesgos!#REF!),"")</f>
        <v>#REF!</v>
      </c>
      <c r="L54" s="77" t="e">
        <f>IF(AND(Riesgos!#REF!="Muy Baja",Riesgos!#REF!="Leve"),CONCATENATE("R9C",Riesgos!#REF!),"")</f>
        <v>#REF!</v>
      </c>
      <c r="M54" s="77" t="e">
        <f>IF(AND(Riesgos!#REF!="Muy Baja",Riesgos!#REF!="Leve"),CONCATENATE("R9C",Riesgos!#REF!),"")</f>
        <v>#REF!</v>
      </c>
      <c r="N54" s="77" t="e">
        <f>IF(AND(Riesgos!#REF!="Muy Baja",Riesgos!#REF!="Leve"),CONCATENATE("R9C",Riesgos!#REF!),"")</f>
        <v>#REF!</v>
      </c>
      <c r="O54" s="78" t="e">
        <f>IF(AND(Riesgos!#REF!="Muy Baja",Riesgos!#REF!="Leve"),CONCATENATE("R9C",Riesgos!#REF!),"")</f>
        <v>#REF!</v>
      </c>
      <c r="P54" s="76" t="e">
        <f>IF(AND(Riesgos!#REF!="Muy Baja",Riesgos!#REF!="Menor"),CONCATENATE("R9C",Riesgos!#REF!),"")</f>
        <v>#REF!</v>
      </c>
      <c r="Q54" s="77" t="e">
        <f>IF(AND(Riesgos!#REF!="Muy Baja",Riesgos!#REF!="Menor"),CONCATENATE("R9C",Riesgos!#REF!),"")</f>
        <v>#REF!</v>
      </c>
      <c r="R54" s="77" t="e">
        <f>IF(AND(Riesgos!#REF!="Muy Baja",Riesgos!#REF!="Menor"),CONCATENATE("R9C",Riesgos!#REF!),"")</f>
        <v>#REF!</v>
      </c>
      <c r="S54" s="77" t="e">
        <f>IF(AND(Riesgos!#REF!="Muy Baja",Riesgos!#REF!="Menor"),CONCATENATE("R9C",Riesgos!#REF!),"")</f>
        <v>#REF!</v>
      </c>
      <c r="T54" s="77" t="e">
        <f>IF(AND(Riesgos!#REF!="Muy Baja",Riesgos!#REF!="Menor"),CONCATENATE("R9C",Riesgos!#REF!),"")</f>
        <v>#REF!</v>
      </c>
      <c r="U54" s="78" t="e">
        <f>IF(AND(Riesgos!#REF!="Muy Baja",Riesgos!#REF!="Menor"),CONCATENATE("R9C",Riesgos!#REF!),"")</f>
        <v>#REF!</v>
      </c>
      <c r="V54" s="67" t="e">
        <f>IF(AND(Riesgos!#REF!="Muy Baja",Riesgos!#REF!="Moderado"),CONCATENATE("R9C",Riesgos!#REF!),"")</f>
        <v>#REF!</v>
      </c>
      <c r="W54" s="68" t="e">
        <f>IF(AND(Riesgos!#REF!="Muy Baja",Riesgos!#REF!="Moderado"),CONCATENATE("R9C",Riesgos!#REF!),"")</f>
        <v>#REF!</v>
      </c>
      <c r="X54" s="68" t="e">
        <f>IF(AND(Riesgos!#REF!="Muy Baja",Riesgos!#REF!="Moderado"),CONCATENATE("R9C",Riesgos!#REF!),"")</f>
        <v>#REF!</v>
      </c>
      <c r="Y54" s="68" t="e">
        <f>IF(AND(Riesgos!#REF!="Muy Baja",Riesgos!#REF!="Moderado"),CONCATENATE("R9C",Riesgos!#REF!),"")</f>
        <v>#REF!</v>
      </c>
      <c r="Z54" s="68" t="e">
        <f>IF(AND(Riesgos!#REF!="Muy Baja",Riesgos!#REF!="Moderado"),CONCATENATE("R9C",Riesgos!#REF!),"")</f>
        <v>#REF!</v>
      </c>
      <c r="AA54" s="69" t="e">
        <f>IF(AND(Riesgos!#REF!="Muy Baja",Riesgos!#REF!="Moderado"),CONCATENATE("R9C",Riesgos!#REF!),"")</f>
        <v>#REF!</v>
      </c>
      <c r="AB54" s="57" t="e">
        <f>IF(AND(Riesgos!#REF!="Muy Baja",Riesgos!#REF!="Mayor"),CONCATENATE("R9C",Riesgos!#REF!),"")</f>
        <v>#REF!</v>
      </c>
      <c r="AC54" s="58" t="e">
        <f>IF(AND(Riesgos!#REF!="Muy Baja",Riesgos!#REF!="Mayor"),CONCATENATE("R9C",Riesgos!#REF!),"")</f>
        <v>#REF!</v>
      </c>
      <c r="AD54" s="60" t="e">
        <f>IF(AND(Riesgos!#REF!="Muy Baja",Riesgos!#REF!="Mayor"),CONCATENATE("R9C",Riesgos!#REF!),"")</f>
        <v>#REF!</v>
      </c>
      <c r="AE54" s="60" t="e">
        <f>IF(AND(Riesgos!#REF!="Muy Baja",Riesgos!#REF!="Mayor"),CONCATENATE("R9C",Riesgos!#REF!),"")</f>
        <v>#REF!</v>
      </c>
      <c r="AF54" s="60" t="e">
        <f>IF(AND(Riesgos!#REF!="Muy Baja",Riesgos!#REF!="Mayor"),CONCATENATE("R9C",Riesgos!#REF!),"")</f>
        <v>#REF!</v>
      </c>
      <c r="AG54" s="59" t="e">
        <f>IF(AND(Riesgos!#REF!="Muy Baja",Riesgos!#REF!="Mayor"),CONCATENATE("R9C",Riesgos!#REF!),"")</f>
        <v>#REF!</v>
      </c>
      <c r="AH54" s="86" t="e">
        <f>IF(AND(Riesgos!#REF!="Muy Baja",Riesgos!#REF!="Catastrófico"),CONCATENATE("R9C",Riesgos!#REF!),"")</f>
        <v>#REF!</v>
      </c>
      <c r="AI54" s="87" t="e">
        <f>IF(AND(Riesgos!#REF!="Muy Baja",Riesgos!#REF!="Catastrófico"),CONCATENATE("R9C",Riesgos!#REF!),"")</f>
        <v>#REF!</v>
      </c>
      <c r="AJ54" s="87" t="e">
        <f>IF(AND(Riesgos!#REF!="Muy Baja",Riesgos!#REF!="Catastrófico"),CONCATENATE("R9C",Riesgos!#REF!),"")</f>
        <v>#REF!</v>
      </c>
      <c r="AK54" s="87" t="e">
        <f>IF(AND(Riesgos!#REF!="Muy Baja",Riesgos!#REF!="Catastrófico"),CONCATENATE("R9C",Riesgos!#REF!),"")</f>
        <v>#REF!</v>
      </c>
      <c r="AL54" s="87" t="e">
        <f>IF(AND(Riesgos!#REF!="Muy Baja",Riesgos!#REF!="Catastrófico"),CONCATENATE("R9C",Riesgos!#REF!),"")</f>
        <v>#REF!</v>
      </c>
      <c r="AM54" s="88" t="e">
        <f>IF(AND(Riesgos!#REF!="Muy Baja",Riesgos!#REF!="Catastrófico"),CONCATENATE("R9C",Riesgos!#REF!),"")</f>
        <v>#REF!</v>
      </c>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row>
    <row r="55" spans="1:80" ht="15.75" customHeight="1">
      <c r="A55" s="18"/>
      <c r="B55" s="826"/>
      <c r="C55" s="826"/>
      <c r="D55" s="827"/>
      <c r="E55" s="837"/>
      <c r="F55" s="838"/>
      <c r="G55" s="838"/>
      <c r="H55" s="838"/>
      <c r="I55" s="839"/>
      <c r="J55" s="79" t="e">
        <f>IF(AND(Riesgos!#REF!="Muy Baja",Riesgos!#REF!="Leve"),CONCATENATE("R10C",Riesgos!#REF!),"")</f>
        <v>#REF!</v>
      </c>
      <c r="K55" s="80" t="e">
        <f>IF(AND(Riesgos!#REF!="Muy Baja",Riesgos!#REF!="Leve"),CONCATENATE("R10C",Riesgos!#REF!),"")</f>
        <v>#REF!</v>
      </c>
      <c r="L55" s="80" t="e">
        <f>IF(AND(Riesgos!#REF!="Muy Baja",Riesgos!#REF!="Leve"),CONCATENATE("R10C",Riesgos!#REF!),"")</f>
        <v>#REF!</v>
      </c>
      <c r="M55" s="80" t="e">
        <f>IF(AND(Riesgos!#REF!="Muy Baja",Riesgos!#REF!="Leve"),CONCATENATE("R10C",Riesgos!#REF!),"")</f>
        <v>#REF!</v>
      </c>
      <c r="N55" s="80" t="e">
        <f>IF(AND(Riesgos!#REF!="Muy Baja",Riesgos!#REF!="Leve"),CONCATENATE("R10C",Riesgos!#REF!),"")</f>
        <v>#REF!</v>
      </c>
      <c r="O55" s="81" t="e">
        <f>IF(AND(Riesgos!#REF!="Muy Baja",Riesgos!#REF!="Leve"),CONCATENATE("R10C",Riesgos!#REF!),"")</f>
        <v>#REF!</v>
      </c>
      <c r="P55" s="79" t="e">
        <f>IF(AND(Riesgos!#REF!="Muy Baja",Riesgos!#REF!="Menor"),CONCATENATE("R10C",Riesgos!#REF!),"")</f>
        <v>#REF!</v>
      </c>
      <c r="Q55" s="80" t="e">
        <f>IF(AND(Riesgos!#REF!="Muy Baja",Riesgos!#REF!="Menor"),CONCATENATE("R10C",Riesgos!#REF!),"")</f>
        <v>#REF!</v>
      </c>
      <c r="R55" s="80" t="e">
        <f>IF(AND(Riesgos!#REF!="Muy Baja",Riesgos!#REF!="Menor"),CONCATENATE("R10C",Riesgos!#REF!),"")</f>
        <v>#REF!</v>
      </c>
      <c r="S55" s="80" t="e">
        <f>IF(AND(Riesgos!#REF!="Muy Baja",Riesgos!#REF!="Menor"),CONCATENATE("R10C",Riesgos!#REF!),"")</f>
        <v>#REF!</v>
      </c>
      <c r="T55" s="80" t="e">
        <f>IF(AND(Riesgos!#REF!="Muy Baja",Riesgos!#REF!="Menor"),CONCATENATE("R10C",Riesgos!#REF!),"")</f>
        <v>#REF!</v>
      </c>
      <c r="U55" s="81" t="e">
        <f>IF(AND(Riesgos!#REF!="Muy Baja",Riesgos!#REF!="Menor"),CONCATENATE("R10C",Riesgos!#REF!),"")</f>
        <v>#REF!</v>
      </c>
      <c r="V55" s="70" t="e">
        <f>IF(AND(Riesgos!#REF!="Muy Baja",Riesgos!#REF!="Moderado"),CONCATENATE("R10C",Riesgos!#REF!),"")</f>
        <v>#REF!</v>
      </c>
      <c r="W55" s="71" t="e">
        <f>IF(AND(Riesgos!#REF!="Muy Baja",Riesgos!#REF!="Moderado"),CONCATENATE("R10C",Riesgos!#REF!),"")</f>
        <v>#REF!</v>
      </c>
      <c r="X55" s="71" t="e">
        <f>IF(AND(Riesgos!#REF!="Muy Baja",Riesgos!#REF!="Moderado"),CONCATENATE("R10C",Riesgos!#REF!),"")</f>
        <v>#REF!</v>
      </c>
      <c r="Y55" s="71" t="e">
        <f>IF(AND(Riesgos!#REF!="Muy Baja",Riesgos!#REF!="Moderado"),CONCATENATE("R10C",Riesgos!#REF!),"")</f>
        <v>#REF!</v>
      </c>
      <c r="Z55" s="71" t="e">
        <f>IF(AND(Riesgos!#REF!="Muy Baja",Riesgos!#REF!="Moderado"),CONCATENATE("R10C",Riesgos!#REF!),"")</f>
        <v>#REF!</v>
      </c>
      <c r="AA55" s="72" t="e">
        <f>IF(AND(Riesgos!#REF!="Muy Baja",Riesgos!#REF!="Moderado"),CONCATENATE("R10C",Riesgos!#REF!),"")</f>
        <v>#REF!</v>
      </c>
      <c r="AB55" s="61" t="e">
        <f>IF(AND(Riesgos!#REF!="Muy Baja",Riesgos!#REF!="Mayor"),CONCATENATE("R10C",Riesgos!#REF!),"")</f>
        <v>#REF!</v>
      </c>
      <c r="AC55" s="62" t="e">
        <f>IF(AND(Riesgos!#REF!="Muy Baja",Riesgos!#REF!="Mayor"),CONCATENATE("R10C",Riesgos!#REF!),"")</f>
        <v>#REF!</v>
      </c>
      <c r="AD55" s="62" t="e">
        <f>IF(AND(Riesgos!#REF!="Muy Baja",Riesgos!#REF!="Mayor"),CONCATENATE("R10C",Riesgos!#REF!),"")</f>
        <v>#REF!</v>
      </c>
      <c r="AE55" s="62" t="e">
        <f>IF(AND(Riesgos!#REF!="Muy Baja",Riesgos!#REF!="Mayor"),CONCATENATE("R10C",Riesgos!#REF!),"")</f>
        <v>#REF!</v>
      </c>
      <c r="AF55" s="62" t="e">
        <f>IF(AND(Riesgos!#REF!="Muy Baja",Riesgos!#REF!="Mayor"),CONCATENATE("R10C",Riesgos!#REF!),"")</f>
        <v>#REF!</v>
      </c>
      <c r="AG55" s="63" t="e">
        <f>IF(AND(Riesgos!#REF!="Muy Baja",Riesgos!#REF!="Mayor"),CONCATENATE("R10C",Riesgos!#REF!),"")</f>
        <v>#REF!</v>
      </c>
      <c r="AH55" s="89" t="e">
        <f>IF(AND(Riesgos!#REF!="Muy Baja",Riesgos!#REF!="Catastrófico"),CONCATENATE("R10C",Riesgos!#REF!),"")</f>
        <v>#REF!</v>
      </c>
      <c r="AI55" s="90" t="e">
        <f>IF(AND(Riesgos!#REF!="Muy Baja",Riesgos!#REF!="Catastrófico"),CONCATENATE("R10C",Riesgos!#REF!),"")</f>
        <v>#REF!</v>
      </c>
      <c r="AJ55" s="90" t="e">
        <f>IF(AND(Riesgos!#REF!="Muy Baja",Riesgos!#REF!="Catastrófico"),CONCATENATE("R10C",Riesgos!#REF!),"")</f>
        <v>#REF!</v>
      </c>
      <c r="AK55" s="90" t="e">
        <f>IF(AND(Riesgos!#REF!="Muy Baja",Riesgos!#REF!="Catastrófico"),CONCATENATE("R10C",Riesgos!#REF!),"")</f>
        <v>#REF!</v>
      </c>
      <c r="AL55" s="90" t="e">
        <f>IF(AND(Riesgos!#REF!="Muy Baja",Riesgos!#REF!="Catastrófico"),CONCATENATE("R10C",Riesgos!#REF!),"")</f>
        <v>#REF!</v>
      </c>
      <c r="AM55" s="91" t="e">
        <f>IF(AND(Riesgos!#REF!="Muy Baja",Riesgos!#REF!="Catastrófico"),CONCATENATE("R10C",Riesgos!#REF!),"")</f>
        <v>#REF!</v>
      </c>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row>
    <row r="56" spans="1:80">
      <c r="A56" s="18"/>
      <c r="B56" s="18"/>
      <c r="C56" s="18"/>
      <c r="D56" s="18"/>
      <c r="E56" s="18"/>
      <c r="F56" s="18"/>
      <c r="G56" s="18"/>
      <c r="H56" s="18"/>
      <c r="I56" s="18"/>
      <c r="J56" s="831" t="s">
        <v>1534</v>
      </c>
      <c r="K56" s="832"/>
      <c r="L56" s="832"/>
      <c r="M56" s="832"/>
      <c r="N56" s="832"/>
      <c r="O56" s="833"/>
      <c r="P56" s="831" t="s">
        <v>1535</v>
      </c>
      <c r="Q56" s="832"/>
      <c r="R56" s="832"/>
      <c r="S56" s="832"/>
      <c r="T56" s="832"/>
      <c r="U56" s="833"/>
      <c r="V56" s="831" t="s">
        <v>1536</v>
      </c>
      <c r="W56" s="832"/>
      <c r="X56" s="832"/>
      <c r="Y56" s="832"/>
      <c r="Z56" s="832"/>
      <c r="AA56" s="833"/>
      <c r="AB56" s="831" t="s">
        <v>1537</v>
      </c>
      <c r="AC56" s="840"/>
      <c r="AD56" s="832"/>
      <c r="AE56" s="832"/>
      <c r="AF56" s="832"/>
      <c r="AG56" s="833"/>
      <c r="AH56" s="831" t="s">
        <v>1538</v>
      </c>
      <c r="AI56" s="832"/>
      <c r="AJ56" s="832"/>
      <c r="AK56" s="832"/>
      <c r="AL56" s="832"/>
      <c r="AM56" s="833"/>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row>
    <row r="57" spans="1:80">
      <c r="A57" s="18"/>
      <c r="B57" s="18"/>
      <c r="C57" s="18"/>
      <c r="D57" s="18"/>
      <c r="E57" s="18"/>
      <c r="F57" s="18"/>
      <c r="G57" s="18"/>
      <c r="H57" s="18"/>
      <c r="I57" s="18"/>
      <c r="J57" s="834"/>
      <c r="K57" s="835"/>
      <c r="L57" s="835"/>
      <c r="M57" s="835"/>
      <c r="N57" s="835"/>
      <c r="O57" s="836"/>
      <c r="P57" s="834"/>
      <c r="Q57" s="835"/>
      <c r="R57" s="835"/>
      <c r="S57" s="835"/>
      <c r="T57" s="835"/>
      <c r="U57" s="836"/>
      <c r="V57" s="834"/>
      <c r="W57" s="835"/>
      <c r="X57" s="835"/>
      <c r="Y57" s="835"/>
      <c r="Z57" s="835"/>
      <c r="AA57" s="836"/>
      <c r="AB57" s="834"/>
      <c r="AC57" s="835"/>
      <c r="AD57" s="835"/>
      <c r="AE57" s="835"/>
      <c r="AF57" s="835"/>
      <c r="AG57" s="836"/>
      <c r="AH57" s="834"/>
      <c r="AI57" s="835"/>
      <c r="AJ57" s="835"/>
      <c r="AK57" s="835"/>
      <c r="AL57" s="835"/>
      <c r="AM57" s="836"/>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row>
    <row r="58" spans="1:80">
      <c r="A58" s="18"/>
      <c r="B58" s="18"/>
      <c r="C58" s="18"/>
      <c r="D58" s="18"/>
      <c r="E58" s="18"/>
      <c r="F58" s="18"/>
      <c r="G58" s="18"/>
      <c r="H58" s="18"/>
      <c r="I58" s="18"/>
      <c r="J58" s="834"/>
      <c r="K58" s="835"/>
      <c r="L58" s="835"/>
      <c r="M58" s="835"/>
      <c r="N58" s="835"/>
      <c r="O58" s="836"/>
      <c r="P58" s="834"/>
      <c r="Q58" s="835"/>
      <c r="R58" s="835"/>
      <c r="S58" s="835"/>
      <c r="T58" s="835"/>
      <c r="U58" s="836"/>
      <c r="V58" s="834"/>
      <c r="W58" s="835"/>
      <c r="X58" s="835"/>
      <c r="Y58" s="835"/>
      <c r="Z58" s="835"/>
      <c r="AA58" s="836"/>
      <c r="AB58" s="834"/>
      <c r="AC58" s="835"/>
      <c r="AD58" s="835"/>
      <c r="AE58" s="835"/>
      <c r="AF58" s="835"/>
      <c r="AG58" s="836"/>
      <c r="AH58" s="834"/>
      <c r="AI58" s="835"/>
      <c r="AJ58" s="835"/>
      <c r="AK58" s="835"/>
      <c r="AL58" s="835"/>
      <c r="AM58" s="836"/>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row>
    <row r="59" spans="1:80">
      <c r="A59" s="18"/>
      <c r="B59" s="18"/>
      <c r="C59" s="18"/>
      <c r="D59" s="18"/>
      <c r="E59" s="18"/>
      <c r="F59" s="18"/>
      <c r="G59" s="18"/>
      <c r="H59" s="18"/>
      <c r="I59" s="18"/>
      <c r="J59" s="834"/>
      <c r="K59" s="835"/>
      <c r="L59" s="835"/>
      <c r="M59" s="835"/>
      <c r="N59" s="835"/>
      <c r="O59" s="836"/>
      <c r="P59" s="834"/>
      <c r="Q59" s="835"/>
      <c r="R59" s="835"/>
      <c r="S59" s="835"/>
      <c r="T59" s="835"/>
      <c r="U59" s="836"/>
      <c r="V59" s="834"/>
      <c r="W59" s="835"/>
      <c r="X59" s="835"/>
      <c r="Y59" s="835"/>
      <c r="Z59" s="835"/>
      <c r="AA59" s="836"/>
      <c r="AB59" s="834"/>
      <c r="AC59" s="835"/>
      <c r="AD59" s="835"/>
      <c r="AE59" s="835"/>
      <c r="AF59" s="835"/>
      <c r="AG59" s="836"/>
      <c r="AH59" s="834"/>
      <c r="AI59" s="835"/>
      <c r="AJ59" s="835"/>
      <c r="AK59" s="835"/>
      <c r="AL59" s="835"/>
      <c r="AM59" s="836"/>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row>
    <row r="60" spans="1:80">
      <c r="A60" s="18"/>
      <c r="B60" s="18"/>
      <c r="C60" s="18"/>
      <c r="D60" s="18"/>
      <c r="E60" s="18"/>
      <c r="F60" s="18"/>
      <c r="G60" s="18"/>
      <c r="H60" s="18"/>
      <c r="I60" s="18"/>
      <c r="J60" s="834"/>
      <c r="K60" s="835"/>
      <c r="L60" s="835"/>
      <c r="M60" s="835"/>
      <c r="N60" s="835"/>
      <c r="O60" s="836"/>
      <c r="P60" s="834"/>
      <c r="Q60" s="835"/>
      <c r="R60" s="835"/>
      <c r="S60" s="835"/>
      <c r="T60" s="835"/>
      <c r="U60" s="836"/>
      <c r="V60" s="834"/>
      <c r="W60" s="835"/>
      <c r="X60" s="835"/>
      <c r="Y60" s="835"/>
      <c r="Z60" s="835"/>
      <c r="AA60" s="836"/>
      <c r="AB60" s="834"/>
      <c r="AC60" s="835"/>
      <c r="AD60" s="835"/>
      <c r="AE60" s="835"/>
      <c r="AF60" s="835"/>
      <c r="AG60" s="836"/>
      <c r="AH60" s="834"/>
      <c r="AI60" s="835"/>
      <c r="AJ60" s="835"/>
      <c r="AK60" s="835"/>
      <c r="AL60" s="835"/>
      <c r="AM60" s="836"/>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row>
    <row r="61" spans="1:80">
      <c r="A61" s="18"/>
      <c r="B61" s="18"/>
      <c r="C61" s="18"/>
      <c r="D61" s="18"/>
      <c r="E61" s="18"/>
      <c r="F61" s="18"/>
      <c r="G61" s="18"/>
      <c r="H61" s="18"/>
      <c r="I61" s="18"/>
      <c r="J61" s="837"/>
      <c r="K61" s="838"/>
      <c r="L61" s="838"/>
      <c r="M61" s="838"/>
      <c r="N61" s="838"/>
      <c r="O61" s="839"/>
      <c r="P61" s="837"/>
      <c r="Q61" s="838"/>
      <c r="R61" s="838"/>
      <c r="S61" s="838"/>
      <c r="T61" s="838"/>
      <c r="U61" s="839"/>
      <c r="V61" s="837"/>
      <c r="W61" s="838"/>
      <c r="X61" s="838"/>
      <c r="Y61" s="838"/>
      <c r="Z61" s="838"/>
      <c r="AA61" s="839"/>
      <c r="AB61" s="837"/>
      <c r="AC61" s="838"/>
      <c r="AD61" s="838"/>
      <c r="AE61" s="838"/>
      <c r="AF61" s="838"/>
      <c r="AG61" s="839"/>
      <c r="AH61" s="837"/>
      <c r="AI61" s="838"/>
      <c r="AJ61" s="838"/>
      <c r="AK61" s="838"/>
      <c r="AL61" s="838"/>
      <c r="AM61" s="839"/>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row>
    <row r="62" spans="1:80">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row>
    <row r="63" spans="1:80" ht="15" customHeight="1">
      <c r="A63" s="18"/>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18"/>
      <c r="AV63" s="18"/>
      <c r="AW63" s="18"/>
      <c r="AX63" s="18"/>
      <c r="AY63" s="18"/>
      <c r="AZ63" s="18"/>
      <c r="BA63" s="18"/>
      <c r="BB63" s="18"/>
      <c r="BC63" s="18"/>
      <c r="BD63" s="18"/>
      <c r="BE63" s="18"/>
      <c r="BF63" s="18"/>
      <c r="BG63" s="18"/>
      <c r="BH63" s="18"/>
    </row>
    <row r="64" spans="1:80" ht="15" customHeight="1">
      <c r="A64" s="18"/>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18"/>
      <c r="AV64" s="18"/>
      <c r="AW64" s="18"/>
      <c r="AX64" s="18"/>
      <c r="AY64" s="18"/>
      <c r="AZ64" s="18"/>
      <c r="BA64" s="18"/>
      <c r="BB64" s="18"/>
      <c r="BC64" s="18"/>
      <c r="BD64" s="18"/>
      <c r="BE64" s="18"/>
      <c r="BF64" s="18"/>
      <c r="BG64" s="18"/>
      <c r="BH64" s="18"/>
    </row>
    <row r="65" spans="1:60">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row>
    <row r="66" spans="1:60">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row>
    <row r="67" spans="1:60">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row>
    <row r="68" spans="1:60">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row>
    <row r="69" spans="1:60">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row>
    <row r="70" spans="1:60">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row>
    <row r="71" spans="1:60">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row>
    <row r="72" spans="1:60">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row>
    <row r="73" spans="1:60">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row>
    <row r="74" spans="1:60">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row>
    <row r="75" spans="1:60">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row>
    <row r="76" spans="1:60">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row>
    <row r="77" spans="1:60">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row>
    <row r="78" spans="1:60">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row>
    <row r="79" spans="1:60">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row>
    <row r="80" spans="1:60">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row>
    <row r="81" spans="1:60">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row>
    <row r="82" spans="1:60">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row>
    <row r="83" spans="1:60">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row>
    <row r="84" spans="1:60">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row>
    <row r="85" spans="1:60">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row>
    <row r="86" spans="1:60">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row>
    <row r="87" spans="1:60">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row>
    <row r="88" spans="1:60">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row>
    <row r="89" spans="1:60">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row>
    <row r="90" spans="1:60">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row>
    <row r="91" spans="1:60">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row>
    <row r="92" spans="1:60">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row>
    <row r="93" spans="1:60">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row>
    <row r="94" spans="1:60">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row>
    <row r="95" spans="1:60">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row>
    <row r="96" spans="1:60">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row>
    <row r="97" spans="1:60">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row>
    <row r="98" spans="1:60">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row>
    <row r="99" spans="1:60">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row>
    <row r="100" spans="1:60">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row>
    <row r="101" spans="1:60">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row>
    <row r="102" spans="1:60">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row>
    <row r="103" spans="1:60">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row>
    <row r="104" spans="1:60">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row>
    <row r="105" spans="1:60">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row>
    <row r="106" spans="1:60">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row>
    <row r="107" spans="1:60">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row>
    <row r="108" spans="1:60">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row>
    <row r="109" spans="1:60">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row>
    <row r="110" spans="1:60">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row>
    <row r="111" spans="1:60">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row>
    <row r="112" spans="1:60">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row>
    <row r="113" spans="1:60">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row>
    <row r="114" spans="1:60">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row>
    <row r="115" spans="1:60">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row>
    <row r="116" spans="1:60">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row>
    <row r="117" spans="1:60">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row>
    <row r="118" spans="1:60">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row>
    <row r="119" spans="1:60">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row>
    <row r="120" spans="1:60">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row>
    <row r="121" spans="1:60">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row>
    <row r="122" spans="1:60">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row>
    <row r="123" spans="1:60">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row>
    <row r="124" spans="1:60">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row>
    <row r="125" spans="1:60">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row>
    <row r="126" spans="1:60">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row>
    <row r="127" spans="1:60">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row>
    <row r="128" spans="1:60">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row>
    <row r="129" spans="1:60">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row>
    <row r="130" spans="1:60">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row>
    <row r="131" spans="1:60">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row>
    <row r="132" spans="1:60">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row>
    <row r="133" spans="1:60">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row>
    <row r="134" spans="1:60">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row>
    <row r="135" spans="1:60">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row>
    <row r="136" spans="1:60">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row>
    <row r="137" spans="1:60">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row>
    <row r="138" spans="1:60">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row>
    <row r="139" spans="1:60">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row>
    <row r="140" spans="1:60">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row>
    <row r="141" spans="1:60">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row>
    <row r="142" spans="1:60">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row>
    <row r="143" spans="1:60">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row>
    <row r="144" spans="1:60">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row>
    <row r="145" spans="1:60">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row>
    <row r="146" spans="1:60">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row>
    <row r="147" spans="1:60">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row>
    <row r="148" spans="1:60">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row>
    <row r="149" spans="1:60">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row>
    <row r="150" spans="1:60">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row>
    <row r="151" spans="1:60">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row>
    <row r="152" spans="1:60">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row>
    <row r="153" spans="1:60">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row>
    <row r="154" spans="1:60">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row>
    <row r="155" spans="1:60">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row>
    <row r="156" spans="1:60">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row>
    <row r="157" spans="1:60">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row>
    <row r="158" spans="1:60">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row>
    <row r="159" spans="1:60">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row>
    <row r="160" spans="1:60">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row>
    <row r="161" spans="1:60">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row>
    <row r="162" spans="1:60">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row>
    <row r="163" spans="1:60">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row>
    <row r="164" spans="1:60">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row>
    <row r="165" spans="1:60">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row>
    <row r="166" spans="1:60">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row>
    <row r="167" spans="1:60">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row>
    <row r="168" spans="1:60">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row>
    <row r="169" spans="1:60">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row>
    <row r="170" spans="1:60">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row>
    <row r="171" spans="1:60">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row>
    <row r="172" spans="1:60">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row>
    <row r="173" spans="1:60">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row>
    <row r="174" spans="1:60">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row>
    <row r="175" spans="1:60">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row>
    <row r="176" spans="1:60">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row>
    <row r="177" spans="1:60">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row>
    <row r="178" spans="1:60">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row>
    <row r="179" spans="1:60">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row>
    <row r="180" spans="1:60">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row>
    <row r="181" spans="1:60">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row>
    <row r="182" spans="1:60">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row>
    <row r="183" spans="1:60">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row>
    <row r="184" spans="1:60">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row>
    <row r="185" spans="1:60">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row>
    <row r="186" spans="1:60">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row>
    <row r="187" spans="1:60">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row>
    <row r="188" spans="1:60">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row>
    <row r="189" spans="1:60">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row>
    <row r="190" spans="1:60">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row>
    <row r="191" spans="1:60">
      <c r="A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row>
    <row r="192" spans="1:60">
      <c r="A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row>
    <row r="193" spans="1:60">
      <c r="A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row>
    <row r="194" spans="1:60">
      <c r="A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row>
    <row r="195" spans="1:60">
      <c r="A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row>
    <row r="196" spans="1:60">
      <c r="A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row>
    <row r="197" spans="1:60">
      <c r="A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row>
    <row r="198" spans="1:60">
      <c r="A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row>
    <row r="199" spans="1:60">
      <c r="A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row>
    <row r="200" spans="1:60">
      <c r="A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row>
    <row r="201" spans="1:60">
      <c r="A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row>
    <row r="202" spans="1:60">
      <c r="A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row>
    <row r="203" spans="1:60">
      <c r="A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row>
    <row r="204" spans="1:60">
      <c r="A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row>
    <row r="205" spans="1:60">
      <c r="A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row>
    <row r="206" spans="1:60">
      <c r="A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row>
    <row r="207" spans="1:60">
      <c r="A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row>
    <row r="208" spans="1:60">
      <c r="A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row>
    <row r="209" spans="1:60">
      <c r="A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row>
    <row r="210" spans="1:60">
      <c r="A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row>
    <row r="211" spans="1:60">
      <c r="A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row>
    <row r="212" spans="1:60">
      <c r="A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row>
    <row r="213" spans="1:60">
      <c r="A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row>
    <row r="214" spans="1:60">
      <c r="A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8"/>
      <c r="BG214" s="18"/>
      <c r="BH214" s="18"/>
    </row>
    <row r="215" spans="1:60">
      <c r="A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row>
    <row r="216" spans="1:60">
      <c r="A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row>
    <row r="217" spans="1:60">
      <c r="A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row>
    <row r="218" spans="1:60">
      <c r="A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8"/>
      <c r="BG218" s="18"/>
      <c r="BH218" s="18"/>
    </row>
    <row r="219" spans="1:60">
      <c r="A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row>
    <row r="220" spans="1:60">
      <c r="A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BG220" s="18"/>
      <c r="BH220" s="18"/>
    </row>
    <row r="221" spans="1:60">
      <c r="A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row>
    <row r="222" spans="1:60">
      <c r="A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row>
    <row r="223" spans="1:60">
      <c r="A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row>
    <row r="224" spans="1:60">
      <c r="A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row>
    <row r="225" spans="1:60">
      <c r="A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row>
    <row r="226" spans="1:60">
      <c r="A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row>
    <row r="227" spans="1:60">
      <c r="A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row>
    <row r="228" spans="1:60">
      <c r="A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row>
    <row r="229" spans="1:60">
      <c r="A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row>
    <row r="230" spans="1:60">
      <c r="A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row>
    <row r="231" spans="1:60">
      <c r="A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row>
    <row r="232" spans="1:60">
      <c r="A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row>
    <row r="233" spans="1:60">
      <c r="A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row>
    <row r="234" spans="1:60">
      <c r="A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row>
    <row r="235" spans="1:60">
      <c r="A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row>
    <row r="236" spans="1:60">
      <c r="A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row>
    <row r="237" spans="1:60">
      <c r="A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row>
    <row r="238" spans="1:60">
      <c r="A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row>
    <row r="239" spans="1:60">
      <c r="A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row>
    <row r="240" spans="1:60">
      <c r="A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row>
    <row r="241" spans="1:60">
      <c r="A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row>
    <row r="242" spans="1:60">
      <c r="A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BG242" s="18"/>
      <c r="BH242" s="18"/>
    </row>
    <row r="243" spans="1:60">
      <c r="A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row>
    <row r="244" spans="1:60">
      <c r="A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row>
    <row r="245" spans="1:60">
      <c r="A245" s="18"/>
    </row>
    <row r="246" spans="1:60">
      <c r="A246" s="18"/>
    </row>
    <row r="247" spans="1:60">
      <c r="A247" s="18"/>
    </row>
    <row r="248" spans="1:60">
      <c r="A248" s="18"/>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5"/>
  <sheetViews>
    <sheetView zoomScale="90" zoomScaleNormal="90" workbookViewId="0">
      <selection sqref="A1:XFD1048576"/>
    </sheetView>
  </sheetViews>
  <sheetFormatPr baseColWidth="10" defaultColWidth="11" defaultRowHeight="15"/>
  <cols>
    <col min="2" max="2" width="24.140625" customWidth="1"/>
    <col min="3" max="3" width="70.140625" customWidth="1"/>
    <col min="4" max="4" width="29.85546875" customWidth="1"/>
  </cols>
  <sheetData>
    <row r="1" spans="1:37" ht="23.25">
      <c r="A1" s="18"/>
      <c r="B1" s="881" t="s">
        <v>1540</v>
      </c>
      <c r="C1" s="881"/>
      <c r="D1" s="881"/>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7">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row>
    <row r="3" spans="1:37" ht="25.5">
      <c r="A3" s="18"/>
      <c r="B3" s="41"/>
      <c r="C3" s="42" t="s">
        <v>1541</v>
      </c>
      <c r="D3" s="42" t="s">
        <v>1233</v>
      </c>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1:37" ht="51">
      <c r="A4" s="18"/>
      <c r="B4" s="43" t="s">
        <v>1448</v>
      </c>
      <c r="C4" s="44" t="s">
        <v>1542</v>
      </c>
      <c r="D4" s="45">
        <v>0.2</v>
      </c>
      <c r="E4" s="18"/>
      <c r="F4" s="18"/>
      <c r="G4" s="18"/>
      <c r="H4" s="18"/>
      <c r="I4" s="18"/>
      <c r="J4" s="18"/>
      <c r="K4" s="18"/>
      <c r="L4" s="18"/>
      <c r="M4" s="18"/>
      <c r="N4" s="18"/>
      <c r="O4" s="18"/>
      <c r="P4" s="18"/>
      <c r="Q4" s="18"/>
      <c r="R4" s="18"/>
      <c r="S4" s="18"/>
      <c r="T4" s="18"/>
      <c r="U4" s="18"/>
      <c r="V4" s="18"/>
      <c r="W4" s="18"/>
      <c r="X4" s="18"/>
      <c r="Y4" s="18"/>
      <c r="Z4" s="18"/>
      <c r="AA4" s="18"/>
      <c r="AB4" s="18"/>
      <c r="AC4" s="18"/>
      <c r="AD4" s="18"/>
      <c r="AE4" s="18"/>
    </row>
    <row r="5" spans="1:37" ht="51">
      <c r="A5" s="18"/>
      <c r="B5" s="46" t="s">
        <v>1459</v>
      </c>
      <c r="C5" s="47" t="s">
        <v>1543</v>
      </c>
      <c r="D5" s="48">
        <v>0.4</v>
      </c>
      <c r="E5" s="18"/>
      <c r="F5" s="18"/>
      <c r="G5" s="18"/>
      <c r="H5" s="18"/>
      <c r="I5" s="18"/>
      <c r="J5" s="18"/>
      <c r="K5" s="18"/>
      <c r="L5" s="18"/>
      <c r="M5" s="18"/>
      <c r="N5" s="18"/>
      <c r="O5" s="18"/>
      <c r="P5" s="18"/>
      <c r="Q5" s="18"/>
      <c r="R5" s="18"/>
      <c r="S5" s="18"/>
      <c r="T5" s="18"/>
      <c r="U5" s="18"/>
      <c r="V5" s="18"/>
      <c r="W5" s="18"/>
      <c r="X5" s="18"/>
      <c r="Y5" s="18"/>
      <c r="Z5" s="18"/>
      <c r="AA5" s="18"/>
      <c r="AB5" s="18"/>
      <c r="AC5" s="18"/>
      <c r="AD5" s="18"/>
      <c r="AE5" s="18"/>
    </row>
    <row r="6" spans="1:37" ht="51">
      <c r="A6" s="18"/>
      <c r="B6" s="49" t="s">
        <v>1470</v>
      </c>
      <c r="C6" s="47" t="s">
        <v>1544</v>
      </c>
      <c r="D6" s="48">
        <v>0.6</v>
      </c>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7" ht="76.5">
      <c r="A7" s="18"/>
      <c r="B7" s="50" t="s">
        <v>1482</v>
      </c>
      <c r="C7" s="47" t="s">
        <v>1545</v>
      </c>
      <c r="D7" s="48">
        <v>0.8</v>
      </c>
      <c r="E7" s="18"/>
      <c r="F7" s="18"/>
      <c r="G7" s="18"/>
      <c r="H7" s="18"/>
      <c r="I7" s="18"/>
      <c r="J7" s="18"/>
      <c r="K7" s="18"/>
      <c r="L7" s="18"/>
      <c r="M7" s="18"/>
      <c r="N7" s="18"/>
      <c r="O7" s="18"/>
      <c r="P7" s="18"/>
      <c r="Q7" s="18"/>
      <c r="R7" s="18"/>
      <c r="S7" s="18"/>
      <c r="T7" s="18"/>
      <c r="U7" s="18"/>
      <c r="V7" s="18"/>
      <c r="W7" s="18"/>
      <c r="X7" s="18"/>
      <c r="Y7" s="18"/>
      <c r="Z7" s="18"/>
      <c r="AA7" s="18"/>
      <c r="AB7" s="18"/>
      <c r="AC7" s="18"/>
      <c r="AD7" s="18"/>
      <c r="AE7" s="18"/>
    </row>
    <row r="8" spans="1:37" ht="51">
      <c r="A8" s="18"/>
      <c r="B8" s="51" t="s">
        <v>1490</v>
      </c>
      <c r="C8" s="47" t="s">
        <v>1546</v>
      </c>
      <c r="D8" s="48">
        <v>1</v>
      </c>
      <c r="E8" s="18"/>
      <c r="F8" s="18"/>
      <c r="G8" s="18"/>
      <c r="H8" s="18"/>
      <c r="I8" s="18"/>
      <c r="J8" s="18"/>
      <c r="K8" s="18"/>
      <c r="L8" s="18"/>
      <c r="M8" s="18"/>
      <c r="N8" s="18"/>
      <c r="O8" s="18"/>
      <c r="P8" s="18"/>
      <c r="Q8" s="18"/>
      <c r="R8" s="18"/>
      <c r="S8" s="18"/>
      <c r="T8" s="18"/>
      <c r="U8" s="18"/>
      <c r="V8" s="18"/>
      <c r="W8" s="18"/>
      <c r="X8" s="18"/>
      <c r="Y8" s="18"/>
      <c r="Z8" s="18"/>
      <c r="AA8" s="18"/>
      <c r="AB8" s="18"/>
      <c r="AC8" s="18"/>
      <c r="AD8" s="18"/>
      <c r="AE8" s="18"/>
    </row>
    <row r="9" spans="1:37">
      <c r="A9" s="18"/>
      <c r="B9" s="33"/>
      <c r="C9" s="33"/>
      <c r="D9" s="33"/>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row>
    <row r="10" spans="1:37" ht="16.5">
      <c r="A10" s="18"/>
      <c r="B10" s="52"/>
      <c r="C10" s="33"/>
      <c r="D10" s="33"/>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row>
    <row r="11" spans="1:37">
      <c r="A11" s="18"/>
      <c r="B11" s="33"/>
      <c r="C11" s="33"/>
      <c r="D11" s="33"/>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row>
    <row r="12" spans="1:37">
      <c r="A12" s="18"/>
      <c r="B12" s="33"/>
      <c r="C12" s="33"/>
      <c r="D12" s="33"/>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row>
    <row r="13" spans="1:37">
      <c r="A13" s="18"/>
      <c r="B13" s="33"/>
      <c r="C13" s="33"/>
      <c r="D13" s="33"/>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row>
    <row r="14" spans="1:37">
      <c r="A14" s="18"/>
      <c r="B14" s="33"/>
      <c r="C14" s="33"/>
      <c r="D14" s="33"/>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row>
    <row r="15" spans="1:37">
      <c r="A15" s="18"/>
      <c r="B15" s="33"/>
      <c r="C15" s="33"/>
      <c r="D15" s="33"/>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row>
    <row r="16" spans="1:37">
      <c r="A16" s="18"/>
      <c r="B16" s="33"/>
      <c r="C16" s="33"/>
      <c r="D16" s="33"/>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row>
    <row r="17" spans="1:37">
      <c r="A17" s="18"/>
      <c r="B17" s="33"/>
      <c r="C17" s="33"/>
      <c r="D17" s="33"/>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37">
      <c r="A18" s="18"/>
      <c r="B18" s="33"/>
      <c r="C18" s="33"/>
      <c r="D18" s="33"/>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row>
    <row r="19" spans="1:37">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row>
    <row r="20" spans="1:37">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row>
    <row r="21" spans="1:37">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row>
    <row r="22" spans="1:37">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row>
    <row r="23" spans="1:37">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row>
    <row r="24" spans="1:37">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row>
    <row r="25" spans="1:37">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row>
    <row r="26" spans="1:37">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row>
    <row r="27" spans="1:37">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row>
    <row r="28" spans="1:37">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1:37">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1:37">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1:37">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1:37">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1">
      <c r="A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row>
    <row r="34" spans="1:31">
      <c r="A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row>
    <row r="35" spans="1:31">
      <c r="A35" s="18"/>
    </row>
    <row r="36" spans="1:31">
      <c r="A36" s="18"/>
    </row>
    <row r="37" spans="1:31">
      <c r="A37" s="18"/>
    </row>
    <row r="38" spans="1:31">
      <c r="A38" s="18"/>
    </row>
    <row r="39" spans="1:31">
      <c r="A39" s="18"/>
    </row>
    <row r="40" spans="1:31">
      <c r="A40" s="18"/>
    </row>
    <row r="41" spans="1:31">
      <c r="A41" s="18"/>
    </row>
    <row r="42" spans="1:31">
      <c r="A42" s="18"/>
    </row>
    <row r="43" spans="1:31">
      <c r="A43" s="18"/>
    </row>
    <row r="44" spans="1:31">
      <c r="A44" s="18"/>
    </row>
    <row r="45" spans="1:31">
      <c r="A45" s="18"/>
    </row>
    <row r="46" spans="1:31">
      <c r="A46" s="18"/>
    </row>
    <row r="47" spans="1:31">
      <c r="A47" s="18"/>
    </row>
    <row r="48" spans="1:31">
      <c r="A48" s="18"/>
    </row>
    <row r="49" spans="1:1">
      <c r="A49" s="18"/>
    </row>
    <row r="50" spans="1:1">
      <c r="A50" s="18"/>
    </row>
    <row r="51" spans="1:1">
      <c r="A51" s="18"/>
    </row>
    <row r="52" spans="1:1">
      <c r="A52" s="18"/>
    </row>
    <row r="53" spans="1:1">
      <c r="A53" s="18"/>
    </row>
    <row r="54" spans="1:1">
      <c r="A54" s="18"/>
    </row>
    <row r="55" spans="1:1">
      <c r="A55" s="18"/>
    </row>
  </sheetData>
  <mergeCells count="1">
    <mergeCell ref="B1:D1"/>
  </mergeCells>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2"/>
  <sheetViews>
    <sheetView zoomScale="60" zoomScaleNormal="60" workbookViewId="0">
      <selection activeCell="C10" sqref="C10"/>
    </sheetView>
  </sheetViews>
  <sheetFormatPr baseColWidth="10" defaultColWidth="11" defaultRowHeight="15"/>
  <cols>
    <col min="2" max="2" width="40.42578125" customWidth="1"/>
    <col min="3" max="3" width="74.85546875" customWidth="1"/>
    <col min="4" max="4" width="135" customWidth="1"/>
    <col min="5" max="5" width="144.7109375" customWidth="1"/>
  </cols>
  <sheetData>
    <row r="1" spans="1:21" ht="33.75">
      <c r="A1" s="18"/>
      <c r="B1" s="882" t="s">
        <v>1547</v>
      </c>
      <c r="C1" s="882"/>
      <c r="D1" s="882"/>
      <c r="E1" s="18"/>
      <c r="F1" s="18"/>
      <c r="G1" s="18"/>
      <c r="H1" s="18"/>
      <c r="I1" s="18"/>
      <c r="J1" s="18"/>
      <c r="K1" s="18"/>
      <c r="L1" s="18"/>
      <c r="M1" s="18"/>
      <c r="N1" s="18"/>
      <c r="O1" s="18"/>
      <c r="P1" s="18"/>
      <c r="Q1" s="18"/>
      <c r="R1" s="18"/>
      <c r="S1" s="18"/>
      <c r="T1" s="18"/>
      <c r="U1" s="18"/>
    </row>
    <row r="2" spans="1:21">
      <c r="A2" s="18"/>
      <c r="B2" s="18"/>
      <c r="C2" s="18"/>
      <c r="D2" s="18"/>
      <c r="E2" s="18"/>
      <c r="F2" s="18"/>
      <c r="G2" s="18"/>
      <c r="H2" s="18"/>
      <c r="I2" s="18"/>
      <c r="J2" s="18"/>
      <c r="K2" s="18"/>
      <c r="L2" s="18"/>
      <c r="M2" s="18"/>
      <c r="N2" s="18"/>
      <c r="O2" s="18"/>
      <c r="P2" s="18"/>
      <c r="Q2" s="18"/>
      <c r="R2" s="18"/>
      <c r="S2" s="18"/>
      <c r="T2" s="18"/>
      <c r="U2" s="18"/>
    </row>
    <row r="3" spans="1:21" ht="60">
      <c r="A3" s="18"/>
      <c r="B3" s="19"/>
      <c r="C3" s="20" t="s">
        <v>1548</v>
      </c>
      <c r="D3" s="20" t="s">
        <v>1549</v>
      </c>
      <c r="E3" s="18"/>
      <c r="F3" s="18"/>
      <c r="G3" s="18"/>
      <c r="H3" s="18"/>
      <c r="I3" s="18"/>
      <c r="J3" s="18"/>
      <c r="K3" s="18"/>
      <c r="L3" s="18"/>
      <c r="M3" s="18"/>
      <c r="N3" s="18"/>
      <c r="O3" s="18"/>
      <c r="P3" s="18"/>
      <c r="Q3" s="18"/>
      <c r="R3" s="18"/>
      <c r="S3" s="18"/>
      <c r="T3" s="18"/>
      <c r="U3" s="18"/>
    </row>
    <row r="4" spans="1:21" ht="33.75">
      <c r="A4" s="21" t="s">
        <v>1550</v>
      </c>
      <c r="B4" s="22" t="s">
        <v>1551</v>
      </c>
      <c r="C4" s="23" t="s">
        <v>1552</v>
      </c>
      <c r="D4" s="24" t="s">
        <v>1553</v>
      </c>
      <c r="E4" s="18"/>
      <c r="F4" s="18"/>
      <c r="G4" s="18"/>
      <c r="H4" s="18"/>
      <c r="I4" s="18"/>
      <c r="J4" s="18"/>
      <c r="K4" s="18"/>
      <c r="L4" s="18"/>
      <c r="M4" s="18"/>
      <c r="N4" s="18"/>
      <c r="O4" s="18"/>
      <c r="P4" s="18"/>
      <c r="Q4" s="18"/>
      <c r="R4" s="18"/>
      <c r="S4" s="18"/>
      <c r="T4" s="18"/>
      <c r="U4" s="18"/>
    </row>
    <row r="5" spans="1:21" ht="101.25">
      <c r="A5" s="21" t="s">
        <v>1460</v>
      </c>
      <c r="B5" s="25" t="s">
        <v>1554</v>
      </c>
      <c r="C5" s="26" t="s">
        <v>1555</v>
      </c>
      <c r="D5" s="27" t="s">
        <v>1556</v>
      </c>
      <c r="E5" s="18"/>
      <c r="F5" s="18"/>
      <c r="G5" s="18"/>
      <c r="H5" s="18"/>
      <c r="I5" s="18"/>
      <c r="J5" s="18"/>
      <c r="K5" s="18"/>
      <c r="L5" s="18"/>
      <c r="M5" s="18"/>
      <c r="N5" s="18"/>
      <c r="O5" s="18"/>
      <c r="P5" s="18"/>
      <c r="Q5" s="18"/>
      <c r="R5" s="18"/>
      <c r="S5" s="18"/>
      <c r="T5" s="18"/>
      <c r="U5" s="18"/>
    </row>
    <row r="6" spans="1:21" ht="67.5">
      <c r="A6" s="21" t="s">
        <v>1471</v>
      </c>
      <c r="B6" s="28" t="s">
        <v>1557</v>
      </c>
      <c r="C6" s="26" t="s">
        <v>1558</v>
      </c>
      <c r="D6" s="27" t="s">
        <v>1559</v>
      </c>
      <c r="E6" s="18"/>
      <c r="F6" s="18"/>
      <c r="G6" s="18"/>
      <c r="H6" s="18"/>
      <c r="I6" s="18"/>
      <c r="J6" s="18"/>
      <c r="K6" s="18"/>
      <c r="L6" s="18"/>
      <c r="M6" s="18"/>
      <c r="N6" s="18"/>
      <c r="O6" s="18"/>
      <c r="P6" s="18"/>
      <c r="Q6" s="18"/>
      <c r="R6" s="18"/>
      <c r="S6" s="18"/>
      <c r="T6" s="18"/>
      <c r="U6" s="18"/>
    </row>
    <row r="7" spans="1:21" ht="101.25">
      <c r="A7" s="21" t="s">
        <v>1483</v>
      </c>
      <c r="B7" s="29" t="s">
        <v>1560</v>
      </c>
      <c r="C7" s="26" t="s">
        <v>1561</v>
      </c>
      <c r="D7" s="27" t="s">
        <v>1562</v>
      </c>
      <c r="E7" s="18"/>
      <c r="F7" s="18"/>
      <c r="G7" s="18"/>
      <c r="H7" s="18"/>
      <c r="I7" s="18"/>
      <c r="J7" s="18"/>
      <c r="K7" s="18"/>
      <c r="L7" s="18"/>
      <c r="M7" s="18"/>
      <c r="N7" s="18"/>
      <c r="O7" s="18"/>
      <c r="P7" s="18"/>
      <c r="Q7" s="18"/>
      <c r="R7" s="18"/>
      <c r="S7" s="18"/>
      <c r="T7" s="18"/>
      <c r="U7" s="18"/>
    </row>
    <row r="8" spans="1:21" ht="67.5">
      <c r="A8" s="21" t="s">
        <v>1491</v>
      </c>
      <c r="B8" s="30" t="s">
        <v>1563</v>
      </c>
      <c r="C8" s="26" t="s">
        <v>1564</v>
      </c>
      <c r="D8" s="27" t="s">
        <v>1565</v>
      </c>
      <c r="E8" s="18"/>
      <c r="F8" s="18"/>
      <c r="G8" s="18"/>
      <c r="H8" s="18"/>
      <c r="I8" s="18"/>
      <c r="J8" s="18"/>
      <c r="K8" s="18"/>
      <c r="L8" s="18"/>
      <c r="M8" s="18"/>
      <c r="N8" s="18"/>
      <c r="O8" s="18"/>
      <c r="P8" s="18"/>
      <c r="Q8" s="18"/>
      <c r="R8" s="18"/>
      <c r="S8" s="18"/>
      <c r="T8" s="18"/>
      <c r="U8" s="18"/>
    </row>
    <row r="9" spans="1:21" ht="20.25">
      <c r="A9" s="21"/>
      <c r="B9" s="21"/>
      <c r="C9" s="31"/>
      <c r="D9" s="31"/>
      <c r="E9" s="18"/>
      <c r="F9" s="18"/>
      <c r="G9" s="18"/>
      <c r="H9" s="18"/>
      <c r="I9" s="18"/>
      <c r="J9" s="18"/>
      <c r="K9" s="18"/>
      <c r="L9" s="18"/>
      <c r="M9" s="18"/>
      <c r="N9" s="18"/>
      <c r="O9" s="18"/>
      <c r="P9" s="18"/>
      <c r="Q9" s="18"/>
      <c r="R9" s="18"/>
      <c r="S9" s="18"/>
      <c r="T9" s="18"/>
      <c r="U9" s="18"/>
    </row>
    <row r="10" spans="1:21" ht="16.5">
      <c r="A10" s="21"/>
      <c r="B10" s="32"/>
      <c r="C10" s="32"/>
      <c r="D10" s="32"/>
      <c r="E10" s="18"/>
      <c r="F10" s="18"/>
      <c r="G10" s="18"/>
      <c r="H10" s="18"/>
      <c r="I10" s="18"/>
      <c r="J10" s="18"/>
      <c r="K10" s="18"/>
      <c r="L10" s="18"/>
      <c r="M10" s="18"/>
      <c r="N10" s="18"/>
      <c r="O10" s="18"/>
      <c r="P10" s="18"/>
      <c r="Q10" s="18"/>
      <c r="R10" s="18"/>
      <c r="S10" s="18"/>
      <c r="T10" s="18"/>
      <c r="U10" s="18"/>
    </row>
    <row r="11" spans="1:21">
      <c r="A11" s="21"/>
      <c r="B11" s="21" t="s">
        <v>1566</v>
      </c>
      <c r="C11" s="21" t="s">
        <v>379</v>
      </c>
      <c r="D11" s="21" t="s">
        <v>688</v>
      </c>
      <c r="E11" s="18"/>
      <c r="F11" s="18"/>
      <c r="G11" s="18"/>
      <c r="H11" s="18"/>
      <c r="I11" s="18"/>
      <c r="J11" s="18"/>
      <c r="K11" s="18"/>
      <c r="L11" s="18"/>
      <c r="M11" s="18"/>
      <c r="N11" s="18"/>
      <c r="O11" s="18"/>
      <c r="P11" s="18"/>
      <c r="Q11" s="18"/>
      <c r="R11" s="18"/>
      <c r="S11" s="18"/>
      <c r="T11" s="18"/>
      <c r="U11" s="18"/>
    </row>
    <row r="12" spans="1:21">
      <c r="A12" s="21"/>
      <c r="B12" s="21" t="s">
        <v>1567</v>
      </c>
      <c r="C12" s="21" t="s">
        <v>811</v>
      </c>
      <c r="D12" s="21" t="s">
        <v>1028</v>
      </c>
      <c r="E12" s="18"/>
      <c r="F12" s="18"/>
      <c r="G12" s="18"/>
      <c r="H12" s="18"/>
      <c r="I12" s="18"/>
      <c r="J12" s="18"/>
      <c r="K12" s="18"/>
      <c r="L12" s="18"/>
      <c r="M12" s="18"/>
      <c r="N12" s="18"/>
      <c r="O12" s="18"/>
      <c r="P12" s="18"/>
      <c r="Q12" s="18"/>
      <c r="R12" s="18"/>
      <c r="S12" s="18"/>
      <c r="T12" s="18"/>
      <c r="U12" s="18"/>
    </row>
    <row r="13" spans="1:21">
      <c r="A13" s="21"/>
      <c r="B13" s="21"/>
      <c r="C13" s="21" t="s">
        <v>721</v>
      </c>
      <c r="D13" s="21" t="s">
        <v>423</v>
      </c>
      <c r="E13" s="18"/>
      <c r="F13" s="18"/>
      <c r="G13" s="18"/>
      <c r="H13" s="18"/>
      <c r="I13" s="18"/>
      <c r="J13" s="18"/>
      <c r="K13" s="18"/>
      <c r="L13" s="18"/>
      <c r="M13" s="18"/>
      <c r="N13" s="18"/>
      <c r="O13" s="18"/>
      <c r="P13" s="18"/>
      <c r="Q13" s="18"/>
      <c r="R13" s="18"/>
      <c r="S13" s="18"/>
      <c r="T13" s="18"/>
      <c r="U13" s="18"/>
    </row>
    <row r="14" spans="1:21">
      <c r="A14" s="21"/>
      <c r="B14" s="21"/>
      <c r="C14" s="21" t="s">
        <v>1105</v>
      </c>
      <c r="D14" s="21" t="s">
        <v>983</v>
      </c>
      <c r="E14" s="18"/>
      <c r="F14" s="18"/>
      <c r="G14" s="18"/>
      <c r="H14" s="18"/>
      <c r="I14" s="18"/>
      <c r="J14" s="18"/>
      <c r="K14" s="18"/>
      <c r="L14" s="18"/>
      <c r="M14" s="18"/>
      <c r="N14" s="18"/>
      <c r="O14" s="18"/>
      <c r="P14" s="18"/>
      <c r="Q14" s="18"/>
      <c r="R14" s="18"/>
      <c r="S14" s="18"/>
      <c r="T14" s="18"/>
      <c r="U14" s="18"/>
    </row>
    <row r="15" spans="1:21">
      <c r="A15" s="21"/>
      <c r="B15" s="21"/>
      <c r="C15" s="21" t="s">
        <v>1568</v>
      </c>
      <c r="D15" s="21" t="s">
        <v>1569</v>
      </c>
      <c r="E15" s="18"/>
      <c r="F15" s="18"/>
      <c r="G15" s="18"/>
      <c r="H15" s="18"/>
      <c r="I15" s="18"/>
      <c r="J15" s="18"/>
      <c r="K15" s="18"/>
      <c r="L15" s="18"/>
      <c r="M15" s="18"/>
      <c r="N15" s="18"/>
      <c r="O15" s="18"/>
      <c r="P15" s="18"/>
      <c r="Q15" s="18"/>
      <c r="R15" s="18"/>
      <c r="S15" s="18"/>
      <c r="T15" s="18"/>
      <c r="U15" s="18"/>
    </row>
    <row r="16" spans="1:21">
      <c r="A16" s="21"/>
      <c r="B16" s="21"/>
      <c r="C16" s="21"/>
      <c r="D16" s="21"/>
      <c r="E16" s="18"/>
      <c r="F16" s="18"/>
      <c r="G16" s="18"/>
      <c r="H16" s="18"/>
      <c r="I16" s="18"/>
      <c r="J16" s="18"/>
      <c r="K16" s="18"/>
      <c r="L16" s="18"/>
      <c r="M16" s="18"/>
      <c r="N16" s="18"/>
      <c r="O16" s="18"/>
    </row>
    <row r="17" spans="1:15">
      <c r="A17" s="21"/>
      <c r="B17" s="21"/>
      <c r="C17" s="21"/>
      <c r="D17" s="21"/>
      <c r="E17" s="18"/>
      <c r="F17" s="18"/>
      <c r="G17" s="18"/>
      <c r="H17" s="18"/>
      <c r="I17" s="18"/>
      <c r="J17" s="18"/>
      <c r="K17" s="18"/>
      <c r="L17" s="18"/>
      <c r="M17" s="18"/>
      <c r="N17" s="18"/>
      <c r="O17" s="18"/>
    </row>
    <row r="18" spans="1:15">
      <c r="A18" s="21"/>
      <c r="B18" s="33"/>
      <c r="C18" s="33"/>
      <c r="D18" s="33"/>
      <c r="E18" s="18"/>
      <c r="F18" s="18"/>
      <c r="G18" s="18"/>
      <c r="H18" s="18"/>
      <c r="I18" s="18"/>
      <c r="J18" s="18"/>
      <c r="K18" s="18"/>
      <c r="L18" s="18"/>
      <c r="M18" s="18"/>
      <c r="N18" s="18"/>
      <c r="O18" s="18"/>
    </row>
    <row r="19" spans="1:15">
      <c r="A19" s="21"/>
      <c r="B19" s="33"/>
      <c r="C19" s="33"/>
      <c r="D19" s="33"/>
      <c r="E19" s="18"/>
      <c r="F19" s="18"/>
      <c r="G19" s="18"/>
      <c r="H19" s="18"/>
      <c r="I19" s="18"/>
      <c r="J19" s="18"/>
      <c r="K19" s="18"/>
      <c r="L19" s="18"/>
      <c r="M19" s="18"/>
      <c r="N19" s="18"/>
      <c r="O19" s="18"/>
    </row>
    <row r="20" spans="1:15">
      <c r="A20" s="21"/>
      <c r="B20" s="33"/>
      <c r="C20" s="33"/>
      <c r="D20" s="33"/>
      <c r="E20" s="18"/>
      <c r="F20" s="18"/>
      <c r="G20" s="18"/>
      <c r="H20" s="18"/>
      <c r="I20" s="18"/>
      <c r="J20" s="18"/>
      <c r="K20" s="18"/>
      <c r="L20" s="18"/>
      <c r="M20" s="18"/>
      <c r="N20" s="18"/>
      <c r="O20" s="18"/>
    </row>
    <row r="21" spans="1:15">
      <c r="A21" s="21"/>
      <c r="B21" s="33"/>
      <c r="C21" s="33"/>
      <c r="D21" s="33"/>
      <c r="E21" s="18"/>
      <c r="F21" s="18"/>
      <c r="G21" s="18"/>
      <c r="H21" s="18"/>
      <c r="I21" s="18"/>
      <c r="J21" s="18"/>
      <c r="K21" s="18"/>
      <c r="L21" s="18"/>
      <c r="M21" s="18"/>
      <c r="N21" s="18"/>
      <c r="O21" s="18"/>
    </row>
    <row r="22" spans="1:15" ht="20.25">
      <c r="A22" s="21"/>
      <c r="B22" s="21"/>
      <c r="C22" s="31"/>
      <c r="D22" s="31"/>
      <c r="E22" s="18"/>
      <c r="F22" s="18"/>
      <c r="G22" s="18"/>
      <c r="H22" s="18"/>
      <c r="I22" s="18"/>
      <c r="J22" s="18"/>
      <c r="K22" s="18"/>
      <c r="L22" s="18"/>
      <c r="M22" s="18"/>
      <c r="N22" s="18"/>
      <c r="O22" s="18"/>
    </row>
    <row r="23" spans="1:15" ht="20.25">
      <c r="A23" s="21"/>
      <c r="B23" s="21"/>
      <c r="C23" s="31"/>
      <c r="D23" s="31"/>
      <c r="E23" s="18"/>
      <c r="F23" s="18"/>
      <c r="G23" s="18"/>
      <c r="H23" s="18"/>
      <c r="I23" s="18"/>
      <c r="J23" s="18"/>
      <c r="K23" s="18"/>
      <c r="L23" s="18"/>
      <c r="M23" s="18"/>
      <c r="N23" s="18"/>
      <c r="O23" s="18"/>
    </row>
    <row r="24" spans="1:15" ht="20.25">
      <c r="A24" s="21"/>
      <c r="B24" s="21"/>
      <c r="C24" s="31"/>
      <c r="D24" s="31"/>
      <c r="E24" s="18"/>
      <c r="F24" s="18"/>
      <c r="G24" s="18"/>
      <c r="H24" s="18"/>
      <c r="I24" s="18"/>
      <c r="J24" s="18"/>
      <c r="K24" s="18"/>
      <c r="L24" s="18"/>
      <c r="M24" s="18"/>
      <c r="N24" s="18"/>
      <c r="O24" s="18"/>
    </row>
    <row r="25" spans="1:15" ht="20.25">
      <c r="A25" s="21"/>
      <c r="B25" s="21"/>
      <c r="C25" s="31"/>
      <c r="D25" s="31"/>
      <c r="E25" s="18"/>
      <c r="F25" s="18"/>
      <c r="G25" s="18"/>
      <c r="H25" s="18"/>
      <c r="I25" s="18"/>
      <c r="J25" s="18"/>
      <c r="K25" s="18"/>
      <c r="L25" s="18"/>
      <c r="M25" s="18"/>
      <c r="N25" s="18"/>
      <c r="O25" s="18"/>
    </row>
    <row r="26" spans="1:15" ht="20.25">
      <c r="A26" s="21"/>
      <c r="B26" s="21"/>
      <c r="C26" s="31"/>
      <c r="D26" s="31"/>
      <c r="E26" s="18"/>
      <c r="F26" s="18"/>
      <c r="G26" s="18"/>
      <c r="H26" s="18"/>
      <c r="I26" s="18"/>
      <c r="J26" s="18"/>
      <c r="K26" s="18"/>
      <c r="L26" s="18"/>
      <c r="M26" s="18"/>
      <c r="N26" s="18"/>
      <c r="O26" s="18"/>
    </row>
    <row r="27" spans="1:15" ht="20.25">
      <c r="A27" s="21"/>
      <c r="B27" s="21"/>
      <c r="C27" s="31"/>
      <c r="D27" s="31"/>
      <c r="E27" s="18"/>
      <c r="F27" s="18"/>
      <c r="G27" s="18"/>
      <c r="H27" s="18"/>
      <c r="I27" s="18"/>
      <c r="J27" s="18"/>
      <c r="K27" s="18"/>
      <c r="L27" s="18"/>
      <c r="M27" s="18"/>
      <c r="N27" s="18"/>
      <c r="O27" s="18"/>
    </row>
    <row r="28" spans="1:15" ht="20.25">
      <c r="A28" s="21"/>
      <c r="B28" s="21"/>
      <c r="C28" s="31"/>
      <c r="D28" s="31"/>
      <c r="E28" s="18"/>
      <c r="F28" s="18"/>
      <c r="G28" s="18"/>
      <c r="H28" s="18"/>
      <c r="I28" s="18"/>
      <c r="J28" s="18"/>
      <c r="K28" s="18"/>
      <c r="L28" s="18"/>
      <c r="M28" s="18"/>
      <c r="N28" s="18"/>
      <c r="O28" s="18"/>
    </row>
    <row r="29" spans="1:15" ht="20.25">
      <c r="A29" s="21"/>
      <c r="B29" s="21"/>
      <c r="C29" s="31"/>
      <c r="D29" s="31"/>
      <c r="E29" s="18"/>
      <c r="F29" s="18"/>
      <c r="G29" s="18"/>
      <c r="H29" s="18"/>
      <c r="I29" s="18"/>
      <c r="J29" s="18"/>
      <c r="K29" s="18"/>
      <c r="L29" s="18"/>
      <c r="M29" s="18"/>
      <c r="N29" s="18"/>
      <c r="O29" s="18"/>
    </row>
    <row r="30" spans="1:15" ht="20.25">
      <c r="A30" s="21"/>
      <c r="B30" s="21"/>
      <c r="C30" s="31"/>
      <c r="D30" s="31"/>
      <c r="E30" s="18"/>
      <c r="F30" s="18"/>
      <c r="G30" s="18"/>
      <c r="H30" s="18"/>
      <c r="I30" s="18"/>
      <c r="J30" s="18"/>
      <c r="K30" s="18"/>
      <c r="L30" s="18"/>
      <c r="M30" s="18"/>
      <c r="N30" s="18"/>
      <c r="O30" s="18"/>
    </row>
    <row r="31" spans="1:15" ht="20.25">
      <c r="A31" s="21"/>
      <c r="B31" s="21"/>
      <c r="C31" s="31"/>
      <c r="D31" s="31"/>
      <c r="E31" s="18"/>
      <c r="F31" s="18"/>
      <c r="G31" s="18"/>
      <c r="H31" s="18"/>
      <c r="I31" s="18"/>
      <c r="J31" s="18"/>
      <c r="K31" s="18"/>
      <c r="L31" s="18"/>
      <c r="M31" s="18"/>
      <c r="N31" s="18"/>
      <c r="O31" s="18"/>
    </row>
    <row r="32" spans="1:15" ht="20.25">
      <c r="A32" s="21"/>
      <c r="B32" s="21"/>
      <c r="C32" s="31"/>
      <c r="D32" s="31"/>
      <c r="E32" s="18"/>
      <c r="F32" s="18"/>
      <c r="G32" s="18"/>
      <c r="H32" s="18"/>
      <c r="I32" s="18"/>
      <c r="J32" s="18"/>
      <c r="K32" s="18"/>
      <c r="L32" s="18"/>
      <c r="M32" s="18"/>
      <c r="N32" s="18"/>
      <c r="O32" s="18"/>
    </row>
    <row r="33" spans="1:15" ht="20.25">
      <c r="A33" s="21"/>
      <c r="B33" s="21"/>
      <c r="C33" s="31"/>
      <c r="D33" s="31"/>
      <c r="E33" s="18"/>
      <c r="F33" s="18"/>
      <c r="G33" s="18"/>
      <c r="H33" s="18"/>
      <c r="I33" s="18"/>
      <c r="J33" s="18"/>
      <c r="K33" s="18"/>
      <c r="L33" s="18"/>
      <c r="M33" s="18"/>
      <c r="N33" s="18"/>
      <c r="O33" s="18"/>
    </row>
    <row r="34" spans="1:15" ht="20.25">
      <c r="A34" s="21"/>
      <c r="B34" s="21"/>
      <c r="C34" s="31"/>
      <c r="D34" s="31"/>
      <c r="E34" s="18"/>
      <c r="F34" s="18"/>
      <c r="G34" s="18"/>
      <c r="H34" s="18"/>
      <c r="I34" s="18"/>
      <c r="J34" s="18"/>
      <c r="K34" s="18"/>
      <c r="L34" s="18"/>
      <c r="M34" s="18"/>
      <c r="N34" s="18"/>
      <c r="O34" s="18"/>
    </row>
    <row r="35" spans="1:15" ht="20.25">
      <c r="A35" s="21"/>
      <c r="B35" s="21"/>
      <c r="C35" s="31"/>
      <c r="D35" s="31"/>
      <c r="E35" s="18"/>
      <c r="F35" s="18"/>
      <c r="G35" s="18"/>
      <c r="H35" s="18"/>
      <c r="I35" s="18"/>
      <c r="J35" s="18"/>
      <c r="K35" s="18"/>
      <c r="L35" s="18"/>
      <c r="M35" s="18"/>
      <c r="N35" s="18"/>
      <c r="O35" s="18"/>
    </row>
    <row r="36" spans="1:15" ht="20.25">
      <c r="A36" s="21"/>
      <c r="B36" s="21"/>
      <c r="C36" s="31"/>
      <c r="D36" s="31"/>
      <c r="E36" s="18"/>
      <c r="F36" s="18"/>
      <c r="G36" s="18"/>
      <c r="H36" s="18"/>
      <c r="I36" s="18"/>
      <c r="J36" s="18"/>
      <c r="K36" s="18"/>
      <c r="L36" s="18"/>
      <c r="M36" s="18"/>
      <c r="N36" s="18"/>
      <c r="O36" s="18"/>
    </row>
    <row r="37" spans="1:15" ht="20.25">
      <c r="A37" s="21"/>
      <c r="B37" s="21"/>
      <c r="C37" s="31"/>
      <c r="D37" s="31"/>
      <c r="E37" s="18"/>
      <c r="F37" s="18"/>
      <c r="G37" s="18"/>
      <c r="H37" s="18"/>
      <c r="I37" s="18"/>
      <c r="J37" s="18"/>
      <c r="K37" s="18"/>
      <c r="L37" s="18"/>
      <c r="M37" s="18"/>
      <c r="N37" s="18"/>
      <c r="O37" s="18"/>
    </row>
    <row r="38" spans="1:15" ht="20.25">
      <c r="A38" s="21"/>
      <c r="B38" s="21"/>
      <c r="C38" s="31"/>
      <c r="D38" s="31"/>
      <c r="E38" s="18"/>
      <c r="F38" s="18"/>
      <c r="G38" s="18"/>
      <c r="H38" s="18"/>
      <c r="I38" s="18"/>
      <c r="J38" s="18"/>
      <c r="K38" s="18"/>
      <c r="L38" s="18"/>
      <c r="M38" s="18"/>
      <c r="N38" s="18"/>
      <c r="O38" s="18"/>
    </row>
    <row r="39" spans="1:15" ht="20.25">
      <c r="A39" s="21"/>
      <c r="B39" s="21"/>
      <c r="C39" s="31"/>
      <c r="D39" s="31"/>
      <c r="E39" s="18"/>
      <c r="F39" s="18"/>
      <c r="G39" s="18"/>
      <c r="H39" s="18"/>
      <c r="I39" s="18"/>
      <c r="J39" s="18"/>
      <c r="K39" s="18"/>
      <c r="L39" s="18"/>
      <c r="M39" s="18"/>
      <c r="N39" s="18"/>
      <c r="O39" s="18"/>
    </row>
    <row r="40" spans="1:15" ht="20.25">
      <c r="A40" s="21"/>
      <c r="B40" s="21"/>
      <c r="C40" s="31"/>
      <c r="D40" s="31"/>
      <c r="E40" s="18"/>
      <c r="F40" s="18"/>
      <c r="G40" s="18"/>
      <c r="H40" s="18"/>
      <c r="I40" s="18"/>
      <c r="J40" s="18"/>
      <c r="K40" s="18"/>
      <c r="L40" s="18"/>
      <c r="M40" s="18"/>
      <c r="N40" s="18"/>
      <c r="O40" s="18"/>
    </row>
    <row r="41" spans="1:15" ht="20.25">
      <c r="A41" s="21"/>
      <c r="B41" s="21"/>
      <c r="C41" s="31"/>
      <c r="D41" s="31"/>
      <c r="E41" s="18"/>
      <c r="F41" s="18"/>
      <c r="G41" s="18"/>
      <c r="H41" s="18"/>
      <c r="I41" s="18"/>
      <c r="J41" s="18"/>
      <c r="K41" s="18"/>
      <c r="L41" s="18"/>
      <c r="M41" s="18"/>
      <c r="N41" s="18"/>
      <c r="O41" s="18"/>
    </row>
    <row r="42" spans="1:15" ht="20.25">
      <c r="A42" s="21"/>
      <c r="B42" s="21"/>
      <c r="C42" s="31"/>
      <c r="D42" s="31"/>
      <c r="E42" s="18"/>
      <c r="F42" s="18"/>
      <c r="G42" s="18"/>
      <c r="H42" s="18"/>
      <c r="I42" s="18"/>
      <c r="J42" s="18"/>
      <c r="K42" s="18"/>
      <c r="L42" s="18"/>
      <c r="M42" s="18"/>
      <c r="N42" s="18"/>
      <c r="O42" s="18"/>
    </row>
    <row r="43" spans="1:15" ht="20.25">
      <c r="A43" s="21"/>
      <c r="B43" s="21"/>
      <c r="C43" s="31"/>
      <c r="D43" s="31"/>
      <c r="E43" s="18"/>
      <c r="F43" s="18"/>
      <c r="G43" s="18"/>
      <c r="H43" s="18"/>
      <c r="I43" s="18"/>
      <c r="J43" s="18"/>
      <c r="K43" s="18"/>
      <c r="L43" s="18"/>
      <c r="M43" s="18"/>
      <c r="N43" s="18"/>
      <c r="O43" s="18"/>
    </row>
    <row r="44" spans="1:15" ht="20.25">
      <c r="A44" s="21"/>
      <c r="B44" s="21"/>
      <c r="C44" s="31"/>
      <c r="D44" s="31"/>
      <c r="E44" s="18"/>
      <c r="F44" s="18"/>
      <c r="G44" s="18"/>
      <c r="H44" s="18"/>
      <c r="I44" s="18"/>
      <c r="J44" s="18"/>
      <c r="K44" s="18"/>
      <c r="L44" s="18"/>
      <c r="M44" s="18"/>
      <c r="N44" s="18"/>
      <c r="O44" s="18"/>
    </row>
    <row r="45" spans="1:15" ht="20.25">
      <c r="A45" s="21"/>
      <c r="B45" s="21"/>
      <c r="C45" s="31"/>
      <c r="D45" s="31"/>
      <c r="E45" s="18"/>
      <c r="F45" s="18"/>
      <c r="G45" s="18"/>
      <c r="H45" s="18"/>
      <c r="I45" s="18"/>
      <c r="J45" s="18"/>
      <c r="K45" s="18"/>
      <c r="L45" s="18"/>
      <c r="M45" s="18"/>
      <c r="N45" s="18"/>
      <c r="O45" s="18"/>
    </row>
    <row r="46" spans="1:15" ht="20.25">
      <c r="A46" s="21"/>
      <c r="B46" s="21"/>
      <c r="C46" s="31"/>
      <c r="D46" s="31"/>
      <c r="E46" s="18"/>
      <c r="F46" s="18"/>
      <c r="G46" s="18"/>
      <c r="H46" s="18"/>
      <c r="I46" s="18"/>
      <c r="J46" s="18"/>
      <c r="K46" s="18"/>
      <c r="L46" s="18"/>
      <c r="M46" s="18"/>
      <c r="N46" s="18"/>
      <c r="O46" s="18"/>
    </row>
    <row r="47" spans="1:15" ht="20.25">
      <c r="A47" s="21"/>
      <c r="B47" s="21"/>
      <c r="C47" s="31"/>
      <c r="D47" s="31"/>
      <c r="E47" s="18"/>
      <c r="F47" s="18"/>
      <c r="G47" s="18"/>
      <c r="H47" s="18"/>
      <c r="I47" s="18"/>
      <c r="J47" s="18"/>
      <c r="K47" s="18"/>
      <c r="L47" s="18"/>
      <c r="M47" s="18"/>
      <c r="N47" s="18"/>
      <c r="O47" s="18"/>
    </row>
    <row r="48" spans="1:15" ht="20.25">
      <c r="A48" s="21"/>
      <c r="B48" s="21"/>
      <c r="C48" s="31"/>
      <c r="D48" s="31"/>
      <c r="E48" s="18"/>
      <c r="F48" s="18"/>
      <c r="G48" s="18"/>
      <c r="H48" s="18"/>
      <c r="I48" s="18"/>
      <c r="J48" s="18"/>
      <c r="K48" s="18"/>
      <c r="L48" s="18"/>
      <c r="M48" s="18"/>
      <c r="N48" s="18"/>
      <c r="O48" s="18"/>
    </row>
    <row r="49" spans="1:15" ht="20.25">
      <c r="A49" s="21"/>
      <c r="B49" s="21"/>
      <c r="C49" s="31"/>
      <c r="D49" s="31"/>
      <c r="E49" s="18"/>
      <c r="F49" s="18"/>
      <c r="G49" s="18"/>
      <c r="H49" s="18"/>
      <c r="I49" s="18"/>
      <c r="J49" s="18"/>
      <c r="K49" s="18"/>
      <c r="L49" s="18"/>
      <c r="M49" s="18"/>
      <c r="N49" s="18"/>
      <c r="O49" s="18"/>
    </row>
    <row r="50" spans="1:15" ht="20.25">
      <c r="A50" s="21"/>
      <c r="B50" s="21"/>
      <c r="C50" s="31"/>
      <c r="D50" s="31"/>
      <c r="E50" s="18"/>
      <c r="F50" s="18"/>
      <c r="G50" s="18"/>
      <c r="H50" s="18"/>
      <c r="I50" s="18"/>
      <c r="J50" s="18"/>
      <c r="K50" s="18"/>
      <c r="L50" s="18"/>
      <c r="M50" s="18"/>
      <c r="N50" s="18"/>
      <c r="O50" s="18"/>
    </row>
    <row r="51" spans="1:15" ht="20.25">
      <c r="A51" s="21"/>
      <c r="B51" s="21"/>
      <c r="C51" s="31"/>
      <c r="D51" s="31"/>
      <c r="E51" s="18"/>
      <c r="F51" s="18"/>
      <c r="G51" s="18"/>
      <c r="H51" s="18"/>
      <c r="I51" s="18"/>
      <c r="J51" s="18"/>
      <c r="K51" s="18"/>
      <c r="L51" s="18"/>
      <c r="M51" s="18"/>
      <c r="N51" s="18"/>
      <c r="O51" s="18"/>
    </row>
    <row r="52" spans="1:15" ht="20.25">
      <c r="A52" s="21"/>
      <c r="B52" s="34"/>
      <c r="C52" s="35"/>
      <c r="D52" s="35"/>
    </row>
    <row r="53" spans="1:15" ht="20.25">
      <c r="A53" s="21"/>
      <c r="B53" s="34"/>
      <c r="C53" s="35"/>
      <c r="D53" s="35"/>
    </row>
    <row r="54" spans="1:15" ht="20.25">
      <c r="A54" s="21"/>
      <c r="B54" s="34"/>
      <c r="C54" s="35"/>
      <c r="D54" s="35"/>
    </row>
    <row r="55" spans="1:15" ht="20.25">
      <c r="A55" s="21"/>
      <c r="B55" s="34"/>
      <c r="C55" s="35"/>
      <c r="D55" s="35"/>
    </row>
    <row r="56" spans="1:15" ht="20.25">
      <c r="A56" s="21"/>
      <c r="B56" s="34"/>
      <c r="C56" s="35"/>
      <c r="D56" s="35"/>
    </row>
    <row r="57" spans="1:15" ht="20.25">
      <c r="A57" s="21"/>
      <c r="B57" s="34"/>
      <c r="C57" s="35"/>
      <c r="D57" s="35"/>
    </row>
    <row r="58" spans="1:15" ht="20.25">
      <c r="A58" s="21"/>
      <c r="B58" s="34"/>
      <c r="C58" s="35"/>
      <c r="D58" s="35"/>
    </row>
    <row r="59" spans="1:15" ht="20.25">
      <c r="A59" s="21"/>
      <c r="B59" s="34"/>
      <c r="C59" s="35"/>
      <c r="D59" s="35"/>
    </row>
    <row r="60" spans="1:15" ht="20.25">
      <c r="A60" s="21"/>
      <c r="B60" s="34"/>
      <c r="C60" s="35"/>
      <c r="D60" s="35"/>
    </row>
    <row r="61" spans="1:15" ht="20.25">
      <c r="A61" s="21"/>
      <c r="B61" s="34"/>
      <c r="C61" s="35"/>
      <c r="D61" s="35"/>
    </row>
    <row r="62" spans="1:15" ht="20.25">
      <c r="A62" s="21"/>
      <c r="B62" s="34"/>
      <c r="C62" s="35"/>
      <c r="D62" s="35"/>
    </row>
    <row r="63" spans="1:15" ht="20.25">
      <c r="A63" s="21"/>
      <c r="B63" s="34"/>
      <c r="C63" s="35"/>
      <c r="D63" s="35"/>
    </row>
    <row r="64" spans="1:15" ht="20.25">
      <c r="A64" s="21"/>
      <c r="B64" s="34"/>
      <c r="C64" s="35"/>
      <c r="D64" s="35"/>
    </row>
    <row r="65" spans="1:4" ht="20.25">
      <c r="A65" s="21"/>
      <c r="B65" s="34"/>
      <c r="C65" s="35"/>
      <c r="D65" s="35"/>
    </row>
    <row r="66" spans="1:4" ht="20.25">
      <c r="A66" s="21"/>
      <c r="B66" s="34"/>
      <c r="C66" s="35"/>
      <c r="D66" s="35"/>
    </row>
    <row r="67" spans="1:4" ht="20.25">
      <c r="A67" s="21"/>
      <c r="B67" s="34"/>
      <c r="C67" s="35"/>
      <c r="D67" s="35"/>
    </row>
    <row r="68" spans="1:4" ht="20.25">
      <c r="A68" s="21"/>
      <c r="B68" s="34"/>
      <c r="C68" s="35"/>
      <c r="D68" s="35"/>
    </row>
    <row r="69" spans="1:4" ht="20.25">
      <c r="A69" s="21"/>
      <c r="B69" s="34"/>
      <c r="C69" s="35"/>
      <c r="D69" s="35"/>
    </row>
    <row r="70" spans="1:4" ht="20.25">
      <c r="A70" s="21"/>
      <c r="B70" s="34"/>
      <c r="C70" s="35"/>
      <c r="D70" s="35"/>
    </row>
    <row r="71" spans="1:4" ht="20.25">
      <c r="A71" s="21"/>
      <c r="B71" s="34"/>
      <c r="C71" s="35"/>
      <c r="D71" s="35"/>
    </row>
    <row r="72" spans="1:4" ht="20.25">
      <c r="A72" s="21"/>
      <c r="B72" s="34"/>
      <c r="C72" s="35"/>
      <c r="D72" s="35"/>
    </row>
    <row r="73" spans="1:4" ht="20.25">
      <c r="A73" s="21"/>
      <c r="B73" s="34"/>
      <c r="C73" s="35"/>
      <c r="D73" s="35"/>
    </row>
    <row r="74" spans="1:4" ht="20.25">
      <c r="A74" s="21"/>
      <c r="B74" s="34"/>
      <c r="C74" s="35"/>
      <c r="D74" s="35"/>
    </row>
    <row r="75" spans="1:4" ht="20.25">
      <c r="A75" s="21"/>
      <c r="B75" s="34"/>
      <c r="C75" s="35"/>
      <c r="D75" s="35"/>
    </row>
    <row r="76" spans="1:4" ht="20.25">
      <c r="A76" s="21"/>
      <c r="B76" s="34"/>
      <c r="C76" s="35"/>
      <c r="D76" s="35"/>
    </row>
    <row r="77" spans="1:4" ht="20.25">
      <c r="A77" s="21"/>
      <c r="B77" s="34"/>
      <c r="C77" s="35"/>
      <c r="D77" s="35"/>
    </row>
    <row r="78" spans="1:4" ht="20.25">
      <c r="A78" s="21"/>
      <c r="B78" s="34"/>
      <c r="C78" s="35"/>
      <c r="D78" s="35"/>
    </row>
    <row r="79" spans="1:4" ht="20.25">
      <c r="A79" s="21"/>
      <c r="B79" s="34"/>
      <c r="C79" s="35"/>
      <c r="D79" s="35"/>
    </row>
    <row r="80" spans="1:4" ht="20.25">
      <c r="A80" s="21"/>
      <c r="B80" s="34"/>
      <c r="C80" s="35"/>
      <c r="D80" s="35"/>
    </row>
    <row r="81" spans="1:4" ht="20.25">
      <c r="A81" s="21"/>
      <c r="B81" s="34"/>
      <c r="C81" s="35"/>
      <c r="D81" s="35"/>
    </row>
    <row r="82" spans="1:4" ht="20.25">
      <c r="A82" s="21"/>
      <c r="B82" s="34"/>
      <c r="C82" s="35"/>
      <c r="D82" s="35"/>
    </row>
    <row r="83" spans="1:4" ht="20.25">
      <c r="A83" s="21"/>
      <c r="B83" s="34"/>
      <c r="C83" s="35"/>
      <c r="D83" s="35"/>
    </row>
    <row r="84" spans="1:4" ht="20.25">
      <c r="A84" s="21"/>
      <c r="B84" s="34"/>
      <c r="C84" s="35"/>
      <c r="D84" s="35"/>
    </row>
    <row r="85" spans="1:4" ht="20.25">
      <c r="A85" s="21"/>
      <c r="B85" s="34"/>
      <c r="C85" s="35"/>
      <c r="D85" s="35"/>
    </row>
    <row r="86" spans="1:4" ht="20.25">
      <c r="A86" s="21"/>
      <c r="B86" s="34"/>
      <c r="C86" s="35"/>
      <c r="D86" s="35"/>
    </row>
    <row r="87" spans="1:4" ht="20.25">
      <c r="A87" s="21"/>
      <c r="B87" s="34"/>
      <c r="C87" s="35"/>
      <c r="D87" s="35"/>
    </row>
    <row r="88" spans="1:4" ht="20.25">
      <c r="A88" s="21"/>
      <c r="B88" s="34"/>
      <c r="C88" s="35"/>
      <c r="D88" s="35"/>
    </row>
    <row r="89" spans="1:4" ht="20.25">
      <c r="A89" s="21"/>
      <c r="B89" s="34"/>
      <c r="C89" s="35"/>
      <c r="D89" s="35"/>
    </row>
    <row r="90" spans="1:4" ht="20.25">
      <c r="A90" s="21"/>
      <c r="B90" s="34"/>
      <c r="C90" s="35"/>
      <c r="D90" s="35"/>
    </row>
    <row r="91" spans="1:4" ht="20.25">
      <c r="A91" s="21"/>
      <c r="B91" s="34"/>
      <c r="C91" s="35"/>
      <c r="D91" s="35"/>
    </row>
    <row r="92" spans="1:4" ht="20.25">
      <c r="A92" s="21"/>
      <c r="B92" s="34"/>
      <c r="C92" s="35"/>
      <c r="D92" s="35"/>
    </row>
    <row r="93" spans="1:4" ht="20.25">
      <c r="A93" s="21"/>
      <c r="B93" s="34"/>
      <c r="C93" s="35"/>
      <c r="D93" s="35"/>
    </row>
    <row r="94" spans="1:4" ht="20.25">
      <c r="A94" s="21"/>
      <c r="B94" s="34"/>
      <c r="C94" s="35"/>
      <c r="D94" s="35"/>
    </row>
    <row r="95" spans="1:4" ht="20.25">
      <c r="A95" s="21"/>
      <c r="B95" s="34"/>
      <c r="C95" s="35"/>
      <c r="D95" s="35"/>
    </row>
    <row r="96" spans="1:4" ht="20.25">
      <c r="A96" s="21"/>
      <c r="B96" s="34"/>
      <c r="C96" s="35"/>
      <c r="D96" s="35"/>
    </row>
    <row r="97" spans="1:4" ht="20.25">
      <c r="A97" s="21"/>
      <c r="B97" s="34"/>
      <c r="C97" s="35"/>
      <c r="D97" s="35"/>
    </row>
    <row r="98" spans="1:4" ht="20.25">
      <c r="A98" s="21"/>
      <c r="B98" s="34"/>
      <c r="C98" s="35"/>
      <c r="D98" s="35"/>
    </row>
    <row r="99" spans="1:4" ht="20.25">
      <c r="A99" s="21"/>
      <c r="B99" s="34"/>
      <c r="C99" s="35"/>
      <c r="D99" s="35"/>
    </row>
    <row r="100" spans="1:4" ht="20.25">
      <c r="A100" s="21"/>
      <c r="B100" s="34"/>
      <c r="C100" s="35"/>
      <c r="D100" s="35"/>
    </row>
    <row r="101" spans="1:4" ht="20.25">
      <c r="A101" s="21"/>
      <c r="B101" s="34"/>
      <c r="C101" s="35"/>
      <c r="D101" s="35"/>
    </row>
    <row r="102" spans="1:4" ht="20.25">
      <c r="A102" s="21"/>
      <c r="B102" s="34"/>
      <c r="C102" s="35"/>
      <c r="D102" s="35"/>
    </row>
    <row r="103" spans="1:4" ht="20.25">
      <c r="A103" s="21"/>
      <c r="B103" s="34"/>
      <c r="C103" s="35"/>
      <c r="D103" s="35"/>
    </row>
    <row r="104" spans="1:4" ht="20.25">
      <c r="A104" s="21"/>
      <c r="B104" s="34"/>
      <c r="C104" s="35"/>
      <c r="D104" s="35"/>
    </row>
    <row r="105" spans="1:4" ht="20.25">
      <c r="A105" s="21"/>
      <c r="B105" s="34"/>
      <c r="C105" s="35"/>
      <c r="D105" s="35"/>
    </row>
    <row r="106" spans="1:4" ht="20.25">
      <c r="A106" s="21"/>
      <c r="B106" s="34"/>
      <c r="C106" s="35"/>
      <c r="D106" s="35"/>
    </row>
    <row r="107" spans="1:4" ht="20.25">
      <c r="A107" s="21"/>
      <c r="B107" s="34"/>
      <c r="C107" s="35"/>
      <c r="D107" s="35"/>
    </row>
    <row r="108" spans="1:4" ht="20.25">
      <c r="A108" s="21"/>
      <c r="B108" s="34"/>
      <c r="C108" s="35"/>
      <c r="D108" s="35"/>
    </row>
    <row r="109" spans="1:4" ht="20.25">
      <c r="A109" s="21"/>
      <c r="B109" s="34"/>
      <c r="C109" s="35"/>
      <c r="D109" s="35"/>
    </row>
    <row r="110" spans="1:4" ht="20.25">
      <c r="A110" s="21"/>
      <c r="B110" s="34"/>
      <c r="C110" s="35"/>
      <c r="D110" s="35"/>
    </row>
    <row r="111" spans="1:4" ht="20.25">
      <c r="A111" s="21"/>
      <c r="B111" s="34"/>
      <c r="C111" s="35"/>
      <c r="D111" s="35"/>
    </row>
    <row r="112" spans="1:4" ht="20.25">
      <c r="A112" s="21"/>
      <c r="B112" s="34"/>
      <c r="C112" s="35"/>
      <c r="D112" s="35"/>
    </row>
    <row r="113" spans="1:4" ht="20.25">
      <c r="A113" s="21"/>
      <c r="B113" s="34"/>
      <c r="C113" s="35"/>
      <c r="D113" s="35"/>
    </row>
    <row r="114" spans="1:4" ht="20.25">
      <c r="A114" s="21"/>
      <c r="B114" s="34"/>
      <c r="C114" s="35"/>
      <c r="D114" s="35"/>
    </row>
    <row r="115" spans="1:4" ht="20.25">
      <c r="A115" s="21"/>
      <c r="B115" s="34"/>
      <c r="C115" s="35"/>
      <c r="D115" s="35"/>
    </row>
    <row r="116" spans="1:4" ht="20.25">
      <c r="A116" s="21"/>
      <c r="B116" s="34"/>
      <c r="C116" s="35"/>
      <c r="D116" s="35"/>
    </row>
    <row r="117" spans="1:4" ht="20.25">
      <c r="A117" s="21"/>
      <c r="B117" s="34"/>
      <c r="C117" s="35"/>
      <c r="D117" s="35"/>
    </row>
    <row r="118" spans="1:4" ht="20.25">
      <c r="A118" s="21"/>
      <c r="B118" s="34"/>
      <c r="C118" s="35"/>
      <c r="D118" s="35"/>
    </row>
    <row r="119" spans="1:4" ht="20.25">
      <c r="A119" s="21"/>
      <c r="B119" s="34"/>
      <c r="C119" s="35"/>
      <c r="D119" s="35"/>
    </row>
    <row r="120" spans="1:4" ht="20.25">
      <c r="A120" s="21"/>
      <c r="B120" s="34"/>
      <c r="C120" s="35"/>
      <c r="D120" s="35"/>
    </row>
    <row r="121" spans="1:4" ht="20.25">
      <c r="A121" s="21"/>
      <c r="B121" s="34"/>
      <c r="C121" s="35"/>
      <c r="D121" s="35"/>
    </row>
    <row r="122" spans="1:4" ht="20.25">
      <c r="A122" s="21"/>
      <c r="B122" s="34"/>
      <c r="C122" s="35"/>
      <c r="D122" s="35"/>
    </row>
    <row r="123" spans="1:4" ht="20.25">
      <c r="A123" s="21"/>
      <c r="B123" s="34"/>
      <c r="C123" s="35"/>
      <c r="D123" s="35"/>
    </row>
    <row r="124" spans="1:4" ht="20.25">
      <c r="A124" s="21"/>
      <c r="B124" s="34"/>
      <c r="C124" s="35"/>
      <c r="D124" s="35"/>
    </row>
    <row r="125" spans="1:4" ht="20.25">
      <c r="A125" s="21"/>
      <c r="B125" s="34"/>
      <c r="C125" s="35"/>
      <c r="D125" s="35"/>
    </row>
    <row r="126" spans="1:4" ht="20.25">
      <c r="A126" s="21"/>
      <c r="B126" s="34"/>
      <c r="C126" s="35"/>
      <c r="D126" s="35"/>
    </row>
    <row r="127" spans="1:4" ht="20.25">
      <c r="A127" s="21"/>
      <c r="B127" s="34"/>
      <c r="C127" s="35"/>
      <c r="D127" s="35"/>
    </row>
    <row r="128" spans="1:4" ht="20.25">
      <c r="A128" s="21"/>
      <c r="B128" s="34"/>
      <c r="C128" s="35"/>
      <c r="D128" s="35"/>
    </row>
    <row r="129" spans="1:4" ht="20.25">
      <c r="A129" s="21"/>
      <c r="B129" s="34"/>
      <c r="C129" s="35"/>
      <c r="D129" s="35"/>
    </row>
    <row r="130" spans="1:4" ht="20.25">
      <c r="A130" s="21"/>
      <c r="B130" s="34"/>
      <c r="C130" s="35"/>
      <c r="D130" s="35"/>
    </row>
    <row r="131" spans="1:4" ht="20.25">
      <c r="A131" s="21"/>
      <c r="B131" s="34"/>
      <c r="C131" s="35"/>
      <c r="D131" s="35"/>
    </row>
    <row r="132" spans="1:4" ht="20.25">
      <c r="A132" s="21"/>
      <c r="B132" s="34"/>
      <c r="C132" s="35"/>
      <c r="D132" s="35"/>
    </row>
    <row r="133" spans="1:4" ht="20.25">
      <c r="A133" s="21"/>
      <c r="B133" s="34"/>
      <c r="C133" s="35"/>
      <c r="D133" s="35"/>
    </row>
    <row r="134" spans="1:4" ht="20.25">
      <c r="A134" s="21"/>
      <c r="B134" s="34"/>
      <c r="C134" s="35"/>
      <c r="D134" s="35"/>
    </row>
    <row r="135" spans="1:4" ht="20.25">
      <c r="A135" s="21"/>
      <c r="B135" s="34"/>
      <c r="C135" s="35"/>
      <c r="D135" s="35"/>
    </row>
    <row r="136" spans="1:4" ht="20.25">
      <c r="A136" s="21"/>
      <c r="B136" s="34"/>
      <c r="C136" s="35"/>
      <c r="D136" s="35"/>
    </row>
    <row r="137" spans="1:4" ht="20.25">
      <c r="A137" s="21"/>
      <c r="B137" s="34"/>
      <c r="C137" s="35"/>
      <c r="D137" s="35"/>
    </row>
    <row r="138" spans="1:4" ht="20.25">
      <c r="A138" s="21"/>
      <c r="B138" s="34"/>
      <c r="C138" s="35"/>
      <c r="D138" s="35"/>
    </row>
    <row r="139" spans="1:4" ht="20.25">
      <c r="A139" s="21"/>
      <c r="B139" s="34"/>
      <c r="C139" s="35"/>
      <c r="D139" s="35"/>
    </row>
    <row r="140" spans="1:4" ht="20.25">
      <c r="A140" s="21"/>
      <c r="B140" s="34"/>
      <c r="C140" s="35"/>
      <c r="D140" s="35"/>
    </row>
    <row r="141" spans="1:4" ht="20.25">
      <c r="A141" s="21"/>
      <c r="B141" s="34"/>
      <c r="C141" s="35"/>
      <c r="D141" s="35"/>
    </row>
    <row r="142" spans="1:4" ht="20.25">
      <c r="A142" s="21"/>
      <c r="B142" s="34"/>
      <c r="C142" s="35"/>
      <c r="D142" s="35"/>
    </row>
    <row r="143" spans="1:4" ht="20.25">
      <c r="A143" s="21"/>
      <c r="B143" s="34"/>
      <c r="C143" s="35"/>
      <c r="D143" s="35"/>
    </row>
    <row r="144" spans="1:4" ht="20.25">
      <c r="A144" s="21"/>
      <c r="B144" s="34"/>
      <c r="C144" s="35"/>
      <c r="D144" s="35"/>
    </row>
    <row r="145" spans="1:4" ht="20.25">
      <c r="A145" s="21"/>
      <c r="B145" s="34"/>
      <c r="C145" s="35"/>
      <c r="D145" s="35"/>
    </row>
    <row r="146" spans="1:4" ht="20.25">
      <c r="A146" s="21"/>
      <c r="B146" s="34"/>
      <c r="C146" s="35"/>
      <c r="D146" s="35"/>
    </row>
    <row r="147" spans="1:4" ht="20.25">
      <c r="A147" s="21"/>
      <c r="B147" s="34"/>
      <c r="C147" s="35"/>
      <c r="D147" s="35"/>
    </row>
    <row r="148" spans="1:4" ht="20.25">
      <c r="A148" s="21"/>
      <c r="B148" s="34"/>
      <c r="C148" s="35"/>
      <c r="D148" s="35"/>
    </row>
    <row r="149" spans="1:4" ht="20.25">
      <c r="A149" s="21"/>
      <c r="B149" s="34"/>
      <c r="C149" s="35"/>
      <c r="D149" s="35"/>
    </row>
    <row r="150" spans="1:4" ht="20.25">
      <c r="A150" s="21"/>
      <c r="B150" s="34"/>
      <c r="C150" s="35"/>
      <c r="D150" s="35"/>
    </row>
    <row r="151" spans="1:4" ht="20.25">
      <c r="A151" s="21"/>
      <c r="B151" s="34"/>
      <c r="C151" s="35"/>
      <c r="D151" s="35"/>
    </row>
    <row r="152" spans="1:4" ht="20.25">
      <c r="A152" s="21"/>
      <c r="B152" s="34"/>
      <c r="C152" s="35"/>
      <c r="D152" s="35"/>
    </row>
    <row r="153" spans="1:4" ht="20.25">
      <c r="A153" s="21"/>
      <c r="B153" s="34"/>
      <c r="C153" s="35"/>
      <c r="D153" s="35"/>
    </row>
    <row r="154" spans="1:4" ht="20.25">
      <c r="A154" s="21"/>
      <c r="B154" s="34"/>
      <c r="C154" s="35"/>
      <c r="D154" s="35"/>
    </row>
    <row r="155" spans="1:4" ht="20.25">
      <c r="A155" s="21"/>
      <c r="B155" s="34"/>
      <c r="C155" s="35"/>
      <c r="D155" s="35"/>
    </row>
    <row r="156" spans="1:4" ht="20.25">
      <c r="A156" s="21"/>
      <c r="B156" s="34"/>
      <c r="C156" s="35"/>
      <c r="D156" s="35"/>
    </row>
    <row r="157" spans="1:4" ht="20.25">
      <c r="A157" s="21"/>
      <c r="B157" s="34"/>
      <c r="C157" s="35"/>
      <c r="D157" s="35"/>
    </row>
    <row r="158" spans="1:4" ht="20.25">
      <c r="A158" s="21"/>
      <c r="B158" s="34"/>
      <c r="C158" s="35"/>
      <c r="D158" s="35"/>
    </row>
    <row r="159" spans="1:4" ht="20.25">
      <c r="A159" s="21"/>
      <c r="B159" s="34"/>
      <c r="C159" s="35"/>
      <c r="D159" s="35"/>
    </row>
    <row r="160" spans="1:4" ht="20.25">
      <c r="A160" s="21"/>
      <c r="B160" s="34"/>
      <c r="C160" s="35"/>
      <c r="D160" s="35"/>
    </row>
    <row r="161" spans="1:4" ht="20.25">
      <c r="A161" s="21"/>
      <c r="B161" s="34"/>
      <c r="C161" s="35"/>
      <c r="D161" s="35"/>
    </row>
    <row r="162" spans="1:4" ht="20.25">
      <c r="A162" s="21"/>
      <c r="B162" s="34"/>
      <c r="C162" s="35"/>
      <c r="D162" s="35"/>
    </row>
    <row r="163" spans="1:4" ht="20.25">
      <c r="A163" s="21"/>
      <c r="B163" s="34"/>
      <c r="C163" s="35"/>
      <c r="D163" s="35"/>
    </row>
    <row r="164" spans="1:4" ht="20.25">
      <c r="A164" s="21"/>
      <c r="B164" s="34"/>
      <c r="C164" s="35"/>
      <c r="D164" s="35"/>
    </row>
    <row r="165" spans="1:4" ht="20.25">
      <c r="A165" s="21"/>
      <c r="B165" s="34"/>
      <c r="C165" s="35"/>
      <c r="D165" s="35"/>
    </row>
    <row r="166" spans="1:4" ht="20.25">
      <c r="A166" s="21"/>
      <c r="B166" s="34"/>
      <c r="C166" s="35"/>
      <c r="D166" s="35"/>
    </row>
    <row r="167" spans="1:4" ht="20.25">
      <c r="A167" s="21"/>
      <c r="B167" s="34"/>
      <c r="C167" s="35"/>
      <c r="D167" s="35"/>
    </row>
    <row r="168" spans="1:4" ht="20.25">
      <c r="A168" s="21"/>
      <c r="B168" s="34"/>
      <c r="C168" s="35"/>
      <c r="D168" s="35"/>
    </row>
    <row r="169" spans="1:4" ht="20.25">
      <c r="A169" s="21"/>
      <c r="B169" s="34"/>
      <c r="C169" s="35"/>
      <c r="D169" s="35"/>
    </row>
    <row r="170" spans="1:4" ht="20.25">
      <c r="A170" s="21"/>
      <c r="B170" s="34"/>
      <c r="C170" s="35"/>
      <c r="D170" s="35"/>
    </row>
    <row r="171" spans="1:4" ht="20.25">
      <c r="A171" s="21"/>
      <c r="B171" s="34"/>
      <c r="C171" s="35"/>
      <c r="D171" s="35"/>
    </row>
    <row r="172" spans="1:4" ht="20.25">
      <c r="A172" s="21"/>
      <c r="B172" s="34"/>
      <c r="C172" s="35"/>
      <c r="D172" s="35"/>
    </row>
    <row r="173" spans="1:4" ht="20.25">
      <c r="A173" s="21"/>
      <c r="B173" s="34"/>
      <c r="C173" s="35"/>
      <c r="D173" s="35"/>
    </row>
    <row r="174" spans="1:4" ht="20.25">
      <c r="A174" s="21"/>
      <c r="B174" s="34"/>
      <c r="C174" s="35"/>
      <c r="D174" s="35"/>
    </row>
    <row r="175" spans="1:4" ht="20.25">
      <c r="A175" s="21"/>
      <c r="B175" s="34"/>
      <c r="C175" s="35"/>
      <c r="D175" s="35"/>
    </row>
    <row r="176" spans="1:4" ht="20.25">
      <c r="A176" s="21"/>
      <c r="B176" s="34"/>
      <c r="C176" s="35"/>
      <c r="D176" s="35"/>
    </row>
    <row r="177" spans="1:4" ht="20.25">
      <c r="A177" s="21"/>
      <c r="B177" s="34"/>
      <c r="C177" s="35"/>
      <c r="D177" s="35"/>
    </row>
    <row r="178" spans="1:4" ht="20.25">
      <c r="A178" s="21"/>
      <c r="B178" s="34"/>
      <c r="C178" s="35"/>
      <c r="D178" s="35"/>
    </row>
    <row r="179" spans="1:4" ht="20.25">
      <c r="A179" s="21"/>
      <c r="B179" s="34"/>
      <c r="C179" s="35"/>
      <c r="D179" s="35"/>
    </row>
    <row r="180" spans="1:4" ht="20.25">
      <c r="A180" s="21"/>
      <c r="B180" s="34"/>
      <c r="C180" s="35"/>
      <c r="D180" s="35"/>
    </row>
    <row r="181" spans="1:4" ht="20.25">
      <c r="A181" s="21"/>
      <c r="B181" s="34"/>
      <c r="C181" s="35"/>
      <c r="D181" s="35"/>
    </row>
    <row r="182" spans="1:4" ht="20.25">
      <c r="A182" s="21"/>
      <c r="B182" s="34"/>
      <c r="C182" s="35"/>
      <c r="D182" s="35"/>
    </row>
    <row r="183" spans="1:4" ht="20.25">
      <c r="A183" s="21"/>
      <c r="B183" s="34"/>
      <c r="C183" s="35"/>
      <c r="D183" s="35"/>
    </row>
    <row r="184" spans="1:4" ht="20.25">
      <c r="A184" s="21"/>
      <c r="B184" s="34"/>
      <c r="C184" s="35"/>
      <c r="D184" s="35"/>
    </row>
    <row r="185" spans="1:4" ht="20.25">
      <c r="A185" s="21"/>
      <c r="B185" s="34"/>
      <c r="C185" s="35"/>
      <c r="D185" s="35"/>
    </row>
    <row r="186" spans="1:4" ht="20.25">
      <c r="A186" s="21"/>
      <c r="B186" s="34"/>
      <c r="C186" s="35"/>
      <c r="D186" s="35"/>
    </row>
    <row r="187" spans="1:4" ht="20.25">
      <c r="A187" s="21"/>
      <c r="B187" s="34"/>
      <c r="C187" s="35"/>
      <c r="D187" s="35"/>
    </row>
    <row r="188" spans="1:4" ht="20.25">
      <c r="A188" s="21"/>
      <c r="B188" s="34"/>
      <c r="C188" s="35"/>
      <c r="D188" s="35"/>
    </row>
    <row r="189" spans="1:4" ht="20.25">
      <c r="A189" s="21"/>
      <c r="B189" s="34"/>
      <c r="C189" s="35"/>
      <c r="D189" s="35"/>
    </row>
    <row r="190" spans="1:4" ht="20.25">
      <c r="A190" s="21"/>
      <c r="B190" s="34"/>
      <c r="C190" s="35"/>
      <c r="D190" s="35"/>
    </row>
    <row r="191" spans="1:4" ht="20.25">
      <c r="A191" s="21"/>
      <c r="B191" s="34"/>
      <c r="C191" s="35"/>
      <c r="D191" s="35"/>
    </row>
    <row r="192" spans="1:4" ht="20.25">
      <c r="A192" s="21"/>
      <c r="B192" s="34"/>
      <c r="C192" s="35"/>
      <c r="D192" s="35"/>
    </row>
    <row r="193" spans="1:4" ht="20.25">
      <c r="A193" s="21"/>
      <c r="B193" s="34"/>
      <c r="C193" s="35"/>
      <c r="D193" s="35"/>
    </row>
    <row r="194" spans="1:4" ht="20.25">
      <c r="A194" s="21"/>
      <c r="B194" s="34"/>
      <c r="C194" s="35"/>
      <c r="D194" s="35"/>
    </row>
    <row r="195" spans="1:4" ht="20.25">
      <c r="A195" s="21"/>
      <c r="B195" s="34"/>
      <c r="C195" s="35"/>
      <c r="D195" s="35"/>
    </row>
    <row r="196" spans="1:4" ht="20.25">
      <c r="A196" s="21"/>
      <c r="B196" s="34"/>
      <c r="C196" s="35"/>
      <c r="D196" s="35"/>
    </row>
    <row r="197" spans="1:4" ht="20.25">
      <c r="A197" s="21"/>
      <c r="B197" s="34"/>
      <c r="C197" s="35"/>
      <c r="D197" s="35"/>
    </row>
    <row r="198" spans="1:4" ht="20.25">
      <c r="A198" s="21"/>
      <c r="B198" s="34"/>
      <c r="C198" s="35"/>
      <c r="D198" s="35"/>
    </row>
    <row r="199" spans="1:4" ht="20.25">
      <c r="A199" s="21"/>
      <c r="B199" s="34"/>
      <c r="C199" s="35"/>
      <c r="D199" s="35"/>
    </row>
    <row r="200" spans="1:4" ht="20.25">
      <c r="A200" s="21"/>
      <c r="B200" s="34"/>
      <c r="C200" s="35"/>
      <c r="D200" s="35"/>
    </row>
    <row r="201" spans="1:4" ht="20.25">
      <c r="A201" s="21"/>
      <c r="B201" s="34"/>
      <c r="C201" s="35"/>
      <c r="D201" s="35"/>
    </row>
    <row r="202" spans="1:4" ht="20.25">
      <c r="A202" s="21"/>
      <c r="B202" s="34"/>
      <c r="C202" s="35"/>
      <c r="D202" s="35"/>
    </row>
    <row r="203" spans="1:4" ht="20.25">
      <c r="A203" s="21"/>
      <c r="B203" s="34"/>
      <c r="C203" s="35"/>
      <c r="D203" s="35"/>
    </row>
    <row r="204" spans="1:4" ht="20.25">
      <c r="A204" s="21"/>
      <c r="B204" s="34"/>
      <c r="C204" s="35"/>
      <c r="D204" s="35"/>
    </row>
    <row r="205" spans="1:4" ht="20.25">
      <c r="A205" s="21"/>
      <c r="B205" s="34"/>
      <c r="C205" s="35"/>
      <c r="D205" s="35"/>
    </row>
    <row r="206" spans="1:4" ht="20.25">
      <c r="A206" s="21"/>
      <c r="B206" s="34"/>
      <c r="C206" s="35"/>
      <c r="D206" s="35"/>
    </row>
    <row r="207" spans="1:4" ht="20.25">
      <c r="A207" s="21"/>
      <c r="B207" s="34"/>
      <c r="C207" s="35"/>
      <c r="D207" s="35"/>
    </row>
    <row r="208" spans="1:4">
      <c r="A208" s="18"/>
      <c r="B208" s="34"/>
      <c r="C208" s="34"/>
      <c r="D208" s="34"/>
    </row>
    <row r="209" spans="1:8" ht="20.25">
      <c r="A209" s="18"/>
      <c r="B209" s="36" t="s">
        <v>1570</v>
      </c>
      <c r="C209" s="36" t="s">
        <v>1571</v>
      </c>
      <c r="D209" t="s">
        <v>1570</v>
      </c>
      <c r="E209" t="s">
        <v>1571</v>
      </c>
    </row>
    <row r="210" spans="1:8" ht="21">
      <c r="A210" s="18"/>
      <c r="B210" s="37" t="s">
        <v>1572</v>
      </c>
      <c r="C210" s="37" t="s">
        <v>1573</v>
      </c>
      <c r="D210" t="s">
        <v>1572</v>
      </c>
      <c r="F210" t="str">
        <f>IF(NOT(ISBLANK(D210)),D210,IF(NOT(ISBLANK(E210)),"     "&amp;E210,FALSE))</f>
        <v>Afectación Económica o presupuestal</v>
      </c>
      <c r="G210" t="s">
        <v>1572</v>
      </c>
      <c r="H210" t="str">
        <f>IF(NOT(ISERROR(MATCH(G210,_xlfn.ANCHORARRAY(B221),0))),F223&amp;"Por favor no seleccionar los criterios de impacto",G210)</f>
        <v>❌Por favor no seleccionar los criterios de impacto</v>
      </c>
    </row>
    <row r="211" spans="1:8" ht="21">
      <c r="A211" s="18"/>
      <c r="B211" s="37" t="s">
        <v>1572</v>
      </c>
      <c r="C211" s="37" t="s">
        <v>1555</v>
      </c>
      <c r="E211" t="s">
        <v>1573</v>
      </c>
      <c r="F211" t="str">
        <f t="shared" ref="F211:F221" si="0">IF(NOT(ISBLANK(D211)),D211,IF(NOT(ISBLANK(E211)),"     "&amp;E211,FALSE))</f>
        <v>Afectación menor a 10 SMLMV .</v>
      </c>
    </row>
    <row r="212" spans="1:8" ht="21">
      <c r="A212" s="18"/>
      <c r="B212" s="37" t="s">
        <v>1572</v>
      </c>
      <c r="C212" s="37" t="s">
        <v>1558</v>
      </c>
      <c r="E212" t="s">
        <v>1555</v>
      </c>
      <c r="F212" t="str">
        <f t="shared" si="0"/>
        <v>Entre 10 y 50 SMLMV</v>
      </c>
    </row>
    <row r="213" spans="1:8" ht="21">
      <c r="A213" s="18"/>
      <c r="B213" s="37" t="s">
        <v>1572</v>
      </c>
      <c r="C213" s="37" t="s">
        <v>1561</v>
      </c>
      <c r="E213" t="s">
        <v>1558</v>
      </c>
      <c r="F213" t="str">
        <f t="shared" si="0"/>
        <v>Entre 50 y 100 SMLMV</v>
      </c>
    </row>
    <row r="214" spans="1:8" ht="21">
      <c r="A214" s="18"/>
      <c r="B214" s="37" t="s">
        <v>1572</v>
      </c>
      <c r="C214" s="37" t="s">
        <v>1564</v>
      </c>
      <c r="E214" t="s">
        <v>1561</v>
      </c>
      <c r="F214" t="str">
        <f t="shared" si="0"/>
        <v>Entre 100 y 500 SMLMV</v>
      </c>
    </row>
    <row r="215" spans="1:8" ht="21">
      <c r="A215" s="18"/>
      <c r="B215" s="37" t="s">
        <v>1549</v>
      </c>
      <c r="C215" s="37" t="s">
        <v>1553</v>
      </c>
      <c r="E215" t="s">
        <v>1564</v>
      </c>
      <c r="F215" t="str">
        <f t="shared" si="0"/>
        <v>Mayor a 500 SMLMV</v>
      </c>
    </row>
    <row r="216" spans="1:8" ht="21">
      <c r="A216" s="18"/>
      <c r="B216" s="37" t="s">
        <v>1549</v>
      </c>
      <c r="C216" s="37" t="s">
        <v>1556</v>
      </c>
      <c r="D216" t="s">
        <v>1549</v>
      </c>
      <c r="F216" t="str">
        <f t="shared" si="0"/>
        <v>Pérdida Reputacional</v>
      </c>
    </row>
    <row r="217" spans="1:8" ht="21">
      <c r="A217" s="18"/>
      <c r="B217" s="37" t="s">
        <v>1549</v>
      </c>
      <c r="C217" s="37" t="s">
        <v>1559</v>
      </c>
      <c r="E217" t="s">
        <v>1553</v>
      </c>
      <c r="F217" t="str">
        <f t="shared" si="0"/>
        <v>El riesgo afecta la imagen de alguna área de la organización</v>
      </c>
    </row>
    <row r="218" spans="1:8" ht="21">
      <c r="A218" s="18"/>
      <c r="B218" s="37" t="s">
        <v>1549</v>
      </c>
      <c r="C218" s="37" t="s">
        <v>1562</v>
      </c>
      <c r="E218" t="s">
        <v>1556</v>
      </c>
      <c r="F218" t="str">
        <f t="shared" si="0"/>
        <v>El riesgo afecta la imagen de la entidad internamente, de conocimiento general, nivel interno, de junta dircetiva y accionistas y/o de provedores</v>
      </c>
    </row>
    <row r="219" spans="1:8" ht="21">
      <c r="A219" s="18"/>
      <c r="B219" s="37" t="s">
        <v>1549</v>
      </c>
      <c r="C219" s="37" t="s">
        <v>1565</v>
      </c>
      <c r="E219" t="s">
        <v>1559</v>
      </c>
      <c r="F219" t="str">
        <f t="shared" si="0"/>
        <v>El riesgo afecta la imagen de la entidad con algunos usuarios de relevancia frente al logro de los objetivos</v>
      </c>
    </row>
    <row r="220" spans="1:8">
      <c r="A220" s="18"/>
      <c r="B220" s="38"/>
      <c r="C220" s="38"/>
      <c r="E220" t="s">
        <v>1562</v>
      </c>
      <c r="F220" t="str">
        <f t="shared" si="0"/>
        <v>El riesgo afecta la imagen de de la entidad con efecto publicitario sostenido a nivel de sector administrativo, nivel departamental o municipal</v>
      </c>
    </row>
    <row r="221" spans="1:8">
      <c r="A221" s="18"/>
      <c r="B221" s="38" t="str" cm="1">
        <f t="array" ref="B221:B223">_xlfn.UNIQUE(Tabla1[[#All],[Criterios]])</f>
        <v>Criterios</v>
      </c>
      <c r="C221" s="38"/>
      <c r="E221" t="s">
        <v>1565</v>
      </c>
      <c r="F221" t="str">
        <f t="shared" si="0"/>
        <v>El riesgo afecta la imagen de la entidad a nivel nacional, con efecto publicitarios sostenible a nivel país</v>
      </c>
    </row>
    <row r="222" spans="1:8">
      <c r="A222" s="18"/>
      <c r="B222" s="38" t="str">
        <v>Afectación Económica o presupuestal</v>
      </c>
      <c r="C222" s="38"/>
    </row>
    <row r="223" spans="1:8">
      <c r="B223" s="38" t="str">
        <v>Pérdida Reputacional</v>
      </c>
      <c r="C223" s="38"/>
      <c r="F223" s="39" t="s">
        <v>1574</v>
      </c>
    </row>
    <row r="224" spans="1:8">
      <c r="B224" s="40"/>
      <c r="C224" s="40"/>
      <c r="F224" s="39" t="s">
        <v>1575</v>
      </c>
    </row>
    <row r="225" spans="2:4">
      <c r="B225" s="40"/>
      <c r="C225" s="40"/>
    </row>
    <row r="226" spans="2:4">
      <c r="B226" s="40"/>
      <c r="C226" s="40"/>
    </row>
    <row r="227" spans="2:4">
      <c r="B227" s="40"/>
      <c r="C227" s="40"/>
      <c r="D227" s="40"/>
    </row>
    <row r="228" spans="2:4">
      <c r="B228" s="40"/>
      <c r="C228" s="40"/>
      <c r="D228" s="40"/>
    </row>
    <row r="229" spans="2:4">
      <c r="B229" s="40"/>
      <c r="C229" s="40"/>
      <c r="D229" s="40"/>
    </row>
    <row r="230" spans="2:4">
      <c r="B230" s="40"/>
      <c r="C230" s="40"/>
      <c r="D230" s="40"/>
    </row>
    <row r="231" spans="2:4">
      <c r="B231" s="40"/>
      <c r="C231" s="40"/>
      <c r="D231" s="40"/>
    </row>
    <row r="232" spans="2:4">
      <c r="B232" s="40"/>
      <c r="C232" s="40"/>
      <c r="D232" s="40"/>
    </row>
  </sheetData>
  <mergeCells count="1">
    <mergeCell ref="B1:D1"/>
  </mergeCells>
  <dataValidations count="1">
    <dataValidation type="list" allowBlank="1" showInputMessage="1" showErrorMessage="1" sqref="G210">
      <formula1>$F$210:$F$221</formula1>
    </dataValidation>
  </dataValidations>
  <pageMargins left="0.7" right="0.7" top="0.75" bottom="0.75" header="0.3" footer="0.3"/>
  <pageSetup orientation="portrait"/>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6"/>
  <sheetViews>
    <sheetView workbookViewId="0">
      <selection activeCell="C4" sqref="C4:C6"/>
    </sheetView>
  </sheetViews>
  <sheetFormatPr baseColWidth="10" defaultColWidth="14.28515625" defaultRowHeight="12.75"/>
  <cols>
    <col min="1" max="2" width="14.28515625" style="3"/>
    <col min="3" max="3" width="17" style="3" customWidth="1"/>
    <col min="4" max="4" width="14.28515625" style="3"/>
    <col min="5" max="5" width="46" style="3" customWidth="1"/>
    <col min="6" max="16384" width="14.28515625" style="3"/>
  </cols>
  <sheetData>
    <row r="1" spans="2:6" ht="24" customHeight="1">
      <c r="B1" s="883" t="s">
        <v>1576</v>
      </c>
      <c r="C1" s="884"/>
      <c r="D1" s="884"/>
      <c r="E1" s="884"/>
      <c r="F1" s="885"/>
    </row>
    <row r="2" spans="2:6" ht="15.75">
      <c r="B2" s="4"/>
      <c r="C2" s="4"/>
      <c r="D2" s="4"/>
      <c r="E2" s="4"/>
      <c r="F2" s="4"/>
    </row>
    <row r="3" spans="2:6" ht="15.75">
      <c r="B3" s="886" t="s">
        <v>1577</v>
      </c>
      <c r="C3" s="887"/>
      <c r="D3" s="887"/>
      <c r="E3" s="5" t="s">
        <v>1445</v>
      </c>
      <c r="F3" s="6" t="s">
        <v>1578</v>
      </c>
    </row>
    <row r="4" spans="2:6" ht="31.5">
      <c r="B4" s="889" t="s">
        <v>1579</v>
      </c>
      <c r="C4" s="892" t="s">
        <v>320</v>
      </c>
      <c r="D4" s="7" t="s">
        <v>381</v>
      </c>
      <c r="E4" s="8" t="s">
        <v>1580</v>
      </c>
      <c r="F4" s="9">
        <v>0.25</v>
      </c>
    </row>
    <row r="5" spans="2:6" ht="47.25">
      <c r="B5" s="890"/>
      <c r="C5" s="893"/>
      <c r="D5" s="10" t="s">
        <v>417</v>
      </c>
      <c r="E5" s="11" t="s">
        <v>1581</v>
      </c>
      <c r="F5" s="12">
        <v>0.15</v>
      </c>
    </row>
    <row r="6" spans="2:6" ht="47.25">
      <c r="B6" s="890"/>
      <c r="C6" s="893"/>
      <c r="D6" s="10" t="s">
        <v>813</v>
      </c>
      <c r="E6" s="11" t="s">
        <v>1582</v>
      </c>
      <c r="F6" s="12">
        <v>0.1</v>
      </c>
    </row>
    <row r="7" spans="2:6" ht="63">
      <c r="B7" s="890"/>
      <c r="C7" s="893" t="s">
        <v>321</v>
      </c>
      <c r="D7" s="10" t="s">
        <v>1583</v>
      </c>
      <c r="E7" s="11" t="s">
        <v>1584</v>
      </c>
      <c r="F7" s="12">
        <v>0.25</v>
      </c>
    </row>
    <row r="8" spans="2:6" ht="31.5">
      <c r="B8" s="890"/>
      <c r="C8" s="893"/>
      <c r="D8" s="10" t="s">
        <v>382</v>
      </c>
      <c r="E8" s="11" t="s">
        <v>1585</v>
      </c>
      <c r="F8" s="12">
        <v>0.15</v>
      </c>
    </row>
    <row r="9" spans="2:6" ht="47.25">
      <c r="B9" s="890" t="s">
        <v>1586</v>
      </c>
      <c r="C9" s="893" t="s">
        <v>323</v>
      </c>
      <c r="D9" s="10" t="s">
        <v>383</v>
      </c>
      <c r="E9" s="11" t="s">
        <v>1587</v>
      </c>
      <c r="F9" s="13" t="s">
        <v>1588</v>
      </c>
    </row>
    <row r="10" spans="2:6" ht="63">
      <c r="B10" s="890"/>
      <c r="C10" s="893"/>
      <c r="D10" s="10" t="s">
        <v>491</v>
      </c>
      <c r="E10" s="11" t="s">
        <v>1589</v>
      </c>
      <c r="F10" s="13" t="s">
        <v>1588</v>
      </c>
    </row>
    <row r="11" spans="2:6" ht="47.25">
      <c r="B11" s="890"/>
      <c r="C11" s="893" t="s">
        <v>324</v>
      </c>
      <c r="D11" s="10" t="s">
        <v>384</v>
      </c>
      <c r="E11" s="11" t="s">
        <v>1590</v>
      </c>
      <c r="F11" s="13" t="s">
        <v>1588</v>
      </c>
    </row>
    <row r="12" spans="2:6" ht="47.25">
      <c r="B12" s="890"/>
      <c r="C12" s="893"/>
      <c r="D12" s="10" t="s">
        <v>765</v>
      </c>
      <c r="E12" s="11" t="s">
        <v>1591</v>
      </c>
      <c r="F12" s="13" t="s">
        <v>1588</v>
      </c>
    </row>
    <row r="13" spans="2:6" ht="31.5">
      <c r="B13" s="890"/>
      <c r="C13" s="893" t="s">
        <v>325</v>
      </c>
      <c r="D13" s="10" t="s">
        <v>385</v>
      </c>
      <c r="E13" s="11" t="s">
        <v>1592</v>
      </c>
      <c r="F13" s="13" t="s">
        <v>1588</v>
      </c>
    </row>
    <row r="14" spans="2:6" ht="31.5">
      <c r="B14" s="891"/>
      <c r="C14" s="894"/>
      <c r="D14" s="14" t="s">
        <v>742</v>
      </c>
      <c r="E14" s="15" t="s">
        <v>1593</v>
      </c>
      <c r="F14" s="16" t="s">
        <v>1588</v>
      </c>
    </row>
    <row r="15" spans="2:6" ht="49.5" customHeight="1">
      <c r="B15" s="888" t="s">
        <v>1594</v>
      </c>
      <c r="C15" s="888"/>
      <c r="D15" s="888"/>
      <c r="E15" s="888"/>
      <c r="F15" s="888"/>
    </row>
    <row r="16" spans="2:6" ht="27" customHeight="1">
      <c r="B16" s="17"/>
    </row>
  </sheetData>
  <mergeCells count="10">
    <mergeCell ref="B1:F1"/>
    <mergeCell ref="B3:D3"/>
    <mergeCell ref="B15:F15"/>
    <mergeCell ref="B4:B8"/>
    <mergeCell ref="B9:B14"/>
    <mergeCell ref="C4:C6"/>
    <mergeCell ref="C7:C8"/>
    <mergeCell ref="C9:C10"/>
    <mergeCell ref="C11:C12"/>
    <mergeCell ref="C13:C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2" sqref="E2"/>
    </sheetView>
  </sheetViews>
  <sheetFormatPr baseColWidth="10" defaultColWidth="11" defaultRowHeight="15"/>
  <sheetData>
    <row r="2" spans="2:5">
      <c r="B2" t="s">
        <v>425</v>
      </c>
      <c r="E2" t="s">
        <v>102</v>
      </c>
    </row>
    <row r="3" spans="2:5">
      <c r="B3" t="s">
        <v>1595</v>
      </c>
      <c r="E3" t="s">
        <v>119</v>
      </c>
    </row>
    <row r="4" spans="2:5">
      <c r="B4" t="s">
        <v>743</v>
      </c>
    </row>
    <row r="5" spans="2:5">
      <c r="B5" t="s">
        <v>386</v>
      </c>
    </row>
    <row r="8" spans="2:5">
      <c r="B8" t="s">
        <v>1596</v>
      </c>
    </row>
    <row r="9" spans="2:5">
      <c r="B9" t="s">
        <v>1597</v>
      </c>
    </row>
    <row r="10" spans="2:5">
      <c r="B10" t="s">
        <v>1598</v>
      </c>
    </row>
    <row r="13" spans="2:5">
      <c r="B13" t="s">
        <v>378</v>
      </c>
    </row>
    <row r="14" spans="2:5">
      <c r="B14" t="s">
        <v>574</v>
      </c>
    </row>
    <row r="15" spans="2:5">
      <c r="B15" t="s">
        <v>436</v>
      </c>
    </row>
    <row r="16" spans="2:5">
      <c r="B16" t="s">
        <v>1358</v>
      </c>
    </row>
    <row r="17" spans="2:2">
      <c r="B17" t="s">
        <v>1280</v>
      </c>
    </row>
    <row r="18" spans="2:2">
      <c r="B18" t="s">
        <v>1599</v>
      </c>
    </row>
    <row r="19" spans="2:2">
      <c r="B19" t="s">
        <v>453</v>
      </c>
    </row>
  </sheetData>
  <sortState ref="B2:B5">
    <sortCondition ref="B2:B5"/>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C11" sqref="C11"/>
    </sheetView>
  </sheetViews>
  <sheetFormatPr baseColWidth="10" defaultColWidth="11.42578125" defaultRowHeight="12.75"/>
  <cols>
    <col min="1" max="1" width="32.85546875" style="1" customWidth="1"/>
    <col min="2" max="16384" width="11.42578125" style="1"/>
  </cols>
  <sheetData>
    <row r="3" spans="1:1">
      <c r="A3" s="2" t="s">
        <v>381</v>
      </c>
    </row>
    <row r="4" spans="1:1">
      <c r="A4" s="2" t="s">
        <v>417</v>
      </c>
    </row>
    <row r="5" spans="1:1">
      <c r="A5" s="2" t="s">
        <v>813</v>
      </c>
    </row>
    <row r="6" spans="1:1">
      <c r="A6" s="2" t="s">
        <v>1583</v>
      </c>
    </row>
    <row r="7" spans="1:1">
      <c r="A7" s="2" t="s">
        <v>382</v>
      </c>
    </row>
    <row r="8" spans="1:1">
      <c r="A8" s="2" t="s">
        <v>383</v>
      </c>
    </row>
    <row r="9" spans="1:1">
      <c r="A9" s="2" t="s">
        <v>491</v>
      </c>
    </row>
    <row r="10" spans="1:1">
      <c r="A10" s="2" t="s">
        <v>384</v>
      </c>
    </row>
    <row r="11" spans="1:1">
      <c r="A11" s="2" t="s">
        <v>765</v>
      </c>
    </row>
    <row r="12" spans="1:1">
      <c r="A12" s="2" t="s">
        <v>1600</v>
      </c>
    </row>
    <row r="13" spans="1:1">
      <c r="A13" s="2" t="s">
        <v>1601</v>
      </c>
    </row>
    <row r="14" spans="1:1">
      <c r="A14" s="2" t="s">
        <v>1602</v>
      </c>
    </row>
    <row r="16" spans="1:1">
      <c r="A16" s="2" t="s">
        <v>1603</v>
      </c>
    </row>
    <row r="17" spans="1:1">
      <c r="A17" s="2" t="s">
        <v>425</v>
      </c>
    </row>
    <row r="18" spans="1:1">
      <c r="A18" s="2" t="s">
        <v>1595</v>
      </c>
    </row>
    <row r="20" spans="1:1">
      <c r="A20" s="2" t="s">
        <v>1597</v>
      </c>
    </row>
    <row r="21" spans="1:1">
      <c r="A21" s="2" t="s">
        <v>1598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Z696"/>
  <sheetViews>
    <sheetView zoomScale="85" zoomScaleNormal="85" workbookViewId="0">
      <selection activeCell="A53" sqref="A53"/>
    </sheetView>
  </sheetViews>
  <sheetFormatPr baseColWidth="10" defaultColWidth="14.42578125" defaultRowHeight="15" customHeight="1"/>
  <cols>
    <col min="1" max="1" width="38.85546875" style="430" customWidth="1"/>
    <col min="2" max="2" width="28" style="430" customWidth="1"/>
    <col min="3" max="3" width="21.28515625" style="430" customWidth="1"/>
    <col min="4" max="5" width="53.140625" style="430" customWidth="1"/>
    <col min="6" max="6" width="64.7109375" style="430" customWidth="1"/>
    <col min="7" max="9" width="13.5703125" style="430" customWidth="1"/>
    <col min="10" max="26" width="13.5703125" style="431" customWidth="1"/>
    <col min="27" max="27" width="13.5703125" style="430" customWidth="1"/>
    <col min="28" max="16384" width="14.42578125" style="430"/>
  </cols>
  <sheetData>
    <row r="1" spans="1:6">
      <c r="A1" s="505"/>
      <c r="B1" s="505"/>
      <c r="C1" s="506"/>
      <c r="D1" s="501" t="s">
        <v>60</v>
      </c>
      <c r="E1" s="502"/>
    </row>
    <row r="2" spans="1:6">
      <c r="A2" s="507"/>
      <c r="B2" s="507"/>
      <c r="C2" s="508"/>
      <c r="D2" s="501" t="s">
        <v>61</v>
      </c>
      <c r="E2" s="502"/>
    </row>
    <row r="3" spans="1:6">
      <c r="A3" s="509"/>
      <c r="B3" s="509"/>
      <c r="C3" s="510"/>
      <c r="D3" s="501" t="s">
        <v>62</v>
      </c>
      <c r="E3" s="502"/>
    </row>
    <row r="4" spans="1:6">
      <c r="A4" s="432"/>
      <c r="B4" s="432"/>
      <c r="C4" s="432"/>
      <c r="D4" s="433"/>
      <c r="E4" s="433"/>
    </row>
    <row r="5" spans="1:6">
      <c r="A5" s="434"/>
      <c r="B5" s="434"/>
      <c r="C5" s="503" t="s">
        <v>63</v>
      </c>
      <c r="D5" s="504"/>
      <c r="E5" s="504"/>
    </row>
    <row r="6" spans="1:6" ht="15.75">
      <c r="A6" s="435" t="s">
        <v>7</v>
      </c>
      <c r="B6" s="435" t="s">
        <v>64</v>
      </c>
      <c r="C6" s="435" t="s">
        <v>65</v>
      </c>
      <c r="D6" s="436" t="s">
        <v>66</v>
      </c>
      <c r="E6" s="436" t="s">
        <v>67</v>
      </c>
    </row>
    <row r="7" spans="1:6">
      <c r="A7" s="437" t="s">
        <v>68</v>
      </c>
      <c r="B7" s="438" t="s">
        <v>69</v>
      </c>
      <c r="C7" s="439" t="s">
        <v>70</v>
      </c>
      <c r="D7" s="440"/>
      <c r="E7" s="440"/>
      <c r="F7" s="441"/>
    </row>
    <row r="8" spans="1:6">
      <c r="A8" s="437" t="s">
        <v>68</v>
      </c>
      <c r="B8" s="438" t="s">
        <v>69</v>
      </c>
      <c r="C8" s="439" t="s">
        <v>70</v>
      </c>
      <c r="D8" s="440"/>
      <c r="E8" s="440"/>
    </row>
    <row r="9" spans="1:6">
      <c r="A9" s="437" t="s">
        <v>68</v>
      </c>
      <c r="B9" s="438" t="s">
        <v>69</v>
      </c>
      <c r="C9" s="439" t="s">
        <v>70</v>
      </c>
      <c r="D9" s="440"/>
      <c r="E9" s="440"/>
    </row>
    <row r="10" spans="1:6">
      <c r="A10" s="437" t="s">
        <v>68</v>
      </c>
      <c r="B10" s="438" t="s">
        <v>71</v>
      </c>
      <c r="C10" s="439" t="s">
        <v>70</v>
      </c>
      <c r="D10" s="440"/>
      <c r="E10" s="440"/>
    </row>
    <row r="11" spans="1:6">
      <c r="A11" s="437" t="s">
        <v>68</v>
      </c>
      <c r="B11" s="438" t="s">
        <v>71</v>
      </c>
      <c r="C11" s="439" t="s">
        <v>70</v>
      </c>
      <c r="D11" s="440"/>
      <c r="E11" s="440"/>
    </row>
    <row r="12" spans="1:6">
      <c r="A12" s="437" t="s">
        <v>68</v>
      </c>
      <c r="B12" s="438" t="s">
        <v>71</v>
      </c>
      <c r="C12" s="439" t="s">
        <v>70</v>
      </c>
      <c r="D12" s="440"/>
      <c r="E12" s="440"/>
    </row>
    <row r="13" spans="1:6">
      <c r="A13" s="437" t="s">
        <v>68</v>
      </c>
      <c r="B13" s="438" t="s">
        <v>7</v>
      </c>
      <c r="C13" s="439" t="s">
        <v>70</v>
      </c>
      <c r="D13" s="440"/>
      <c r="E13" s="440"/>
    </row>
    <row r="14" spans="1:6">
      <c r="A14" s="437" t="s">
        <v>68</v>
      </c>
      <c r="B14" s="438" t="s">
        <v>7</v>
      </c>
      <c r="C14" s="439" t="s">
        <v>70</v>
      </c>
      <c r="D14" s="442"/>
      <c r="E14" s="440"/>
    </row>
    <row r="15" spans="1:6">
      <c r="A15" s="437" t="s">
        <v>68</v>
      </c>
      <c r="B15" s="438" t="s">
        <v>7</v>
      </c>
      <c r="C15" s="439" t="s">
        <v>70</v>
      </c>
      <c r="D15" s="442"/>
      <c r="E15" s="440"/>
    </row>
    <row r="16" spans="1:6" ht="15.75" customHeight="1">
      <c r="A16" s="443"/>
      <c r="B16" s="439"/>
      <c r="C16" s="443"/>
      <c r="D16" s="443"/>
      <c r="E16" s="443"/>
      <c r="F16" s="443"/>
    </row>
    <row r="17" spans="1:6" ht="15.75" customHeight="1">
      <c r="A17" s="434"/>
      <c r="B17" s="434"/>
      <c r="C17" s="503" t="s">
        <v>63</v>
      </c>
      <c r="D17" s="504"/>
      <c r="E17" s="504"/>
      <c r="F17" s="443"/>
    </row>
    <row r="18" spans="1:6" ht="15.75" customHeight="1">
      <c r="A18" s="437" t="s">
        <v>72</v>
      </c>
      <c r="B18" s="438" t="s">
        <v>69</v>
      </c>
      <c r="C18" s="439" t="s">
        <v>70</v>
      </c>
      <c r="D18" s="440"/>
      <c r="E18" s="440"/>
      <c r="F18" s="443"/>
    </row>
    <row r="19" spans="1:6" ht="15.75" customHeight="1">
      <c r="A19" s="437" t="s">
        <v>72</v>
      </c>
      <c r="B19" s="438" t="s">
        <v>69</v>
      </c>
      <c r="C19" s="439" t="s">
        <v>70</v>
      </c>
      <c r="D19" s="440"/>
      <c r="E19" s="440"/>
      <c r="F19" s="443"/>
    </row>
    <row r="20" spans="1:6" ht="15.75" customHeight="1">
      <c r="A20" s="437" t="s">
        <v>72</v>
      </c>
      <c r="B20" s="438" t="s">
        <v>69</v>
      </c>
      <c r="C20" s="439" t="s">
        <v>70</v>
      </c>
      <c r="D20" s="440"/>
      <c r="E20" s="440"/>
      <c r="F20" s="443"/>
    </row>
    <row r="21" spans="1:6" ht="15.75" customHeight="1">
      <c r="A21" s="437" t="s">
        <v>72</v>
      </c>
      <c r="B21" s="438" t="s">
        <v>71</v>
      </c>
      <c r="C21" s="439" t="s">
        <v>70</v>
      </c>
      <c r="D21" s="440"/>
      <c r="E21" s="440"/>
      <c r="F21" s="443"/>
    </row>
    <row r="22" spans="1:6" ht="15.75" customHeight="1">
      <c r="A22" s="437" t="s">
        <v>72</v>
      </c>
      <c r="B22" s="438" t="s">
        <v>71</v>
      </c>
      <c r="C22" s="439" t="s">
        <v>70</v>
      </c>
      <c r="D22" s="440"/>
      <c r="E22" s="440"/>
      <c r="F22" s="443"/>
    </row>
    <row r="23" spans="1:6" ht="15.75" customHeight="1">
      <c r="A23" s="437" t="s">
        <v>72</v>
      </c>
      <c r="B23" s="438" t="s">
        <v>71</v>
      </c>
      <c r="C23" s="439" t="s">
        <v>70</v>
      </c>
      <c r="D23" s="440"/>
      <c r="E23" s="440"/>
      <c r="F23" s="443"/>
    </row>
    <row r="24" spans="1:6" ht="15.75" customHeight="1">
      <c r="A24" s="437" t="s">
        <v>72</v>
      </c>
      <c r="B24" s="438" t="s">
        <v>7</v>
      </c>
      <c r="C24" s="439" t="s">
        <v>70</v>
      </c>
      <c r="D24" s="440"/>
      <c r="E24" s="440"/>
      <c r="F24" s="443"/>
    </row>
    <row r="25" spans="1:6" ht="15.75" customHeight="1">
      <c r="A25" s="437" t="s">
        <v>72</v>
      </c>
      <c r="B25" s="438" t="s">
        <v>7</v>
      </c>
      <c r="C25" s="439" t="s">
        <v>70</v>
      </c>
      <c r="D25" s="442"/>
      <c r="E25" s="440"/>
      <c r="F25" s="443"/>
    </row>
    <row r="26" spans="1:6" ht="15.75" customHeight="1">
      <c r="A26" s="437" t="s">
        <v>72</v>
      </c>
      <c r="B26" s="438" t="s">
        <v>7</v>
      </c>
      <c r="C26" s="439" t="s">
        <v>70</v>
      </c>
      <c r="D26" s="442"/>
      <c r="E26" s="440"/>
      <c r="F26" s="443"/>
    </row>
    <row r="27" spans="1:6" ht="15.75" customHeight="1">
      <c r="A27" s="443"/>
      <c r="B27" s="443"/>
      <c r="C27" s="443"/>
      <c r="D27" s="443"/>
      <c r="E27" s="443"/>
      <c r="F27" s="443"/>
    </row>
    <row r="28" spans="1:6" ht="15.75" customHeight="1">
      <c r="A28" s="434"/>
      <c r="B28" s="434"/>
      <c r="C28" s="503" t="s">
        <v>63</v>
      </c>
      <c r="D28" s="504"/>
      <c r="E28" s="504"/>
      <c r="F28" s="443"/>
    </row>
    <row r="29" spans="1:6" ht="15.75" customHeight="1">
      <c r="A29" s="437" t="s">
        <v>73</v>
      </c>
      <c r="B29" s="438" t="s">
        <v>69</v>
      </c>
      <c r="C29" s="439" t="s">
        <v>70</v>
      </c>
      <c r="D29" s="440"/>
      <c r="E29" s="440"/>
      <c r="F29" s="443"/>
    </row>
    <row r="30" spans="1:6" ht="15.75" customHeight="1">
      <c r="A30" s="437" t="s">
        <v>73</v>
      </c>
      <c r="B30" s="438" t="s">
        <v>69</v>
      </c>
      <c r="C30" s="439" t="s">
        <v>70</v>
      </c>
      <c r="D30" s="440"/>
      <c r="E30" s="440"/>
      <c r="F30" s="443"/>
    </row>
    <row r="31" spans="1:6" ht="15.75" customHeight="1">
      <c r="A31" s="437" t="s">
        <v>73</v>
      </c>
      <c r="B31" s="438" t="s">
        <v>69</v>
      </c>
      <c r="C31" s="439" t="s">
        <v>70</v>
      </c>
      <c r="D31" s="440"/>
      <c r="E31" s="440"/>
      <c r="F31" s="443"/>
    </row>
    <row r="32" spans="1:6" ht="15.75" customHeight="1">
      <c r="A32" s="437" t="s">
        <v>73</v>
      </c>
      <c r="B32" s="438" t="s">
        <v>71</v>
      </c>
      <c r="C32" s="439" t="s">
        <v>70</v>
      </c>
      <c r="D32" s="440"/>
      <c r="E32" s="440"/>
      <c r="F32" s="443"/>
    </row>
    <row r="33" spans="1:6" ht="15.75" customHeight="1">
      <c r="A33" s="437" t="s">
        <v>73</v>
      </c>
      <c r="B33" s="438" t="s">
        <v>71</v>
      </c>
      <c r="C33" s="439" t="s">
        <v>70</v>
      </c>
      <c r="D33" s="440"/>
      <c r="E33" s="440"/>
      <c r="F33" s="443"/>
    </row>
    <row r="34" spans="1:6" ht="15.75" customHeight="1">
      <c r="A34" s="437" t="s">
        <v>73</v>
      </c>
      <c r="B34" s="438" t="s">
        <v>71</v>
      </c>
      <c r="C34" s="439" t="s">
        <v>70</v>
      </c>
      <c r="D34" s="440"/>
      <c r="E34" s="440"/>
      <c r="F34" s="443"/>
    </row>
    <row r="35" spans="1:6" ht="15.75" customHeight="1">
      <c r="A35" s="437" t="s">
        <v>73</v>
      </c>
      <c r="B35" s="438" t="s">
        <v>7</v>
      </c>
      <c r="C35" s="439" t="s">
        <v>70</v>
      </c>
      <c r="D35" s="440"/>
      <c r="E35" s="440"/>
      <c r="F35" s="443"/>
    </row>
    <row r="36" spans="1:6" ht="15.75" customHeight="1">
      <c r="A36" s="437" t="s">
        <v>73</v>
      </c>
      <c r="B36" s="438" t="s">
        <v>7</v>
      </c>
      <c r="C36" s="439" t="s">
        <v>70</v>
      </c>
      <c r="D36" s="442"/>
      <c r="E36" s="440"/>
      <c r="F36" s="443"/>
    </row>
    <row r="37" spans="1:6" ht="15.75" customHeight="1">
      <c r="A37" s="437" t="s">
        <v>73</v>
      </c>
      <c r="B37" s="438" t="s">
        <v>7</v>
      </c>
      <c r="C37" s="439" t="s">
        <v>70</v>
      </c>
      <c r="D37" s="442"/>
      <c r="E37" s="440"/>
      <c r="F37" s="443"/>
    </row>
    <row r="38" spans="1:6" ht="15.75" customHeight="1">
      <c r="A38" s="443"/>
      <c r="B38" s="443"/>
      <c r="C38" s="443"/>
      <c r="D38" s="443"/>
      <c r="E38" s="443"/>
      <c r="F38" s="443"/>
    </row>
    <row r="39" spans="1:6" ht="15.75" customHeight="1">
      <c r="A39" s="434"/>
      <c r="B39" s="434"/>
      <c r="C39" s="503" t="s">
        <v>63</v>
      </c>
      <c r="D39" s="504"/>
      <c r="E39" s="504"/>
      <c r="F39" s="443"/>
    </row>
    <row r="40" spans="1:6" ht="15.75" customHeight="1">
      <c r="A40" s="437" t="s">
        <v>74</v>
      </c>
      <c r="B40" s="438" t="s">
        <v>69</v>
      </c>
      <c r="C40" s="439" t="s">
        <v>70</v>
      </c>
      <c r="D40" s="440"/>
      <c r="E40" s="440"/>
      <c r="F40" s="443"/>
    </row>
    <row r="41" spans="1:6" ht="15.75" customHeight="1">
      <c r="A41" s="437" t="s">
        <v>74</v>
      </c>
      <c r="B41" s="438" t="s">
        <v>69</v>
      </c>
      <c r="C41" s="439" t="s">
        <v>70</v>
      </c>
      <c r="D41" s="440"/>
      <c r="E41" s="440"/>
      <c r="F41" s="443"/>
    </row>
    <row r="42" spans="1:6" ht="15.75" customHeight="1">
      <c r="A42" s="437" t="s">
        <v>74</v>
      </c>
      <c r="B42" s="438" t="s">
        <v>69</v>
      </c>
      <c r="C42" s="439" t="s">
        <v>70</v>
      </c>
      <c r="D42" s="440"/>
      <c r="E42" s="440"/>
      <c r="F42" s="443"/>
    </row>
    <row r="43" spans="1:6" ht="15.75" customHeight="1">
      <c r="A43" s="437" t="s">
        <v>74</v>
      </c>
      <c r="B43" s="438" t="s">
        <v>71</v>
      </c>
      <c r="C43" s="439" t="s">
        <v>70</v>
      </c>
      <c r="D43" s="440"/>
      <c r="E43" s="440"/>
      <c r="F43" s="443"/>
    </row>
    <row r="44" spans="1:6" ht="15.75" customHeight="1">
      <c r="A44" s="437" t="s">
        <v>74</v>
      </c>
      <c r="B44" s="438" t="s">
        <v>71</v>
      </c>
      <c r="C44" s="439" t="s">
        <v>70</v>
      </c>
      <c r="D44" s="440"/>
      <c r="E44" s="440"/>
      <c r="F44" s="443"/>
    </row>
    <row r="45" spans="1:6" ht="15.75" customHeight="1">
      <c r="A45" s="437" t="s">
        <v>74</v>
      </c>
      <c r="B45" s="438" t="s">
        <v>71</v>
      </c>
      <c r="C45" s="439" t="s">
        <v>70</v>
      </c>
      <c r="D45" s="440"/>
      <c r="E45" s="440"/>
      <c r="F45" s="443"/>
    </row>
    <row r="46" spans="1:6" ht="15.75" customHeight="1">
      <c r="A46" s="437" t="s">
        <v>74</v>
      </c>
      <c r="B46" s="438" t="s">
        <v>7</v>
      </c>
      <c r="C46" s="439" t="s">
        <v>70</v>
      </c>
      <c r="D46" s="440"/>
      <c r="E46" s="440"/>
      <c r="F46" s="443"/>
    </row>
    <row r="47" spans="1:6" ht="15.75" customHeight="1">
      <c r="A47" s="437" t="s">
        <v>74</v>
      </c>
      <c r="B47" s="438" t="s">
        <v>7</v>
      </c>
      <c r="C47" s="439" t="s">
        <v>70</v>
      </c>
      <c r="D47" s="442"/>
      <c r="E47" s="440"/>
      <c r="F47" s="443"/>
    </row>
    <row r="48" spans="1:6" ht="15.75" customHeight="1">
      <c r="A48" s="437" t="s">
        <v>74</v>
      </c>
      <c r="B48" s="438" t="s">
        <v>7</v>
      </c>
      <c r="C48" s="439" t="s">
        <v>70</v>
      </c>
      <c r="D48" s="442"/>
      <c r="E48" s="440"/>
      <c r="F48" s="443"/>
    </row>
    <row r="49" spans="1:6" ht="15.75" customHeight="1">
      <c r="A49" s="443"/>
      <c r="B49" s="443"/>
      <c r="C49" s="443"/>
      <c r="D49" s="443"/>
      <c r="E49" s="443"/>
      <c r="F49" s="443"/>
    </row>
    <row r="50" spans="1:6" ht="15.75" customHeight="1">
      <c r="A50" s="434"/>
      <c r="B50" s="434"/>
      <c r="C50" s="503" t="s">
        <v>63</v>
      </c>
      <c r="D50" s="504"/>
      <c r="E50" s="504"/>
      <c r="F50" s="443"/>
    </row>
    <row r="51" spans="1:6" ht="15.75" customHeight="1">
      <c r="A51" s="437" t="s">
        <v>75</v>
      </c>
      <c r="B51" s="438" t="s">
        <v>69</v>
      </c>
      <c r="C51" s="439" t="s">
        <v>70</v>
      </c>
      <c r="D51" s="440"/>
      <c r="E51" s="440"/>
      <c r="F51" s="443"/>
    </row>
    <row r="52" spans="1:6" ht="15.75" customHeight="1">
      <c r="A52" s="437" t="s">
        <v>75</v>
      </c>
      <c r="B52" s="438" t="s">
        <v>69</v>
      </c>
      <c r="C52" s="439" t="s">
        <v>70</v>
      </c>
      <c r="D52" s="440"/>
      <c r="E52" s="440"/>
      <c r="F52" s="443"/>
    </row>
    <row r="53" spans="1:6" ht="15.75" customHeight="1">
      <c r="A53" s="437" t="s">
        <v>75</v>
      </c>
      <c r="B53" s="438" t="s">
        <v>69</v>
      </c>
      <c r="C53" s="439" t="s">
        <v>70</v>
      </c>
      <c r="D53" s="440"/>
      <c r="E53" s="440"/>
      <c r="F53" s="443"/>
    </row>
    <row r="54" spans="1:6" ht="15.75" customHeight="1">
      <c r="A54" s="437" t="s">
        <v>75</v>
      </c>
      <c r="B54" s="438" t="s">
        <v>71</v>
      </c>
      <c r="C54" s="439" t="s">
        <v>70</v>
      </c>
      <c r="D54" s="440"/>
      <c r="E54" s="440"/>
      <c r="F54" s="443"/>
    </row>
    <row r="55" spans="1:6" ht="15.75" customHeight="1">
      <c r="A55" s="437" t="s">
        <v>75</v>
      </c>
      <c r="B55" s="438" t="s">
        <v>71</v>
      </c>
      <c r="C55" s="439" t="s">
        <v>70</v>
      </c>
      <c r="D55" s="440"/>
      <c r="E55" s="440"/>
      <c r="F55" s="443"/>
    </row>
    <row r="56" spans="1:6" ht="15.75" customHeight="1">
      <c r="A56" s="437" t="s">
        <v>75</v>
      </c>
      <c r="B56" s="438" t="s">
        <v>71</v>
      </c>
      <c r="C56" s="439" t="s">
        <v>70</v>
      </c>
      <c r="D56" s="440"/>
      <c r="E56" s="440"/>
      <c r="F56" s="443"/>
    </row>
    <row r="57" spans="1:6" ht="15.75" customHeight="1">
      <c r="A57" s="437" t="s">
        <v>75</v>
      </c>
      <c r="B57" s="438" t="s">
        <v>7</v>
      </c>
      <c r="C57" s="439" t="s">
        <v>70</v>
      </c>
      <c r="D57" s="440"/>
      <c r="E57" s="440"/>
      <c r="F57" s="443"/>
    </row>
    <row r="58" spans="1:6" ht="15.75" customHeight="1">
      <c r="A58" s="437" t="s">
        <v>75</v>
      </c>
      <c r="B58" s="438" t="s">
        <v>7</v>
      </c>
      <c r="C58" s="439" t="s">
        <v>70</v>
      </c>
      <c r="D58" s="442"/>
      <c r="E58" s="440"/>
      <c r="F58" s="443"/>
    </row>
    <row r="59" spans="1:6" ht="15.75" customHeight="1">
      <c r="A59" s="437" t="s">
        <v>75</v>
      </c>
      <c r="B59" s="438" t="s">
        <v>7</v>
      </c>
      <c r="C59" s="439" t="s">
        <v>70</v>
      </c>
      <c r="D59" s="442"/>
      <c r="E59" s="440"/>
      <c r="F59" s="443"/>
    </row>
    <row r="60" spans="1:6" ht="15.75" customHeight="1">
      <c r="A60" s="443"/>
      <c r="B60" s="443"/>
      <c r="C60" s="443"/>
      <c r="D60" s="443"/>
      <c r="E60" s="443"/>
      <c r="F60" s="443"/>
    </row>
    <row r="61" spans="1:6" ht="15.75" customHeight="1">
      <c r="A61" s="434"/>
      <c r="B61" s="434"/>
      <c r="C61" s="503" t="s">
        <v>63</v>
      </c>
      <c r="D61" s="504"/>
      <c r="E61" s="504"/>
      <c r="F61" s="443"/>
    </row>
    <row r="62" spans="1:6" ht="15.75" customHeight="1">
      <c r="A62" s="437" t="s">
        <v>76</v>
      </c>
      <c r="B62" s="438" t="s">
        <v>69</v>
      </c>
      <c r="C62" s="439" t="s">
        <v>70</v>
      </c>
      <c r="D62" s="440"/>
      <c r="E62" s="440"/>
      <c r="F62" s="443"/>
    </row>
    <row r="63" spans="1:6" ht="15.75" customHeight="1">
      <c r="A63" s="437" t="s">
        <v>76</v>
      </c>
      <c r="B63" s="438" t="s">
        <v>69</v>
      </c>
      <c r="C63" s="439" t="s">
        <v>70</v>
      </c>
      <c r="D63" s="440"/>
      <c r="E63" s="440"/>
      <c r="F63" s="443"/>
    </row>
    <row r="64" spans="1:6" ht="15.75" customHeight="1">
      <c r="A64" s="437" t="s">
        <v>76</v>
      </c>
      <c r="B64" s="438" t="s">
        <v>69</v>
      </c>
      <c r="C64" s="439" t="s">
        <v>70</v>
      </c>
      <c r="D64" s="440"/>
      <c r="E64" s="440"/>
      <c r="F64" s="443"/>
    </row>
    <row r="65" spans="1:6" ht="15.75" customHeight="1">
      <c r="A65" s="437" t="s">
        <v>76</v>
      </c>
      <c r="B65" s="438" t="s">
        <v>71</v>
      </c>
      <c r="C65" s="439" t="s">
        <v>70</v>
      </c>
      <c r="D65" s="440"/>
      <c r="E65" s="440"/>
      <c r="F65" s="443"/>
    </row>
    <row r="66" spans="1:6" ht="15.75" customHeight="1">
      <c r="A66" s="437" t="s">
        <v>76</v>
      </c>
      <c r="B66" s="438" t="s">
        <v>71</v>
      </c>
      <c r="C66" s="439" t="s">
        <v>70</v>
      </c>
      <c r="D66" s="440"/>
      <c r="E66" s="440"/>
      <c r="F66" s="443"/>
    </row>
    <row r="67" spans="1:6" ht="15.75" customHeight="1">
      <c r="A67" s="437" t="s">
        <v>76</v>
      </c>
      <c r="B67" s="438" t="s">
        <v>71</v>
      </c>
      <c r="C67" s="439" t="s">
        <v>70</v>
      </c>
      <c r="D67" s="440"/>
      <c r="E67" s="440"/>
      <c r="F67" s="443"/>
    </row>
    <row r="68" spans="1:6" ht="15.75" customHeight="1">
      <c r="A68" s="437" t="s">
        <v>76</v>
      </c>
      <c r="B68" s="438" t="s">
        <v>7</v>
      </c>
      <c r="C68" s="439" t="s">
        <v>70</v>
      </c>
      <c r="D68" s="440"/>
      <c r="E68" s="440"/>
      <c r="F68" s="443"/>
    </row>
    <row r="69" spans="1:6" ht="15.75" customHeight="1">
      <c r="A69" s="437" t="s">
        <v>76</v>
      </c>
      <c r="B69" s="438" t="s">
        <v>7</v>
      </c>
      <c r="C69" s="439" t="s">
        <v>70</v>
      </c>
      <c r="D69" s="442"/>
      <c r="E69" s="440"/>
      <c r="F69" s="443"/>
    </row>
    <row r="70" spans="1:6" ht="15.75" customHeight="1">
      <c r="A70" s="437" t="s">
        <v>76</v>
      </c>
      <c r="B70" s="438" t="s">
        <v>7</v>
      </c>
      <c r="C70" s="439" t="s">
        <v>70</v>
      </c>
      <c r="D70" s="442"/>
      <c r="E70" s="440"/>
      <c r="F70" s="443"/>
    </row>
    <row r="71" spans="1:6" ht="15.75" customHeight="1">
      <c r="A71" s="443"/>
      <c r="B71" s="443"/>
      <c r="C71" s="443"/>
      <c r="D71" s="443"/>
      <c r="E71" s="443"/>
      <c r="F71" s="443"/>
    </row>
    <row r="72" spans="1:6" ht="15.75" customHeight="1">
      <c r="A72" s="434"/>
      <c r="B72" s="434"/>
      <c r="C72" s="503" t="s">
        <v>63</v>
      </c>
      <c r="D72" s="504"/>
      <c r="E72" s="504"/>
      <c r="F72" s="443"/>
    </row>
    <row r="73" spans="1:6" ht="15.75" customHeight="1">
      <c r="A73" s="437" t="s">
        <v>77</v>
      </c>
      <c r="B73" s="438" t="s">
        <v>69</v>
      </c>
      <c r="C73" s="439" t="s">
        <v>70</v>
      </c>
      <c r="D73" s="440"/>
      <c r="E73" s="440"/>
      <c r="F73" s="443"/>
    </row>
    <row r="74" spans="1:6" ht="15.75" customHeight="1">
      <c r="A74" s="437" t="s">
        <v>77</v>
      </c>
      <c r="B74" s="438" t="s">
        <v>69</v>
      </c>
      <c r="C74" s="439" t="s">
        <v>70</v>
      </c>
      <c r="D74" s="440"/>
      <c r="E74" s="440"/>
      <c r="F74" s="443"/>
    </row>
    <row r="75" spans="1:6" ht="15.75" customHeight="1">
      <c r="A75" s="437" t="s">
        <v>77</v>
      </c>
      <c r="B75" s="438" t="s">
        <v>69</v>
      </c>
      <c r="C75" s="439" t="s">
        <v>70</v>
      </c>
      <c r="D75" s="440"/>
      <c r="E75" s="440"/>
      <c r="F75" s="443"/>
    </row>
    <row r="76" spans="1:6" ht="15.75" customHeight="1">
      <c r="A76" s="437" t="s">
        <v>77</v>
      </c>
      <c r="B76" s="438" t="s">
        <v>71</v>
      </c>
      <c r="C76" s="439" t="s">
        <v>70</v>
      </c>
      <c r="D76" s="440"/>
      <c r="E76" s="440"/>
      <c r="F76" s="443"/>
    </row>
    <row r="77" spans="1:6" ht="15.75" customHeight="1">
      <c r="A77" s="437" t="s">
        <v>77</v>
      </c>
      <c r="B77" s="438" t="s">
        <v>71</v>
      </c>
      <c r="C77" s="439" t="s">
        <v>70</v>
      </c>
      <c r="D77" s="440"/>
      <c r="E77" s="440"/>
      <c r="F77" s="443"/>
    </row>
    <row r="78" spans="1:6" ht="15.75" customHeight="1">
      <c r="A78" s="437" t="s">
        <v>77</v>
      </c>
      <c r="B78" s="438" t="s">
        <v>71</v>
      </c>
      <c r="C78" s="439" t="s">
        <v>70</v>
      </c>
      <c r="D78" s="440"/>
      <c r="E78" s="440"/>
      <c r="F78" s="443"/>
    </row>
    <row r="79" spans="1:6" ht="15.75" customHeight="1">
      <c r="A79" s="437" t="s">
        <v>77</v>
      </c>
      <c r="B79" s="438" t="s">
        <v>7</v>
      </c>
      <c r="C79" s="439" t="s">
        <v>70</v>
      </c>
      <c r="D79" s="440"/>
      <c r="E79" s="440"/>
      <c r="F79" s="443"/>
    </row>
    <row r="80" spans="1:6" ht="15.75" customHeight="1">
      <c r="A80" s="437" t="s">
        <v>77</v>
      </c>
      <c r="B80" s="438" t="s">
        <v>7</v>
      </c>
      <c r="C80" s="439" t="s">
        <v>70</v>
      </c>
      <c r="D80" s="442"/>
      <c r="E80" s="440"/>
      <c r="F80" s="443"/>
    </row>
    <row r="81" spans="1:6" ht="15.75" customHeight="1">
      <c r="A81" s="437" t="s">
        <v>77</v>
      </c>
      <c r="B81" s="438" t="s">
        <v>7</v>
      </c>
      <c r="C81" s="439" t="s">
        <v>70</v>
      </c>
      <c r="D81" s="442"/>
      <c r="E81" s="440"/>
      <c r="F81" s="443"/>
    </row>
    <row r="82" spans="1:6" ht="15.75" customHeight="1">
      <c r="A82" s="443"/>
      <c r="B82" s="443"/>
      <c r="C82" s="443"/>
      <c r="D82" s="443"/>
      <c r="E82" s="443"/>
      <c r="F82" s="443"/>
    </row>
    <row r="83" spans="1:6" ht="15.75" customHeight="1">
      <c r="A83" s="434"/>
      <c r="B83" s="434"/>
      <c r="C83" s="503" t="s">
        <v>63</v>
      </c>
      <c r="D83" s="504"/>
      <c r="E83" s="504"/>
      <c r="F83" s="443"/>
    </row>
    <row r="84" spans="1:6" ht="15.75" customHeight="1">
      <c r="A84" s="437" t="s">
        <v>78</v>
      </c>
      <c r="B84" s="438" t="s">
        <v>69</v>
      </c>
      <c r="C84" s="439" t="s">
        <v>70</v>
      </c>
      <c r="D84" s="440"/>
      <c r="E84" s="440"/>
      <c r="F84" s="443"/>
    </row>
    <row r="85" spans="1:6" ht="15.75" customHeight="1">
      <c r="A85" s="437" t="s">
        <v>78</v>
      </c>
      <c r="B85" s="438" t="s">
        <v>69</v>
      </c>
      <c r="C85" s="439" t="s">
        <v>70</v>
      </c>
      <c r="D85" s="440"/>
      <c r="E85" s="440"/>
      <c r="F85" s="443"/>
    </row>
    <row r="86" spans="1:6" ht="15.75" customHeight="1">
      <c r="A86" s="437" t="s">
        <v>78</v>
      </c>
      <c r="B86" s="438" t="s">
        <v>69</v>
      </c>
      <c r="C86" s="439" t="s">
        <v>70</v>
      </c>
      <c r="D86" s="440"/>
      <c r="E86" s="440"/>
      <c r="F86" s="443"/>
    </row>
    <row r="87" spans="1:6" ht="15.75" customHeight="1">
      <c r="A87" s="437" t="s">
        <v>78</v>
      </c>
      <c r="B87" s="438" t="s">
        <v>71</v>
      </c>
      <c r="C87" s="439" t="s">
        <v>70</v>
      </c>
      <c r="D87" s="440"/>
      <c r="E87" s="440"/>
      <c r="F87" s="443"/>
    </row>
    <row r="88" spans="1:6" ht="15.75" customHeight="1">
      <c r="A88" s="437" t="s">
        <v>78</v>
      </c>
      <c r="B88" s="438" t="s">
        <v>71</v>
      </c>
      <c r="C88" s="439" t="s">
        <v>70</v>
      </c>
      <c r="D88" s="440"/>
      <c r="E88" s="440"/>
      <c r="F88" s="443"/>
    </row>
    <row r="89" spans="1:6" ht="15.75" customHeight="1">
      <c r="A89" s="437" t="s">
        <v>78</v>
      </c>
      <c r="B89" s="438" t="s">
        <v>71</v>
      </c>
      <c r="C89" s="439" t="s">
        <v>70</v>
      </c>
      <c r="D89" s="440"/>
      <c r="E89" s="440"/>
      <c r="F89" s="443"/>
    </row>
    <row r="90" spans="1:6" ht="15.75" customHeight="1">
      <c r="A90" s="437" t="s">
        <v>78</v>
      </c>
      <c r="B90" s="438" t="s">
        <v>7</v>
      </c>
      <c r="C90" s="439" t="s">
        <v>70</v>
      </c>
      <c r="D90" s="440"/>
      <c r="E90" s="440"/>
      <c r="F90" s="443"/>
    </row>
    <row r="91" spans="1:6" ht="15.75" customHeight="1">
      <c r="A91" s="437" t="s">
        <v>78</v>
      </c>
      <c r="B91" s="438" t="s">
        <v>7</v>
      </c>
      <c r="C91" s="439" t="s">
        <v>70</v>
      </c>
      <c r="D91" s="442"/>
      <c r="E91" s="440"/>
      <c r="F91" s="443"/>
    </row>
    <row r="92" spans="1:6" ht="15.75" customHeight="1">
      <c r="A92" s="437" t="s">
        <v>78</v>
      </c>
      <c r="B92" s="438" t="s">
        <v>7</v>
      </c>
      <c r="C92" s="439" t="s">
        <v>70</v>
      </c>
      <c r="D92" s="442"/>
      <c r="E92" s="440"/>
      <c r="F92" s="443"/>
    </row>
    <row r="93" spans="1:6" ht="15.75" customHeight="1">
      <c r="A93" s="443"/>
      <c r="B93" s="443"/>
      <c r="C93" s="443"/>
      <c r="D93" s="443"/>
      <c r="E93" s="443"/>
      <c r="F93" s="443"/>
    </row>
    <row r="94" spans="1:6" ht="15.75" customHeight="1">
      <c r="A94" s="434"/>
      <c r="B94" s="434"/>
      <c r="C94" s="503" t="s">
        <v>63</v>
      </c>
      <c r="D94" s="504"/>
      <c r="E94" s="504"/>
      <c r="F94" s="443"/>
    </row>
    <row r="95" spans="1:6" ht="15.75" customHeight="1">
      <c r="A95" s="437" t="s">
        <v>79</v>
      </c>
      <c r="B95" s="438" t="s">
        <v>69</v>
      </c>
      <c r="C95" s="439" t="s">
        <v>70</v>
      </c>
      <c r="D95" s="440"/>
      <c r="E95" s="440"/>
      <c r="F95" s="443"/>
    </row>
    <row r="96" spans="1:6" ht="15.75" customHeight="1">
      <c r="A96" s="437" t="s">
        <v>79</v>
      </c>
      <c r="B96" s="438" t="s">
        <v>69</v>
      </c>
      <c r="C96" s="439" t="s">
        <v>70</v>
      </c>
      <c r="D96" s="440"/>
      <c r="E96" s="440"/>
      <c r="F96" s="443"/>
    </row>
    <row r="97" spans="1:6" ht="15.75" customHeight="1">
      <c r="A97" s="437" t="s">
        <v>79</v>
      </c>
      <c r="B97" s="438" t="s">
        <v>69</v>
      </c>
      <c r="C97" s="439" t="s">
        <v>70</v>
      </c>
      <c r="D97" s="440"/>
      <c r="E97" s="440"/>
      <c r="F97" s="443"/>
    </row>
    <row r="98" spans="1:6" ht="15.75" customHeight="1">
      <c r="A98" s="437" t="s">
        <v>79</v>
      </c>
      <c r="B98" s="438" t="s">
        <v>71</v>
      </c>
      <c r="C98" s="439" t="s">
        <v>70</v>
      </c>
      <c r="D98" s="440"/>
      <c r="E98" s="440"/>
      <c r="F98" s="443"/>
    </row>
    <row r="99" spans="1:6" ht="15.75" customHeight="1">
      <c r="A99" s="437" t="s">
        <v>79</v>
      </c>
      <c r="B99" s="438" t="s">
        <v>71</v>
      </c>
      <c r="C99" s="439" t="s">
        <v>70</v>
      </c>
      <c r="D99" s="440"/>
      <c r="E99" s="440"/>
      <c r="F99" s="443"/>
    </row>
    <row r="100" spans="1:6" ht="15.75" customHeight="1">
      <c r="A100" s="437" t="s">
        <v>79</v>
      </c>
      <c r="B100" s="438" t="s">
        <v>71</v>
      </c>
      <c r="C100" s="439" t="s">
        <v>70</v>
      </c>
      <c r="D100" s="440"/>
      <c r="E100" s="440"/>
      <c r="F100" s="443"/>
    </row>
    <row r="101" spans="1:6" ht="15.75" customHeight="1">
      <c r="A101" s="437" t="s">
        <v>79</v>
      </c>
      <c r="B101" s="438" t="s">
        <v>7</v>
      </c>
      <c r="C101" s="439" t="s">
        <v>70</v>
      </c>
      <c r="D101" s="440"/>
      <c r="E101" s="440"/>
      <c r="F101" s="443"/>
    </row>
    <row r="102" spans="1:6" ht="15.75" customHeight="1">
      <c r="A102" s="437" t="s">
        <v>79</v>
      </c>
      <c r="B102" s="438" t="s">
        <v>7</v>
      </c>
      <c r="C102" s="439" t="s">
        <v>70</v>
      </c>
      <c r="D102" s="442"/>
      <c r="E102" s="440"/>
      <c r="F102" s="443"/>
    </row>
    <row r="103" spans="1:6" ht="15.75" customHeight="1">
      <c r="A103" s="437" t="s">
        <v>79</v>
      </c>
      <c r="B103" s="438" t="s">
        <v>7</v>
      </c>
      <c r="C103" s="439" t="s">
        <v>70</v>
      </c>
      <c r="D103" s="442"/>
      <c r="E103" s="440"/>
      <c r="F103" s="443"/>
    </row>
    <row r="104" spans="1:6" ht="15.75" customHeight="1">
      <c r="A104" s="443"/>
      <c r="B104" s="443"/>
      <c r="C104" s="443"/>
      <c r="D104" s="443"/>
      <c r="E104" s="443"/>
      <c r="F104" s="443"/>
    </row>
    <row r="105" spans="1:6" ht="15.75" customHeight="1">
      <c r="A105" s="434"/>
      <c r="B105" s="434"/>
      <c r="C105" s="503" t="s">
        <v>63</v>
      </c>
      <c r="D105" s="504"/>
      <c r="E105" s="504"/>
      <c r="F105" s="443"/>
    </row>
    <row r="106" spans="1:6" ht="15.75" customHeight="1">
      <c r="A106" s="437" t="s">
        <v>80</v>
      </c>
      <c r="B106" s="438" t="s">
        <v>69</v>
      </c>
      <c r="C106" s="439" t="s">
        <v>70</v>
      </c>
      <c r="D106" s="440"/>
      <c r="E106" s="440"/>
      <c r="F106" s="443"/>
    </row>
    <row r="107" spans="1:6" ht="15.75" customHeight="1">
      <c r="A107" s="437" t="s">
        <v>80</v>
      </c>
      <c r="B107" s="438" t="s">
        <v>69</v>
      </c>
      <c r="C107" s="439" t="s">
        <v>70</v>
      </c>
      <c r="D107" s="440"/>
      <c r="E107" s="440"/>
      <c r="F107" s="443"/>
    </row>
    <row r="108" spans="1:6" ht="15.75" customHeight="1">
      <c r="A108" s="437" t="s">
        <v>80</v>
      </c>
      <c r="B108" s="438" t="s">
        <v>69</v>
      </c>
      <c r="C108" s="439" t="s">
        <v>70</v>
      </c>
      <c r="D108" s="440"/>
      <c r="E108" s="440"/>
      <c r="F108" s="443"/>
    </row>
    <row r="109" spans="1:6" ht="15.75" customHeight="1">
      <c r="A109" s="437" t="s">
        <v>80</v>
      </c>
      <c r="B109" s="438" t="s">
        <v>71</v>
      </c>
      <c r="C109" s="439" t="s">
        <v>70</v>
      </c>
      <c r="D109" s="440"/>
      <c r="E109" s="440"/>
      <c r="F109" s="443"/>
    </row>
    <row r="110" spans="1:6" ht="15.75" customHeight="1">
      <c r="A110" s="437" t="s">
        <v>80</v>
      </c>
      <c r="B110" s="438" t="s">
        <v>71</v>
      </c>
      <c r="C110" s="439" t="s">
        <v>70</v>
      </c>
      <c r="D110" s="440"/>
      <c r="E110" s="440"/>
      <c r="F110" s="443"/>
    </row>
    <row r="111" spans="1:6" ht="15.75" customHeight="1">
      <c r="A111" s="437" t="s">
        <v>80</v>
      </c>
      <c r="B111" s="438" t="s">
        <v>71</v>
      </c>
      <c r="C111" s="439" t="s">
        <v>70</v>
      </c>
      <c r="D111" s="440"/>
      <c r="E111" s="440"/>
      <c r="F111" s="443"/>
    </row>
    <row r="112" spans="1:6" ht="15.75" customHeight="1">
      <c r="A112" s="437" t="s">
        <v>80</v>
      </c>
      <c r="B112" s="438" t="s">
        <v>7</v>
      </c>
      <c r="C112" s="439" t="s">
        <v>70</v>
      </c>
      <c r="D112" s="440"/>
      <c r="E112" s="440"/>
      <c r="F112" s="443"/>
    </row>
    <row r="113" spans="1:6" ht="15.75" customHeight="1">
      <c r="A113" s="437" t="s">
        <v>80</v>
      </c>
      <c r="B113" s="438" t="s">
        <v>7</v>
      </c>
      <c r="C113" s="439" t="s">
        <v>70</v>
      </c>
      <c r="D113" s="442"/>
      <c r="E113" s="440"/>
      <c r="F113" s="443"/>
    </row>
    <row r="114" spans="1:6" ht="15.75" customHeight="1">
      <c r="A114" s="437" t="s">
        <v>80</v>
      </c>
      <c r="B114" s="438" t="s">
        <v>7</v>
      </c>
      <c r="C114" s="439" t="s">
        <v>70</v>
      </c>
      <c r="D114" s="442"/>
      <c r="E114" s="440"/>
      <c r="F114" s="443"/>
    </row>
    <row r="115" spans="1:6" ht="15.75" customHeight="1">
      <c r="A115" s="443"/>
      <c r="B115" s="443"/>
      <c r="C115" s="443"/>
      <c r="D115" s="443"/>
      <c r="E115" s="443"/>
      <c r="F115" s="443"/>
    </row>
    <row r="116" spans="1:6" ht="15.75" customHeight="1">
      <c r="A116" s="434"/>
      <c r="B116" s="434"/>
      <c r="C116" s="503" t="s">
        <v>63</v>
      </c>
      <c r="D116" s="504"/>
      <c r="E116" s="504"/>
      <c r="F116" s="443"/>
    </row>
    <row r="117" spans="1:6" ht="15.75" customHeight="1">
      <c r="A117" s="437" t="s">
        <v>81</v>
      </c>
      <c r="B117" s="438" t="s">
        <v>69</v>
      </c>
      <c r="C117" s="439" t="s">
        <v>70</v>
      </c>
      <c r="D117" s="440"/>
      <c r="E117" s="440"/>
      <c r="F117" s="443"/>
    </row>
    <row r="118" spans="1:6" ht="15.75" customHeight="1">
      <c r="A118" s="437" t="s">
        <v>81</v>
      </c>
      <c r="B118" s="438" t="s">
        <v>69</v>
      </c>
      <c r="C118" s="439" t="s">
        <v>70</v>
      </c>
      <c r="D118" s="440"/>
      <c r="E118" s="440"/>
      <c r="F118" s="443"/>
    </row>
    <row r="119" spans="1:6" ht="15.75" customHeight="1">
      <c r="A119" s="437" t="s">
        <v>81</v>
      </c>
      <c r="B119" s="438" t="s">
        <v>69</v>
      </c>
      <c r="C119" s="439" t="s">
        <v>70</v>
      </c>
      <c r="D119" s="440"/>
      <c r="E119" s="440"/>
      <c r="F119" s="443"/>
    </row>
    <row r="120" spans="1:6" ht="15.75" customHeight="1">
      <c r="A120" s="437" t="s">
        <v>81</v>
      </c>
      <c r="B120" s="438" t="s">
        <v>71</v>
      </c>
      <c r="C120" s="439" t="s">
        <v>70</v>
      </c>
      <c r="D120" s="440"/>
      <c r="E120" s="440"/>
      <c r="F120" s="443"/>
    </row>
    <row r="121" spans="1:6" ht="15.75" customHeight="1">
      <c r="A121" s="437" t="s">
        <v>81</v>
      </c>
      <c r="B121" s="438" t="s">
        <v>71</v>
      </c>
      <c r="C121" s="439" t="s">
        <v>70</v>
      </c>
      <c r="D121" s="440"/>
      <c r="E121" s="440"/>
      <c r="F121" s="443"/>
    </row>
    <row r="122" spans="1:6" ht="15.75" customHeight="1">
      <c r="A122" s="437" t="s">
        <v>81</v>
      </c>
      <c r="B122" s="438" t="s">
        <v>71</v>
      </c>
      <c r="C122" s="439" t="s">
        <v>70</v>
      </c>
      <c r="D122" s="440"/>
      <c r="E122" s="440"/>
      <c r="F122" s="443"/>
    </row>
    <row r="123" spans="1:6" ht="15.75" customHeight="1">
      <c r="A123" s="437" t="s">
        <v>81</v>
      </c>
      <c r="B123" s="438" t="s">
        <v>7</v>
      </c>
      <c r="C123" s="439" t="s">
        <v>70</v>
      </c>
      <c r="D123" s="440"/>
      <c r="E123" s="440"/>
      <c r="F123" s="443"/>
    </row>
    <row r="124" spans="1:6" ht="15.75" customHeight="1">
      <c r="A124" s="437" t="s">
        <v>81</v>
      </c>
      <c r="B124" s="438" t="s">
        <v>7</v>
      </c>
      <c r="C124" s="439" t="s">
        <v>70</v>
      </c>
      <c r="D124" s="442"/>
      <c r="E124" s="440"/>
      <c r="F124" s="443"/>
    </row>
    <row r="125" spans="1:6" ht="15.75" customHeight="1">
      <c r="A125" s="437" t="s">
        <v>81</v>
      </c>
      <c r="B125" s="438" t="s">
        <v>7</v>
      </c>
      <c r="C125" s="439" t="s">
        <v>70</v>
      </c>
      <c r="D125" s="442"/>
      <c r="E125" s="440"/>
      <c r="F125" s="443"/>
    </row>
    <row r="126" spans="1:6" ht="15.75" customHeight="1">
      <c r="A126" s="443"/>
      <c r="B126" s="443"/>
      <c r="C126" s="443"/>
      <c r="D126" s="443"/>
      <c r="E126" s="443"/>
      <c r="F126" s="443"/>
    </row>
    <row r="127" spans="1:6" ht="15.75" customHeight="1">
      <c r="A127" s="434"/>
      <c r="B127" s="434"/>
      <c r="C127" s="503" t="s">
        <v>63</v>
      </c>
      <c r="D127" s="504"/>
      <c r="E127" s="504"/>
      <c r="F127" s="443"/>
    </row>
    <row r="128" spans="1:6" ht="15.75" customHeight="1">
      <c r="A128" s="437" t="s">
        <v>82</v>
      </c>
      <c r="B128" s="438" t="s">
        <v>69</v>
      </c>
      <c r="C128" s="439" t="s">
        <v>70</v>
      </c>
      <c r="D128" s="440"/>
      <c r="E128" s="440"/>
      <c r="F128" s="443"/>
    </row>
    <row r="129" spans="1:6" ht="15.75" customHeight="1">
      <c r="A129" s="437" t="s">
        <v>82</v>
      </c>
      <c r="B129" s="438" t="s">
        <v>69</v>
      </c>
      <c r="C129" s="439" t="s">
        <v>70</v>
      </c>
      <c r="D129" s="440"/>
      <c r="E129" s="440"/>
      <c r="F129" s="443"/>
    </row>
    <row r="130" spans="1:6" ht="15.75" customHeight="1">
      <c r="A130" s="437" t="s">
        <v>82</v>
      </c>
      <c r="B130" s="438" t="s">
        <v>69</v>
      </c>
      <c r="C130" s="439" t="s">
        <v>70</v>
      </c>
      <c r="D130" s="440"/>
      <c r="E130" s="440"/>
      <c r="F130" s="443"/>
    </row>
    <row r="131" spans="1:6" ht="15.75" customHeight="1">
      <c r="A131" s="437" t="s">
        <v>82</v>
      </c>
      <c r="B131" s="438" t="s">
        <v>71</v>
      </c>
      <c r="C131" s="439" t="s">
        <v>70</v>
      </c>
      <c r="D131" s="440"/>
      <c r="E131" s="440"/>
      <c r="F131" s="443"/>
    </row>
    <row r="132" spans="1:6" ht="15.75" customHeight="1">
      <c r="A132" s="437" t="s">
        <v>82</v>
      </c>
      <c r="B132" s="438" t="s">
        <v>71</v>
      </c>
      <c r="C132" s="439" t="s">
        <v>70</v>
      </c>
      <c r="D132" s="440"/>
      <c r="E132" s="440"/>
      <c r="F132" s="443"/>
    </row>
    <row r="133" spans="1:6" ht="15.75" customHeight="1">
      <c r="A133" s="437" t="s">
        <v>82</v>
      </c>
      <c r="B133" s="438" t="s">
        <v>71</v>
      </c>
      <c r="C133" s="439" t="s">
        <v>70</v>
      </c>
      <c r="D133" s="440"/>
      <c r="E133" s="440"/>
      <c r="F133" s="443"/>
    </row>
    <row r="134" spans="1:6" ht="15.75" customHeight="1">
      <c r="A134" s="437" t="s">
        <v>82</v>
      </c>
      <c r="B134" s="438" t="s">
        <v>7</v>
      </c>
      <c r="C134" s="439" t="s">
        <v>70</v>
      </c>
      <c r="D134" s="440"/>
      <c r="E134" s="440"/>
      <c r="F134" s="443"/>
    </row>
    <row r="135" spans="1:6" ht="15.75" customHeight="1">
      <c r="A135" s="437" t="s">
        <v>82</v>
      </c>
      <c r="B135" s="438" t="s">
        <v>7</v>
      </c>
      <c r="C135" s="439" t="s">
        <v>70</v>
      </c>
      <c r="D135" s="442"/>
      <c r="E135" s="440"/>
      <c r="F135" s="443"/>
    </row>
    <row r="136" spans="1:6" ht="15.75" customHeight="1">
      <c r="A136" s="437" t="s">
        <v>82</v>
      </c>
      <c r="B136" s="438" t="s">
        <v>7</v>
      </c>
      <c r="C136" s="439" t="s">
        <v>70</v>
      </c>
      <c r="D136" s="442"/>
      <c r="E136" s="440"/>
      <c r="F136" s="443"/>
    </row>
    <row r="137" spans="1:6" ht="15.75" customHeight="1">
      <c r="A137" s="443"/>
      <c r="B137" s="443"/>
      <c r="C137" s="443"/>
      <c r="D137" s="443"/>
      <c r="E137" s="443"/>
      <c r="F137" s="443"/>
    </row>
    <row r="138" spans="1:6" ht="15.75" customHeight="1">
      <c r="A138" s="434"/>
      <c r="B138" s="434"/>
      <c r="C138" s="503" t="s">
        <v>63</v>
      </c>
      <c r="D138" s="504"/>
      <c r="E138" s="504"/>
      <c r="F138" s="443"/>
    </row>
    <row r="139" spans="1:6" ht="15.75" customHeight="1">
      <c r="A139" s="437" t="s">
        <v>83</v>
      </c>
      <c r="B139" s="438" t="s">
        <v>69</v>
      </c>
      <c r="C139" s="439" t="s">
        <v>70</v>
      </c>
      <c r="D139" s="440"/>
      <c r="E139" s="440"/>
      <c r="F139" s="443"/>
    </row>
    <row r="140" spans="1:6" ht="15.75" customHeight="1">
      <c r="A140" s="437" t="s">
        <v>83</v>
      </c>
      <c r="B140" s="438" t="s">
        <v>69</v>
      </c>
      <c r="C140" s="439" t="s">
        <v>70</v>
      </c>
      <c r="D140" s="440"/>
      <c r="E140" s="440"/>
      <c r="F140" s="443"/>
    </row>
    <row r="141" spans="1:6" ht="15.75" customHeight="1">
      <c r="A141" s="437" t="s">
        <v>83</v>
      </c>
      <c r="B141" s="438" t="s">
        <v>69</v>
      </c>
      <c r="C141" s="439" t="s">
        <v>70</v>
      </c>
      <c r="D141" s="440"/>
      <c r="E141" s="440"/>
      <c r="F141" s="443"/>
    </row>
    <row r="142" spans="1:6" ht="15.75" customHeight="1">
      <c r="A142" s="437" t="s">
        <v>83</v>
      </c>
      <c r="B142" s="438" t="s">
        <v>71</v>
      </c>
      <c r="C142" s="439" t="s">
        <v>70</v>
      </c>
      <c r="D142" s="440"/>
      <c r="E142" s="440"/>
      <c r="F142" s="443"/>
    </row>
    <row r="143" spans="1:6" ht="15.75" customHeight="1">
      <c r="A143" s="437" t="s">
        <v>83</v>
      </c>
      <c r="B143" s="438" t="s">
        <v>71</v>
      </c>
      <c r="C143" s="439" t="s">
        <v>70</v>
      </c>
      <c r="D143" s="440"/>
      <c r="E143" s="440"/>
      <c r="F143" s="443"/>
    </row>
    <row r="144" spans="1:6" ht="15.75" customHeight="1">
      <c r="A144" s="437" t="s">
        <v>83</v>
      </c>
      <c r="B144" s="438" t="s">
        <v>71</v>
      </c>
      <c r="C144" s="439" t="s">
        <v>70</v>
      </c>
      <c r="D144" s="440"/>
      <c r="E144" s="440"/>
      <c r="F144" s="443"/>
    </row>
    <row r="145" spans="1:6" ht="15.75" customHeight="1">
      <c r="A145" s="437" t="s">
        <v>83</v>
      </c>
      <c r="B145" s="438" t="s">
        <v>7</v>
      </c>
      <c r="C145" s="439" t="s">
        <v>70</v>
      </c>
      <c r="D145" s="440"/>
      <c r="E145" s="440"/>
      <c r="F145" s="443"/>
    </row>
    <row r="146" spans="1:6" ht="15.75" customHeight="1">
      <c r="A146" s="437" t="s">
        <v>83</v>
      </c>
      <c r="B146" s="438" t="s">
        <v>7</v>
      </c>
      <c r="C146" s="439" t="s">
        <v>70</v>
      </c>
      <c r="D146" s="442"/>
      <c r="E146" s="440"/>
      <c r="F146" s="443"/>
    </row>
    <row r="147" spans="1:6" ht="15.75" customHeight="1">
      <c r="A147" s="437" t="s">
        <v>83</v>
      </c>
      <c r="B147" s="438" t="s">
        <v>7</v>
      </c>
      <c r="C147" s="439" t="s">
        <v>70</v>
      </c>
      <c r="D147" s="442"/>
      <c r="E147" s="440"/>
      <c r="F147" s="443"/>
    </row>
    <row r="148" spans="1:6" ht="15.75" customHeight="1">
      <c r="A148" s="443"/>
      <c r="B148" s="443"/>
      <c r="C148" s="443"/>
      <c r="D148" s="443"/>
      <c r="E148" s="443"/>
      <c r="F148" s="443"/>
    </row>
    <row r="149" spans="1:6" ht="15.75" customHeight="1">
      <c r="A149" s="434"/>
      <c r="B149" s="434"/>
      <c r="C149" s="503" t="s">
        <v>63</v>
      </c>
      <c r="D149" s="504"/>
      <c r="E149" s="504"/>
      <c r="F149" s="443"/>
    </row>
    <row r="150" spans="1:6" ht="15.75" customHeight="1">
      <c r="A150" s="437" t="s">
        <v>84</v>
      </c>
      <c r="B150" s="438" t="s">
        <v>69</v>
      </c>
      <c r="C150" s="439" t="s">
        <v>70</v>
      </c>
      <c r="D150" s="440"/>
      <c r="E150" s="440"/>
      <c r="F150" s="443"/>
    </row>
    <row r="151" spans="1:6" ht="15.75" customHeight="1">
      <c r="A151" s="437" t="s">
        <v>84</v>
      </c>
      <c r="B151" s="438" t="s">
        <v>69</v>
      </c>
      <c r="C151" s="439" t="s">
        <v>70</v>
      </c>
      <c r="D151" s="440"/>
      <c r="E151" s="440"/>
      <c r="F151" s="443"/>
    </row>
    <row r="152" spans="1:6" ht="15.75" customHeight="1">
      <c r="A152" s="437" t="s">
        <v>84</v>
      </c>
      <c r="B152" s="438" t="s">
        <v>69</v>
      </c>
      <c r="C152" s="439" t="s">
        <v>70</v>
      </c>
      <c r="D152" s="440"/>
      <c r="E152" s="440"/>
      <c r="F152" s="443"/>
    </row>
    <row r="153" spans="1:6" ht="15.75" customHeight="1">
      <c r="A153" s="437" t="s">
        <v>84</v>
      </c>
      <c r="B153" s="438" t="s">
        <v>71</v>
      </c>
      <c r="C153" s="439" t="s">
        <v>70</v>
      </c>
      <c r="D153" s="440"/>
      <c r="E153" s="440"/>
      <c r="F153" s="443"/>
    </row>
    <row r="154" spans="1:6" ht="15.75" customHeight="1">
      <c r="A154" s="437" t="s">
        <v>84</v>
      </c>
      <c r="B154" s="438" t="s">
        <v>71</v>
      </c>
      <c r="C154" s="439" t="s">
        <v>70</v>
      </c>
      <c r="D154" s="440"/>
      <c r="E154" s="440"/>
      <c r="F154" s="443"/>
    </row>
    <row r="155" spans="1:6" ht="15.75" customHeight="1">
      <c r="A155" s="437" t="s">
        <v>84</v>
      </c>
      <c r="B155" s="438" t="s">
        <v>71</v>
      </c>
      <c r="C155" s="439" t="s">
        <v>70</v>
      </c>
      <c r="D155" s="440"/>
      <c r="E155" s="440"/>
      <c r="F155" s="443"/>
    </row>
    <row r="156" spans="1:6" ht="15.75" customHeight="1">
      <c r="A156" s="437" t="s">
        <v>84</v>
      </c>
      <c r="B156" s="438" t="s">
        <v>7</v>
      </c>
      <c r="C156" s="439" t="s">
        <v>70</v>
      </c>
      <c r="D156" s="440"/>
      <c r="E156" s="440"/>
      <c r="F156" s="443"/>
    </row>
    <row r="157" spans="1:6" ht="15.75" customHeight="1">
      <c r="A157" s="437" t="s">
        <v>84</v>
      </c>
      <c r="B157" s="438" t="s">
        <v>7</v>
      </c>
      <c r="C157" s="439" t="s">
        <v>70</v>
      </c>
      <c r="D157" s="442"/>
      <c r="E157" s="440"/>
      <c r="F157" s="443"/>
    </row>
    <row r="158" spans="1:6" ht="15.75" customHeight="1">
      <c r="A158" s="437" t="s">
        <v>84</v>
      </c>
      <c r="B158" s="438" t="s">
        <v>7</v>
      </c>
      <c r="C158" s="439" t="s">
        <v>70</v>
      </c>
      <c r="D158" s="442"/>
      <c r="E158" s="440"/>
      <c r="F158" s="443"/>
    </row>
    <row r="159" spans="1:6" ht="15.75" customHeight="1">
      <c r="A159" s="443"/>
      <c r="B159" s="443"/>
      <c r="C159" s="443"/>
      <c r="D159" s="443"/>
      <c r="E159" s="443"/>
      <c r="F159" s="443"/>
    </row>
    <row r="160" spans="1:6" ht="15.75" customHeight="1">
      <c r="A160" s="434"/>
      <c r="B160" s="434"/>
      <c r="C160" s="503" t="s">
        <v>63</v>
      </c>
      <c r="D160" s="504"/>
      <c r="E160" s="504"/>
      <c r="F160" s="443"/>
    </row>
    <row r="161" spans="1:6" ht="15.75" customHeight="1">
      <c r="A161" s="437" t="s">
        <v>85</v>
      </c>
      <c r="B161" s="438" t="s">
        <v>69</v>
      </c>
      <c r="C161" s="439" t="s">
        <v>70</v>
      </c>
      <c r="D161" s="440"/>
      <c r="E161" s="440"/>
      <c r="F161" s="443"/>
    </row>
    <row r="162" spans="1:6" ht="15.75" customHeight="1">
      <c r="A162" s="437" t="s">
        <v>85</v>
      </c>
      <c r="B162" s="438" t="s">
        <v>69</v>
      </c>
      <c r="C162" s="439" t="s">
        <v>70</v>
      </c>
      <c r="D162" s="440"/>
      <c r="E162" s="440"/>
      <c r="F162" s="443"/>
    </row>
    <row r="163" spans="1:6" ht="15.75" customHeight="1">
      <c r="A163" s="437" t="s">
        <v>85</v>
      </c>
      <c r="B163" s="438" t="s">
        <v>69</v>
      </c>
      <c r="C163" s="439" t="s">
        <v>70</v>
      </c>
      <c r="D163" s="440"/>
      <c r="E163" s="440"/>
      <c r="F163" s="443"/>
    </row>
    <row r="164" spans="1:6" ht="15.75" customHeight="1">
      <c r="A164" s="437" t="s">
        <v>85</v>
      </c>
      <c r="B164" s="438" t="s">
        <v>71</v>
      </c>
      <c r="C164" s="439" t="s">
        <v>70</v>
      </c>
      <c r="D164" s="440"/>
      <c r="E164" s="440"/>
      <c r="F164" s="443"/>
    </row>
    <row r="165" spans="1:6" ht="15.75" customHeight="1">
      <c r="A165" s="437" t="s">
        <v>85</v>
      </c>
      <c r="B165" s="438" t="s">
        <v>71</v>
      </c>
      <c r="C165" s="439" t="s">
        <v>70</v>
      </c>
      <c r="D165" s="440"/>
      <c r="E165" s="440"/>
      <c r="F165" s="443"/>
    </row>
    <row r="166" spans="1:6" ht="15.75" customHeight="1">
      <c r="A166" s="437" t="s">
        <v>85</v>
      </c>
      <c r="B166" s="438" t="s">
        <v>71</v>
      </c>
      <c r="C166" s="439" t="s">
        <v>70</v>
      </c>
      <c r="D166" s="440"/>
      <c r="E166" s="440"/>
      <c r="F166" s="443"/>
    </row>
    <row r="167" spans="1:6" ht="15.75" customHeight="1">
      <c r="A167" s="437" t="s">
        <v>85</v>
      </c>
      <c r="B167" s="438" t="s">
        <v>7</v>
      </c>
      <c r="C167" s="439" t="s">
        <v>70</v>
      </c>
      <c r="D167" s="440"/>
      <c r="E167" s="440"/>
      <c r="F167" s="443"/>
    </row>
    <row r="168" spans="1:6" ht="15.75" customHeight="1">
      <c r="A168" s="437" t="s">
        <v>85</v>
      </c>
      <c r="B168" s="438" t="s">
        <v>7</v>
      </c>
      <c r="C168" s="439" t="s">
        <v>70</v>
      </c>
      <c r="D168" s="442"/>
      <c r="E168" s="440"/>
      <c r="F168" s="443"/>
    </row>
    <row r="169" spans="1:6" ht="15.75" customHeight="1">
      <c r="A169" s="437" t="s">
        <v>85</v>
      </c>
      <c r="B169" s="438" t="s">
        <v>7</v>
      </c>
      <c r="C169" s="439" t="s">
        <v>70</v>
      </c>
      <c r="D169" s="442"/>
      <c r="E169" s="440"/>
      <c r="F169" s="443"/>
    </row>
    <row r="170" spans="1:6" ht="15.75" customHeight="1">
      <c r="A170" s="443"/>
      <c r="B170" s="443"/>
      <c r="C170" s="443"/>
      <c r="D170" s="443"/>
      <c r="E170" s="443"/>
      <c r="F170" s="443"/>
    </row>
    <row r="171" spans="1:6" ht="15.75" customHeight="1">
      <c r="A171" s="434"/>
      <c r="B171" s="434"/>
      <c r="C171" s="503" t="s">
        <v>63</v>
      </c>
      <c r="D171" s="504"/>
      <c r="E171" s="504"/>
      <c r="F171" s="443"/>
    </row>
    <row r="172" spans="1:6" ht="15.75" customHeight="1">
      <c r="A172" s="437" t="s">
        <v>86</v>
      </c>
      <c r="B172" s="438" t="s">
        <v>69</v>
      </c>
      <c r="C172" s="439" t="s">
        <v>70</v>
      </c>
      <c r="D172" s="440"/>
      <c r="E172" s="440"/>
      <c r="F172" s="443"/>
    </row>
    <row r="173" spans="1:6" ht="15.75" customHeight="1">
      <c r="A173" s="437" t="s">
        <v>86</v>
      </c>
      <c r="B173" s="438" t="s">
        <v>69</v>
      </c>
      <c r="C173" s="439" t="s">
        <v>70</v>
      </c>
      <c r="D173" s="440"/>
      <c r="E173" s="440"/>
      <c r="F173" s="443"/>
    </row>
    <row r="174" spans="1:6" ht="15.75" customHeight="1">
      <c r="A174" s="437" t="s">
        <v>86</v>
      </c>
      <c r="B174" s="438" t="s">
        <v>69</v>
      </c>
      <c r="C174" s="439" t="s">
        <v>70</v>
      </c>
      <c r="D174" s="440"/>
      <c r="E174" s="440"/>
      <c r="F174" s="443"/>
    </row>
    <row r="175" spans="1:6" ht="15.75" customHeight="1">
      <c r="A175" s="437" t="s">
        <v>86</v>
      </c>
      <c r="B175" s="438" t="s">
        <v>71</v>
      </c>
      <c r="C175" s="439" t="s">
        <v>70</v>
      </c>
      <c r="D175" s="440"/>
      <c r="E175" s="440"/>
      <c r="F175" s="443"/>
    </row>
    <row r="176" spans="1:6" ht="15.75" customHeight="1">
      <c r="A176" s="437" t="s">
        <v>86</v>
      </c>
      <c r="B176" s="438" t="s">
        <v>71</v>
      </c>
      <c r="C176" s="439" t="s">
        <v>70</v>
      </c>
      <c r="D176" s="440"/>
      <c r="E176" s="440"/>
      <c r="F176" s="443"/>
    </row>
    <row r="177" spans="1:6" ht="15.75" customHeight="1">
      <c r="A177" s="437" t="s">
        <v>86</v>
      </c>
      <c r="B177" s="438" t="s">
        <v>71</v>
      </c>
      <c r="C177" s="439" t="s">
        <v>70</v>
      </c>
      <c r="D177" s="440"/>
      <c r="E177" s="440"/>
      <c r="F177" s="443"/>
    </row>
    <row r="178" spans="1:6" ht="15.75" customHeight="1">
      <c r="A178" s="437" t="s">
        <v>86</v>
      </c>
      <c r="B178" s="438" t="s">
        <v>7</v>
      </c>
      <c r="C178" s="439" t="s">
        <v>70</v>
      </c>
      <c r="D178" s="440"/>
      <c r="E178" s="440"/>
      <c r="F178" s="443"/>
    </row>
    <row r="179" spans="1:6" ht="15.75" customHeight="1">
      <c r="A179" s="437" t="s">
        <v>86</v>
      </c>
      <c r="B179" s="438" t="s">
        <v>7</v>
      </c>
      <c r="C179" s="439" t="s">
        <v>70</v>
      </c>
      <c r="D179" s="442"/>
      <c r="E179" s="440"/>
      <c r="F179" s="443"/>
    </row>
    <row r="180" spans="1:6" ht="15.75" customHeight="1">
      <c r="A180" s="437" t="s">
        <v>86</v>
      </c>
      <c r="B180" s="438" t="s">
        <v>7</v>
      </c>
      <c r="C180" s="439" t="s">
        <v>70</v>
      </c>
      <c r="D180" s="442"/>
      <c r="E180" s="440"/>
      <c r="F180" s="443"/>
    </row>
    <row r="181" spans="1:6" ht="15.75" customHeight="1">
      <c r="A181" s="443"/>
      <c r="B181" s="443"/>
      <c r="C181" s="443"/>
      <c r="D181" s="443"/>
      <c r="E181" s="443"/>
      <c r="F181" s="443"/>
    </row>
    <row r="182" spans="1:6" ht="15.75" customHeight="1">
      <c r="A182" s="443"/>
      <c r="B182" s="443"/>
      <c r="C182" s="443"/>
      <c r="D182" s="443"/>
      <c r="E182" s="443"/>
      <c r="F182" s="443"/>
    </row>
    <row r="183" spans="1:6" ht="15.75" customHeight="1">
      <c r="A183" s="443"/>
      <c r="B183" s="443"/>
      <c r="C183" s="443"/>
      <c r="D183" s="443"/>
      <c r="E183" s="443"/>
      <c r="F183" s="443"/>
    </row>
    <row r="184" spans="1:6" ht="15.75" customHeight="1">
      <c r="A184" s="443"/>
      <c r="B184" s="443"/>
      <c r="C184" s="443"/>
      <c r="D184" s="443"/>
      <c r="E184" s="443"/>
      <c r="F184" s="443"/>
    </row>
    <row r="185" spans="1:6" ht="15.75" customHeight="1">
      <c r="A185" s="443"/>
      <c r="B185" s="443"/>
      <c r="C185" s="443"/>
      <c r="D185" s="443"/>
      <c r="E185" s="443"/>
      <c r="F185" s="443"/>
    </row>
    <row r="186" spans="1:6" ht="15.75" customHeight="1">
      <c r="A186" s="443"/>
      <c r="B186" s="443"/>
      <c r="C186" s="443"/>
      <c r="D186" s="443"/>
      <c r="E186" s="443"/>
      <c r="F186" s="443"/>
    </row>
    <row r="187" spans="1:6" ht="15.75" customHeight="1">
      <c r="A187" s="443"/>
      <c r="B187" s="443"/>
      <c r="C187" s="443"/>
      <c r="D187" s="443"/>
      <c r="E187" s="443"/>
      <c r="F187" s="443"/>
    </row>
    <row r="188" spans="1:6" ht="15.75" customHeight="1">
      <c r="A188" s="443"/>
      <c r="B188" s="443"/>
      <c r="C188" s="443"/>
      <c r="D188" s="443"/>
      <c r="E188" s="443"/>
      <c r="F188" s="443"/>
    </row>
    <row r="189" spans="1:6" ht="15.75" customHeight="1">
      <c r="A189" s="443"/>
      <c r="B189" s="443"/>
      <c r="C189" s="443"/>
      <c r="D189" s="443"/>
      <c r="E189" s="443"/>
      <c r="F189" s="443"/>
    </row>
    <row r="190" spans="1:6" ht="15.75" customHeight="1">
      <c r="A190" s="443"/>
      <c r="B190" s="443"/>
      <c r="C190" s="443"/>
      <c r="D190" s="443"/>
      <c r="E190" s="443"/>
      <c r="F190" s="443"/>
    </row>
    <row r="191" spans="1:6" ht="15.75" customHeight="1">
      <c r="A191" s="443"/>
      <c r="B191" s="443"/>
      <c r="C191" s="443"/>
      <c r="D191" s="443"/>
      <c r="E191" s="443"/>
      <c r="F191" s="443"/>
    </row>
    <row r="192" spans="1:6" ht="15.75" customHeight="1">
      <c r="A192" s="443"/>
      <c r="B192" s="443"/>
      <c r="C192" s="443"/>
      <c r="D192" s="443"/>
      <c r="E192" s="443"/>
      <c r="F192" s="443"/>
    </row>
    <row r="193" spans="1:6" ht="15.75" customHeight="1">
      <c r="A193" s="443"/>
      <c r="B193" s="443"/>
      <c r="C193" s="443"/>
      <c r="D193" s="443"/>
      <c r="E193" s="443"/>
      <c r="F193" s="443"/>
    </row>
    <row r="194" spans="1:6" ht="15.75" customHeight="1">
      <c r="A194" s="443"/>
      <c r="B194" s="443"/>
      <c r="C194" s="443"/>
      <c r="D194" s="443"/>
      <c r="E194" s="443"/>
      <c r="F194" s="443"/>
    </row>
    <row r="195" spans="1:6" ht="15.75" customHeight="1">
      <c r="A195" s="443"/>
      <c r="B195" s="443"/>
      <c r="C195" s="443"/>
      <c r="D195" s="443"/>
      <c r="E195" s="443"/>
      <c r="F195" s="443"/>
    </row>
    <row r="196" spans="1:6" ht="15.75" customHeight="1">
      <c r="A196" s="443"/>
      <c r="B196" s="443"/>
      <c r="C196" s="443"/>
      <c r="D196" s="443"/>
      <c r="E196" s="443"/>
      <c r="F196" s="443"/>
    </row>
    <row r="197" spans="1:6" ht="15.75" customHeight="1">
      <c r="A197" s="443"/>
      <c r="B197" s="443"/>
      <c r="C197" s="443"/>
      <c r="D197" s="443"/>
      <c r="E197" s="443"/>
      <c r="F197" s="443"/>
    </row>
    <row r="198" spans="1:6" ht="15.75" customHeight="1">
      <c r="A198" s="443"/>
      <c r="B198" s="443"/>
      <c r="C198" s="443"/>
      <c r="D198" s="443"/>
      <c r="E198" s="443"/>
      <c r="F198" s="443"/>
    </row>
    <row r="199" spans="1:6" ht="15.75" customHeight="1">
      <c r="A199" s="443"/>
      <c r="B199" s="443"/>
      <c r="C199" s="443"/>
      <c r="D199" s="443"/>
      <c r="E199" s="443"/>
      <c r="F199" s="443"/>
    </row>
    <row r="200" spans="1:6" ht="15.75" customHeight="1">
      <c r="A200" s="443"/>
      <c r="B200" s="443"/>
      <c r="C200" s="443"/>
      <c r="D200" s="443"/>
      <c r="E200" s="443"/>
      <c r="F200" s="443"/>
    </row>
    <row r="201" spans="1:6" ht="15.75" customHeight="1">
      <c r="A201" s="443"/>
      <c r="B201" s="443"/>
      <c r="C201" s="443"/>
      <c r="D201" s="443"/>
      <c r="E201" s="443"/>
      <c r="F201" s="443"/>
    </row>
    <row r="202" spans="1:6" ht="15.75" customHeight="1">
      <c r="A202" s="443"/>
      <c r="B202" s="443"/>
      <c r="C202" s="443"/>
      <c r="D202" s="443"/>
      <c r="E202" s="443"/>
      <c r="F202" s="443"/>
    </row>
    <row r="203" spans="1:6" ht="15.75" customHeight="1">
      <c r="A203" s="443"/>
      <c r="B203" s="443"/>
      <c r="C203" s="443"/>
      <c r="D203" s="443"/>
      <c r="E203" s="443"/>
      <c r="F203" s="443"/>
    </row>
    <row r="204" spans="1:6" ht="15.75" customHeight="1">
      <c r="A204" s="443"/>
      <c r="B204" s="443"/>
      <c r="C204" s="443"/>
      <c r="D204" s="443"/>
      <c r="E204" s="443"/>
      <c r="F204" s="443"/>
    </row>
    <row r="205" spans="1:6" ht="15.75" customHeight="1">
      <c r="A205" s="443"/>
      <c r="B205" s="443"/>
      <c r="C205" s="443"/>
      <c r="D205" s="443"/>
      <c r="E205" s="443"/>
      <c r="F205" s="443"/>
    </row>
    <row r="206" spans="1:6" ht="15.75" customHeight="1">
      <c r="A206" s="443"/>
      <c r="B206" s="443"/>
      <c r="C206" s="443"/>
      <c r="D206" s="443"/>
      <c r="E206" s="443"/>
      <c r="F206" s="443"/>
    </row>
    <row r="207" spans="1:6" ht="15.75" customHeight="1">
      <c r="A207" s="443"/>
      <c r="B207" s="443"/>
      <c r="C207" s="443"/>
      <c r="D207" s="443"/>
      <c r="E207" s="443"/>
      <c r="F207" s="443"/>
    </row>
    <row r="208" spans="1:6" ht="15.75" customHeight="1">
      <c r="A208" s="443"/>
      <c r="B208" s="443"/>
      <c r="C208" s="443"/>
      <c r="D208" s="443"/>
      <c r="E208" s="443"/>
      <c r="F208" s="443"/>
    </row>
    <row r="209" spans="1:6" ht="15.75" customHeight="1">
      <c r="A209" s="443"/>
      <c r="B209" s="443"/>
      <c r="C209" s="443"/>
      <c r="D209" s="443"/>
      <c r="E209" s="443"/>
      <c r="F209" s="443"/>
    </row>
    <row r="210" spans="1:6" ht="15.75" customHeight="1">
      <c r="A210" s="443"/>
      <c r="B210" s="443"/>
      <c r="C210" s="443"/>
      <c r="D210" s="443"/>
      <c r="E210" s="443"/>
      <c r="F210" s="443"/>
    </row>
    <row r="211" spans="1:6" ht="15.75" customHeight="1">
      <c r="A211" s="443"/>
      <c r="B211" s="443"/>
      <c r="C211" s="443"/>
      <c r="D211" s="443"/>
      <c r="E211" s="443"/>
      <c r="F211" s="443"/>
    </row>
    <row r="212" spans="1:6" ht="15.75" customHeight="1">
      <c r="A212" s="443"/>
      <c r="B212" s="443"/>
      <c r="C212" s="443"/>
      <c r="D212" s="443"/>
      <c r="E212" s="443"/>
      <c r="F212" s="443"/>
    </row>
    <row r="213" spans="1:6" ht="15.75" customHeight="1">
      <c r="A213" s="443"/>
      <c r="B213" s="443"/>
      <c r="C213" s="443"/>
      <c r="D213" s="443"/>
      <c r="E213" s="443"/>
      <c r="F213" s="443"/>
    </row>
    <row r="214" spans="1:6" ht="15.75" customHeight="1">
      <c r="A214" s="443"/>
      <c r="B214" s="443"/>
      <c r="C214" s="443"/>
      <c r="D214" s="443"/>
      <c r="E214" s="443"/>
      <c r="F214" s="443"/>
    </row>
    <row r="215" spans="1:6" ht="15.75" customHeight="1">
      <c r="A215" s="443"/>
      <c r="B215" s="443"/>
      <c r="C215" s="443"/>
      <c r="D215" s="443"/>
      <c r="E215" s="443"/>
      <c r="F215" s="443"/>
    </row>
    <row r="216" spans="1:6" ht="15.75" customHeight="1">
      <c r="A216" s="443"/>
      <c r="B216" s="443"/>
      <c r="C216" s="443"/>
      <c r="D216" s="443"/>
      <c r="E216" s="443"/>
      <c r="F216" s="443"/>
    </row>
    <row r="217" spans="1:6" ht="15.75" customHeight="1">
      <c r="A217" s="443"/>
      <c r="B217" s="443"/>
      <c r="C217" s="443"/>
      <c r="D217" s="443"/>
      <c r="E217" s="443"/>
      <c r="F217" s="443"/>
    </row>
    <row r="218" spans="1:6" ht="15.75" customHeight="1">
      <c r="A218" s="443"/>
      <c r="B218" s="443"/>
      <c r="C218" s="443"/>
      <c r="D218" s="443"/>
      <c r="E218" s="443"/>
      <c r="F218" s="443"/>
    </row>
    <row r="219" spans="1:6" ht="15.75" customHeight="1">
      <c r="A219" s="443"/>
      <c r="B219" s="443"/>
      <c r="C219" s="443"/>
      <c r="D219" s="443"/>
      <c r="E219" s="443"/>
      <c r="F219" s="443"/>
    </row>
    <row r="220" spans="1:6" ht="15.75" customHeight="1">
      <c r="A220" s="443"/>
      <c r="B220" s="443"/>
      <c r="C220" s="443"/>
      <c r="D220" s="443"/>
      <c r="E220" s="443"/>
      <c r="F220" s="443"/>
    </row>
    <row r="221" spans="1:6" ht="15.75" customHeight="1">
      <c r="A221" s="443"/>
      <c r="B221" s="443"/>
      <c r="C221" s="443"/>
      <c r="D221" s="443"/>
      <c r="E221" s="443"/>
      <c r="F221" s="443"/>
    </row>
    <row r="222" spans="1:6" ht="15.75" customHeight="1">
      <c r="A222" s="443"/>
      <c r="B222" s="443"/>
      <c r="C222" s="443"/>
      <c r="D222" s="443"/>
      <c r="E222" s="443"/>
      <c r="F222" s="443"/>
    </row>
    <row r="223" spans="1:6" ht="15.75" customHeight="1">
      <c r="A223" s="443"/>
      <c r="B223" s="443"/>
      <c r="C223" s="443"/>
      <c r="D223" s="443"/>
      <c r="E223" s="443"/>
      <c r="F223" s="443"/>
    </row>
    <row r="224" spans="1:6" ht="15.75" customHeight="1">
      <c r="A224" s="443"/>
      <c r="B224" s="443"/>
      <c r="C224" s="443"/>
      <c r="D224" s="443"/>
      <c r="E224" s="443"/>
      <c r="F224" s="443"/>
    </row>
    <row r="225" spans="1:6" ht="15.75" customHeight="1">
      <c r="A225" s="443"/>
      <c r="B225" s="443"/>
      <c r="C225" s="443"/>
      <c r="D225" s="443"/>
      <c r="E225" s="443"/>
      <c r="F225" s="443"/>
    </row>
    <row r="226" spans="1:6" ht="15.75" customHeight="1">
      <c r="A226" s="443"/>
      <c r="B226" s="443"/>
      <c r="C226" s="443"/>
      <c r="D226" s="443"/>
      <c r="E226" s="443"/>
      <c r="F226" s="443"/>
    </row>
    <row r="227" spans="1:6" ht="15.75" customHeight="1">
      <c r="A227" s="443"/>
      <c r="B227" s="443"/>
      <c r="C227" s="443"/>
      <c r="D227" s="443"/>
      <c r="E227" s="443"/>
      <c r="F227" s="443"/>
    </row>
    <row r="228" spans="1:6" ht="15.75" customHeight="1">
      <c r="A228" s="443"/>
      <c r="B228" s="443"/>
      <c r="C228" s="443"/>
      <c r="D228" s="443"/>
      <c r="E228" s="443"/>
      <c r="F228" s="443"/>
    </row>
    <row r="229" spans="1:6" ht="15.75" customHeight="1">
      <c r="A229" s="443"/>
      <c r="B229" s="443"/>
      <c r="C229" s="443"/>
      <c r="D229" s="443"/>
      <c r="E229" s="443"/>
      <c r="F229" s="443"/>
    </row>
    <row r="230" spans="1:6" ht="15.75" customHeight="1">
      <c r="A230" s="443"/>
      <c r="B230" s="443"/>
      <c r="C230" s="443"/>
      <c r="D230" s="443"/>
      <c r="E230" s="443"/>
      <c r="F230" s="443"/>
    </row>
    <row r="231" spans="1:6" ht="15.75" customHeight="1">
      <c r="A231" s="443"/>
      <c r="B231" s="443"/>
      <c r="C231" s="443"/>
      <c r="D231" s="443"/>
      <c r="E231" s="443"/>
      <c r="F231" s="443"/>
    </row>
    <row r="232" spans="1:6" ht="15.75" customHeight="1">
      <c r="A232" s="443"/>
      <c r="B232" s="443"/>
      <c r="C232" s="443"/>
      <c r="D232" s="443"/>
      <c r="E232" s="443"/>
      <c r="F232" s="443"/>
    </row>
    <row r="233" spans="1:6" ht="15.75" customHeight="1">
      <c r="A233" s="443"/>
      <c r="B233" s="443"/>
      <c r="C233" s="443"/>
      <c r="D233" s="443"/>
      <c r="E233" s="443"/>
      <c r="F233" s="443"/>
    </row>
    <row r="234" spans="1:6" ht="15.75" customHeight="1">
      <c r="A234" s="443"/>
      <c r="B234" s="443"/>
      <c r="C234" s="443"/>
      <c r="D234" s="443"/>
      <c r="E234" s="443"/>
      <c r="F234" s="443"/>
    </row>
    <row r="235" spans="1:6" ht="15.75" customHeight="1">
      <c r="A235" s="443"/>
      <c r="B235" s="443"/>
      <c r="C235" s="443"/>
      <c r="D235" s="443"/>
      <c r="E235" s="443"/>
      <c r="F235" s="443"/>
    </row>
    <row r="236" spans="1:6" ht="15.75" customHeight="1">
      <c r="A236" s="443"/>
      <c r="B236" s="443"/>
      <c r="C236" s="443"/>
      <c r="D236" s="443"/>
      <c r="E236" s="443"/>
      <c r="F236" s="443"/>
    </row>
    <row r="237" spans="1:6" ht="15.75" customHeight="1">
      <c r="A237" s="443"/>
      <c r="B237" s="443"/>
      <c r="C237" s="443"/>
      <c r="D237" s="443"/>
      <c r="E237" s="443"/>
      <c r="F237" s="443"/>
    </row>
    <row r="238" spans="1:6" ht="15.75" customHeight="1">
      <c r="A238" s="443"/>
      <c r="B238" s="443"/>
      <c r="C238" s="443"/>
      <c r="D238" s="443"/>
      <c r="E238" s="443"/>
      <c r="F238" s="443"/>
    </row>
    <row r="239" spans="1:6" ht="15.75" customHeight="1">
      <c r="A239" s="443"/>
      <c r="B239" s="443"/>
      <c r="C239" s="443"/>
      <c r="D239" s="443"/>
      <c r="E239" s="443"/>
      <c r="F239" s="443"/>
    </row>
    <row r="240" spans="1:6" ht="15.75" customHeight="1">
      <c r="A240" s="443"/>
      <c r="B240" s="443"/>
      <c r="C240" s="443"/>
      <c r="D240" s="443"/>
      <c r="E240" s="443"/>
      <c r="F240" s="443"/>
    </row>
    <row r="241" spans="1:6" ht="15.75" customHeight="1">
      <c r="A241" s="443"/>
      <c r="B241" s="443"/>
      <c r="C241" s="443"/>
      <c r="D241" s="443"/>
      <c r="E241" s="443"/>
      <c r="F241" s="443"/>
    </row>
    <row r="242" spans="1:6" ht="15.75" customHeight="1">
      <c r="A242" s="443"/>
      <c r="B242" s="443"/>
      <c r="C242" s="443"/>
      <c r="D242" s="443"/>
      <c r="E242" s="443"/>
      <c r="F242" s="443"/>
    </row>
    <row r="243" spans="1:6" ht="15.75" customHeight="1">
      <c r="A243" s="443"/>
      <c r="B243" s="443"/>
      <c r="C243" s="443"/>
      <c r="D243" s="443"/>
      <c r="E243" s="443"/>
      <c r="F243" s="443"/>
    </row>
    <row r="244" spans="1:6" ht="15.75" customHeight="1">
      <c r="A244" s="443"/>
      <c r="B244" s="443"/>
      <c r="C244" s="443"/>
      <c r="D244" s="443"/>
      <c r="E244" s="443"/>
      <c r="F244" s="443"/>
    </row>
    <row r="245" spans="1:6" ht="15.75" customHeight="1">
      <c r="A245" s="443"/>
      <c r="B245" s="443"/>
      <c r="C245" s="443"/>
      <c r="D245" s="443"/>
      <c r="E245" s="443"/>
      <c r="F245" s="443"/>
    </row>
    <row r="246" spans="1:6" ht="15.75" customHeight="1">
      <c r="A246" s="443"/>
      <c r="B246" s="443"/>
      <c r="C246" s="443"/>
      <c r="D246" s="443"/>
      <c r="E246" s="443"/>
      <c r="F246" s="443"/>
    </row>
    <row r="247" spans="1:6" ht="15.75" customHeight="1">
      <c r="A247" s="443"/>
      <c r="B247" s="443"/>
      <c r="C247" s="443"/>
      <c r="D247" s="443"/>
      <c r="E247" s="443"/>
      <c r="F247" s="443"/>
    </row>
    <row r="248" spans="1:6" ht="15.75" customHeight="1">
      <c r="A248" s="443"/>
      <c r="B248" s="443"/>
      <c r="C248" s="443"/>
      <c r="D248" s="443"/>
      <c r="E248" s="443"/>
      <c r="F248" s="443"/>
    </row>
    <row r="249" spans="1:6" ht="15.75" customHeight="1">
      <c r="A249" s="443"/>
      <c r="B249" s="443"/>
      <c r="C249" s="443"/>
      <c r="D249" s="443"/>
      <c r="E249" s="443"/>
      <c r="F249" s="443"/>
    </row>
    <row r="250" spans="1:6" ht="15.75" customHeight="1">
      <c r="A250" s="443"/>
      <c r="B250" s="443"/>
      <c r="C250" s="443"/>
      <c r="D250" s="443"/>
      <c r="E250" s="443"/>
      <c r="F250" s="443"/>
    </row>
    <row r="251" spans="1:6" ht="15.75" customHeight="1">
      <c r="A251" s="443"/>
      <c r="B251" s="443"/>
      <c r="C251" s="443"/>
      <c r="D251" s="443"/>
      <c r="E251" s="443"/>
      <c r="F251" s="443"/>
    </row>
    <row r="252" spans="1:6" ht="15.75" customHeight="1">
      <c r="A252" s="443"/>
      <c r="B252" s="443"/>
      <c r="C252" s="443"/>
      <c r="D252" s="443"/>
      <c r="E252" s="443"/>
      <c r="F252" s="443"/>
    </row>
    <row r="253" spans="1:6" ht="15.75" customHeight="1">
      <c r="A253" s="443"/>
      <c r="B253" s="443"/>
      <c r="C253" s="443"/>
      <c r="D253" s="443"/>
      <c r="E253" s="443"/>
      <c r="F253" s="443"/>
    </row>
    <row r="254" spans="1:6" ht="15.75" customHeight="1">
      <c r="A254" s="443"/>
      <c r="B254" s="443"/>
      <c r="C254" s="443"/>
      <c r="D254" s="443"/>
      <c r="E254" s="443"/>
      <c r="F254" s="443"/>
    </row>
    <row r="255" spans="1:6" ht="15.75" customHeight="1">
      <c r="A255" s="443"/>
      <c r="B255" s="443"/>
      <c r="C255" s="443"/>
      <c r="D255" s="443"/>
      <c r="E255" s="443"/>
      <c r="F255" s="443"/>
    </row>
    <row r="256" spans="1:6" ht="15.75" customHeight="1">
      <c r="A256" s="443"/>
      <c r="B256" s="443"/>
      <c r="C256" s="443"/>
      <c r="D256" s="443"/>
      <c r="E256" s="443"/>
      <c r="F256" s="443"/>
    </row>
    <row r="257" spans="1:6" ht="15.75" customHeight="1">
      <c r="A257" s="443"/>
      <c r="B257" s="443"/>
      <c r="C257" s="443"/>
      <c r="D257" s="443"/>
      <c r="E257" s="443"/>
      <c r="F257" s="443"/>
    </row>
    <row r="258" spans="1:6" ht="15.75" customHeight="1">
      <c r="A258" s="443"/>
      <c r="B258" s="443"/>
      <c r="C258" s="443"/>
      <c r="D258" s="443"/>
      <c r="E258" s="443"/>
      <c r="F258" s="443"/>
    </row>
    <row r="259" spans="1:6" ht="15.75" customHeight="1">
      <c r="A259" s="443"/>
      <c r="B259" s="443"/>
      <c r="C259" s="443"/>
      <c r="D259" s="443"/>
      <c r="E259" s="443"/>
      <c r="F259" s="443"/>
    </row>
    <row r="260" spans="1:6" ht="15.75" customHeight="1">
      <c r="A260" s="443"/>
      <c r="B260" s="443"/>
      <c r="C260" s="443"/>
      <c r="D260" s="443"/>
      <c r="E260" s="443"/>
      <c r="F260" s="443"/>
    </row>
    <row r="261" spans="1:6" ht="15.75" customHeight="1">
      <c r="A261" s="443"/>
      <c r="B261" s="443"/>
      <c r="C261" s="443"/>
      <c r="D261" s="443"/>
      <c r="E261" s="443"/>
      <c r="F261" s="443"/>
    </row>
    <row r="262" spans="1:6" ht="15.75" customHeight="1">
      <c r="A262" s="443"/>
      <c r="B262" s="443"/>
      <c r="C262" s="443"/>
      <c r="D262" s="443"/>
      <c r="E262" s="443"/>
      <c r="F262" s="443"/>
    </row>
    <row r="263" spans="1:6" ht="15.75" customHeight="1">
      <c r="A263" s="443"/>
      <c r="B263" s="443"/>
      <c r="C263" s="443"/>
      <c r="D263" s="443"/>
      <c r="E263" s="443"/>
      <c r="F263" s="443"/>
    </row>
    <row r="264" spans="1:6" ht="15.75" customHeight="1">
      <c r="A264" s="443"/>
      <c r="B264" s="443"/>
      <c r="C264" s="443"/>
      <c r="D264" s="443"/>
      <c r="E264" s="443"/>
      <c r="F264" s="443"/>
    </row>
    <row r="265" spans="1:6" ht="15.75" customHeight="1">
      <c r="A265" s="443"/>
      <c r="B265" s="443"/>
      <c r="C265" s="443"/>
      <c r="D265" s="443"/>
      <c r="E265" s="443"/>
      <c r="F265" s="443"/>
    </row>
    <row r="266" spans="1:6" ht="15.75" customHeight="1">
      <c r="A266" s="443"/>
      <c r="B266" s="443"/>
      <c r="C266" s="443"/>
      <c r="D266" s="443"/>
      <c r="E266" s="443"/>
      <c r="F266" s="443"/>
    </row>
    <row r="267" spans="1:6" ht="15.75" customHeight="1">
      <c r="A267" s="443"/>
      <c r="B267" s="443"/>
      <c r="C267" s="443"/>
      <c r="D267" s="443"/>
      <c r="E267" s="443"/>
      <c r="F267" s="443"/>
    </row>
    <row r="268" spans="1:6" ht="15.75" customHeight="1">
      <c r="A268" s="443"/>
      <c r="B268" s="443"/>
      <c r="C268" s="443"/>
      <c r="D268" s="443"/>
      <c r="E268" s="443"/>
      <c r="F268" s="443"/>
    </row>
    <row r="269" spans="1:6" ht="15.75" customHeight="1">
      <c r="A269" s="443"/>
      <c r="B269" s="443"/>
      <c r="C269" s="443"/>
      <c r="D269" s="443"/>
      <c r="E269" s="443"/>
      <c r="F269" s="443"/>
    </row>
    <row r="270" spans="1:6" ht="15.75" customHeight="1">
      <c r="A270" s="443"/>
      <c r="B270" s="443"/>
      <c r="C270" s="443"/>
      <c r="D270" s="443"/>
      <c r="E270" s="443"/>
      <c r="F270" s="443"/>
    </row>
    <row r="271" spans="1:6" ht="15.75" customHeight="1">
      <c r="A271" s="443"/>
      <c r="B271" s="443"/>
      <c r="C271" s="443"/>
      <c r="D271" s="443"/>
      <c r="E271" s="443"/>
      <c r="F271" s="443"/>
    </row>
    <row r="272" spans="1:6" ht="15.75" customHeight="1">
      <c r="A272" s="443"/>
      <c r="B272" s="443"/>
      <c r="C272" s="443"/>
      <c r="D272" s="443"/>
      <c r="E272" s="443"/>
      <c r="F272" s="443"/>
    </row>
    <row r="273" spans="1:6" ht="15.75" customHeight="1">
      <c r="A273" s="443"/>
      <c r="B273" s="443"/>
      <c r="C273" s="443"/>
      <c r="D273" s="443"/>
      <c r="E273" s="443"/>
      <c r="F273" s="443"/>
    </row>
    <row r="274" spans="1:6" ht="15.75" customHeight="1">
      <c r="A274" s="443"/>
      <c r="B274" s="443"/>
      <c r="C274" s="443"/>
      <c r="D274" s="443"/>
      <c r="E274" s="443"/>
      <c r="F274" s="443"/>
    </row>
    <row r="275" spans="1:6" ht="15.75" customHeight="1">
      <c r="A275" s="443"/>
      <c r="B275" s="443"/>
      <c r="C275" s="443"/>
      <c r="D275" s="443"/>
      <c r="E275" s="443"/>
      <c r="F275" s="443"/>
    </row>
    <row r="276" spans="1:6" ht="15.75" customHeight="1">
      <c r="A276" s="443"/>
      <c r="B276" s="443"/>
      <c r="C276" s="443"/>
      <c r="D276" s="443"/>
      <c r="E276" s="443"/>
      <c r="F276" s="443"/>
    </row>
    <row r="277" spans="1:6" ht="15.75" customHeight="1">
      <c r="A277" s="443"/>
      <c r="B277" s="443"/>
      <c r="C277" s="443"/>
      <c r="D277" s="443"/>
      <c r="E277" s="443"/>
      <c r="F277" s="443"/>
    </row>
    <row r="278" spans="1:6" ht="15.75" customHeight="1">
      <c r="A278" s="443"/>
      <c r="B278" s="443"/>
      <c r="C278" s="443"/>
      <c r="D278" s="443"/>
      <c r="E278" s="443"/>
      <c r="F278" s="443"/>
    </row>
    <row r="279" spans="1:6" ht="15.75" customHeight="1">
      <c r="A279" s="443"/>
      <c r="B279" s="443"/>
      <c r="C279" s="443"/>
      <c r="D279" s="443"/>
      <c r="E279" s="443"/>
      <c r="F279" s="443"/>
    </row>
    <row r="280" spans="1:6" ht="15.75" customHeight="1">
      <c r="A280" s="443"/>
      <c r="B280" s="443"/>
      <c r="C280" s="443"/>
      <c r="D280" s="443"/>
      <c r="E280" s="443"/>
      <c r="F280" s="443"/>
    </row>
    <row r="281" spans="1:6" ht="15.75" customHeight="1">
      <c r="A281" s="443"/>
      <c r="B281" s="443"/>
      <c r="C281" s="443"/>
      <c r="D281" s="443"/>
      <c r="E281" s="443"/>
      <c r="F281" s="443"/>
    </row>
    <row r="282" spans="1:6" ht="15.75" customHeight="1">
      <c r="A282" s="443"/>
      <c r="B282" s="443"/>
      <c r="C282" s="443"/>
      <c r="D282" s="443"/>
      <c r="E282" s="443"/>
      <c r="F282" s="443"/>
    </row>
    <row r="283" spans="1:6" ht="15.75" customHeight="1">
      <c r="A283" s="443"/>
      <c r="B283" s="443"/>
      <c r="C283" s="443"/>
      <c r="D283" s="443"/>
      <c r="E283" s="443"/>
      <c r="F283" s="443"/>
    </row>
    <row r="284" spans="1:6" ht="15.75" customHeight="1">
      <c r="A284" s="443"/>
      <c r="B284" s="443"/>
      <c r="C284" s="443"/>
      <c r="D284" s="443"/>
      <c r="E284" s="443"/>
      <c r="F284" s="443"/>
    </row>
    <row r="285" spans="1:6" ht="15.75" customHeight="1">
      <c r="A285" s="443"/>
      <c r="B285" s="443"/>
      <c r="C285" s="443"/>
      <c r="D285" s="443"/>
      <c r="E285" s="443"/>
      <c r="F285" s="443"/>
    </row>
    <row r="286" spans="1:6" ht="15.75" customHeight="1">
      <c r="A286" s="443"/>
      <c r="B286" s="443"/>
      <c r="C286" s="443"/>
      <c r="D286" s="443"/>
      <c r="E286" s="443"/>
      <c r="F286" s="443"/>
    </row>
    <row r="287" spans="1:6" ht="15.75" customHeight="1">
      <c r="A287" s="443"/>
      <c r="B287" s="443"/>
      <c r="C287" s="443"/>
      <c r="D287" s="443"/>
      <c r="E287" s="443"/>
      <c r="F287" s="443"/>
    </row>
    <row r="288" spans="1:6" ht="15.75" customHeight="1">
      <c r="A288" s="443"/>
      <c r="B288" s="443"/>
      <c r="C288" s="443"/>
      <c r="D288" s="443"/>
      <c r="E288" s="443"/>
      <c r="F288" s="443"/>
    </row>
    <row r="289" spans="1:6" ht="15.75" customHeight="1">
      <c r="A289" s="443"/>
      <c r="B289" s="443"/>
      <c r="C289" s="443"/>
      <c r="D289" s="443"/>
      <c r="E289" s="443"/>
      <c r="F289" s="443"/>
    </row>
    <row r="290" spans="1:6" ht="15.75" customHeight="1">
      <c r="A290" s="443"/>
      <c r="B290" s="443"/>
      <c r="C290" s="443"/>
      <c r="D290" s="443"/>
      <c r="E290" s="443"/>
      <c r="F290" s="443"/>
    </row>
    <row r="291" spans="1:6" ht="15.75" customHeight="1">
      <c r="A291" s="443"/>
      <c r="B291" s="443"/>
      <c r="C291" s="443"/>
      <c r="D291" s="443"/>
      <c r="E291" s="443"/>
      <c r="F291" s="443"/>
    </row>
    <row r="292" spans="1:6" ht="15.75" customHeight="1">
      <c r="A292" s="443"/>
      <c r="B292" s="443"/>
      <c r="C292" s="443"/>
      <c r="D292" s="443"/>
      <c r="E292" s="443"/>
      <c r="F292" s="443"/>
    </row>
    <row r="293" spans="1:6" ht="15.75" customHeight="1">
      <c r="A293" s="443"/>
      <c r="B293" s="443"/>
      <c r="C293" s="443"/>
      <c r="D293" s="443"/>
      <c r="E293" s="443"/>
      <c r="F293" s="443"/>
    </row>
    <row r="294" spans="1:6" ht="15.75" customHeight="1">
      <c r="A294" s="443"/>
      <c r="B294" s="443"/>
      <c r="C294" s="443"/>
      <c r="D294" s="443"/>
      <c r="E294" s="443"/>
      <c r="F294" s="443"/>
    </row>
    <row r="295" spans="1:6" ht="15.75" customHeight="1">
      <c r="A295" s="443"/>
      <c r="B295" s="443"/>
      <c r="C295" s="443"/>
      <c r="D295" s="443"/>
      <c r="E295" s="443"/>
      <c r="F295" s="443"/>
    </row>
    <row r="296" spans="1:6" ht="15.75" customHeight="1">
      <c r="A296" s="443"/>
      <c r="B296" s="443"/>
      <c r="C296" s="443"/>
      <c r="D296" s="443"/>
      <c r="E296" s="443"/>
      <c r="F296" s="443"/>
    </row>
    <row r="297" spans="1:6" ht="15.75" customHeight="1">
      <c r="A297" s="443"/>
      <c r="B297" s="443"/>
      <c r="C297" s="443"/>
      <c r="D297" s="443"/>
      <c r="E297" s="443"/>
      <c r="F297" s="443"/>
    </row>
    <row r="298" spans="1:6" ht="15.75" customHeight="1">
      <c r="A298" s="443"/>
      <c r="B298" s="443"/>
      <c r="C298" s="443"/>
      <c r="D298" s="443"/>
      <c r="E298" s="443"/>
      <c r="F298" s="443"/>
    </row>
    <row r="299" spans="1:6" ht="15.75" customHeight="1">
      <c r="A299" s="443"/>
      <c r="B299" s="443"/>
      <c r="C299" s="443"/>
      <c r="D299" s="443"/>
      <c r="E299" s="443"/>
      <c r="F299" s="443"/>
    </row>
    <row r="300" spans="1:6" ht="15.75" customHeight="1">
      <c r="A300" s="443"/>
      <c r="B300" s="443"/>
      <c r="C300" s="443"/>
      <c r="D300" s="443"/>
      <c r="E300" s="443"/>
      <c r="F300" s="443"/>
    </row>
    <row r="301" spans="1:6" ht="15.75" customHeight="1">
      <c r="A301" s="443"/>
      <c r="B301" s="443"/>
      <c r="C301" s="443"/>
      <c r="D301" s="443"/>
      <c r="E301" s="443"/>
      <c r="F301" s="443"/>
    </row>
    <row r="302" spans="1:6" ht="15.75" customHeight="1">
      <c r="A302" s="443"/>
      <c r="B302" s="443"/>
      <c r="C302" s="443"/>
      <c r="D302" s="443"/>
      <c r="E302" s="443"/>
      <c r="F302" s="443"/>
    </row>
    <row r="303" spans="1:6" ht="15.75" customHeight="1">
      <c r="A303" s="443"/>
      <c r="B303" s="443"/>
      <c r="C303" s="443"/>
      <c r="D303" s="443"/>
      <c r="E303" s="443"/>
      <c r="F303" s="443"/>
    </row>
    <row r="304" spans="1:6" ht="15.75" customHeight="1">
      <c r="A304" s="443"/>
      <c r="B304" s="443"/>
      <c r="C304" s="443"/>
      <c r="D304" s="443"/>
      <c r="E304" s="443"/>
      <c r="F304" s="443"/>
    </row>
    <row r="305" spans="1:6" ht="15.75" customHeight="1">
      <c r="A305" s="443"/>
      <c r="B305" s="443"/>
      <c r="C305" s="443"/>
      <c r="D305" s="443"/>
      <c r="E305" s="443"/>
      <c r="F305" s="443"/>
    </row>
    <row r="306" spans="1:6" ht="15.75" customHeight="1">
      <c r="A306" s="443"/>
      <c r="B306" s="443"/>
      <c r="C306" s="443"/>
      <c r="D306" s="443"/>
      <c r="E306" s="443"/>
      <c r="F306" s="443"/>
    </row>
    <row r="307" spans="1:6" ht="15.75" customHeight="1">
      <c r="A307" s="443"/>
      <c r="B307" s="443"/>
      <c r="C307" s="443"/>
      <c r="D307" s="443"/>
      <c r="E307" s="443"/>
      <c r="F307" s="443"/>
    </row>
    <row r="308" spans="1:6" ht="15.75" customHeight="1">
      <c r="A308" s="443"/>
      <c r="B308" s="443"/>
      <c r="C308" s="443"/>
      <c r="D308" s="443"/>
      <c r="E308" s="443"/>
      <c r="F308" s="443"/>
    </row>
    <row r="309" spans="1:6" ht="15.75" customHeight="1">
      <c r="A309" s="443"/>
      <c r="B309" s="443"/>
      <c r="C309" s="443"/>
      <c r="D309" s="443"/>
      <c r="E309" s="443"/>
      <c r="F309" s="443"/>
    </row>
    <row r="310" spans="1:6" ht="15.75" customHeight="1">
      <c r="A310" s="443"/>
      <c r="B310" s="443"/>
      <c r="C310" s="443"/>
      <c r="D310" s="443"/>
      <c r="E310" s="443"/>
      <c r="F310" s="443"/>
    </row>
    <row r="311" spans="1:6" ht="15.75" customHeight="1">
      <c r="A311" s="443"/>
      <c r="B311" s="443"/>
      <c r="C311" s="443"/>
      <c r="D311" s="443"/>
      <c r="E311" s="443"/>
      <c r="F311" s="443"/>
    </row>
    <row r="312" spans="1:6" ht="15.75" customHeight="1">
      <c r="A312" s="443"/>
      <c r="B312" s="443"/>
      <c r="C312" s="443"/>
      <c r="D312" s="443"/>
      <c r="E312" s="443"/>
      <c r="F312" s="443"/>
    </row>
    <row r="313" spans="1:6" ht="15.75" customHeight="1">
      <c r="A313" s="443"/>
      <c r="B313" s="443"/>
      <c r="C313" s="443"/>
      <c r="D313" s="443"/>
      <c r="E313" s="443"/>
      <c r="F313" s="443"/>
    </row>
    <row r="314" spans="1:6" ht="15.75" customHeight="1">
      <c r="A314" s="443"/>
      <c r="B314" s="443"/>
      <c r="C314" s="443"/>
      <c r="D314" s="443"/>
      <c r="E314" s="443"/>
      <c r="F314" s="443"/>
    </row>
    <row r="315" spans="1:6" ht="15.75" customHeight="1">
      <c r="A315" s="443"/>
      <c r="B315" s="443"/>
      <c r="C315" s="443"/>
      <c r="D315" s="443"/>
      <c r="E315" s="443"/>
      <c r="F315" s="443"/>
    </row>
    <row r="316" spans="1:6" ht="15.75" customHeight="1">
      <c r="A316" s="443"/>
      <c r="B316" s="443"/>
      <c r="C316" s="443"/>
      <c r="D316" s="443"/>
      <c r="E316" s="443"/>
      <c r="F316" s="443"/>
    </row>
    <row r="317" spans="1:6" ht="15.75" customHeight="1">
      <c r="A317" s="443"/>
      <c r="B317" s="443"/>
      <c r="C317" s="443"/>
      <c r="D317" s="443"/>
      <c r="E317" s="443"/>
      <c r="F317" s="443"/>
    </row>
    <row r="318" spans="1:6" ht="15.75" customHeight="1">
      <c r="A318" s="443"/>
      <c r="B318" s="443"/>
      <c r="C318" s="443"/>
      <c r="D318" s="443"/>
      <c r="E318" s="443"/>
      <c r="F318" s="443"/>
    </row>
    <row r="319" spans="1:6" ht="15.75" customHeight="1">
      <c r="A319" s="443"/>
      <c r="B319" s="443"/>
      <c r="C319" s="443"/>
      <c r="D319" s="443"/>
      <c r="E319" s="443"/>
      <c r="F319" s="443"/>
    </row>
    <row r="320" spans="1:6" ht="15.75" customHeight="1">
      <c r="A320" s="443"/>
      <c r="B320" s="443"/>
      <c r="C320" s="443"/>
      <c r="D320" s="443"/>
      <c r="E320" s="443"/>
      <c r="F320" s="443"/>
    </row>
    <row r="321" spans="1:6" ht="15.75" customHeight="1">
      <c r="A321" s="443"/>
      <c r="B321" s="443"/>
      <c r="C321" s="443"/>
      <c r="D321" s="443"/>
      <c r="E321" s="443"/>
      <c r="F321" s="443"/>
    </row>
    <row r="322" spans="1:6" ht="15.75" customHeight="1">
      <c r="A322" s="443"/>
      <c r="B322" s="443"/>
      <c r="C322" s="443"/>
      <c r="D322" s="443"/>
      <c r="E322" s="443"/>
      <c r="F322" s="443"/>
    </row>
    <row r="323" spans="1:6" ht="15.75" customHeight="1">
      <c r="A323" s="443"/>
      <c r="B323" s="443"/>
      <c r="C323" s="443"/>
      <c r="D323" s="443"/>
      <c r="E323" s="443"/>
      <c r="F323" s="443"/>
    </row>
    <row r="324" spans="1:6" ht="15.75" customHeight="1">
      <c r="A324" s="443"/>
      <c r="B324" s="443"/>
      <c r="C324" s="443"/>
      <c r="D324" s="443"/>
      <c r="E324" s="443"/>
      <c r="F324" s="443"/>
    </row>
    <row r="325" spans="1:6" ht="15.75" customHeight="1">
      <c r="A325" s="443"/>
      <c r="B325" s="443"/>
      <c r="C325" s="443"/>
      <c r="D325" s="443"/>
      <c r="E325" s="443"/>
      <c r="F325" s="443"/>
    </row>
    <row r="326" spans="1:6" ht="15.75" customHeight="1">
      <c r="A326" s="443"/>
      <c r="B326" s="443"/>
      <c r="C326" s="443"/>
      <c r="D326" s="443"/>
      <c r="E326" s="443"/>
      <c r="F326" s="443"/>
    </row>
    <row r="327" spans="1:6" ht="15.75" customHeight="1">
      <c r="A327" s="443"/>
      <c r="B327" s="443"/>
      <c r="C327" s="443"/>
      <c r="D327" s="443"/>
      <c r="E327" s="443"/>
      <c r="F327" s="443"/>
    </row>
    <row r="328" spans="1:6" ht="15.75" customHeight="1">
      <c r="A328" s="443"/>
      <c r="B328" s="443"/>
      <c r="C328" s="443"/>
      <c r="D328" s="443"/>
      <c r="E328" s="443"/>
      <c r="F328" s="443"/>
    </row>
    <row r="329" spans="1:6" ht="15.75" customHeight="1">
      <c r="A329" s="443"/>
      <c r="B329" s="443"/>
      <c r="C329" s="443"/>
      <c r="D329" s="443"/>
      <c r="E329" s="443"/>
      <c r="F329" s="443"/>
    </row>
    <row r="330" spans="1:6" ht="15.75" customHeight="1">
      <c r="A330" s="443"/>
      <c r="B330" s="443"/>
      <c r="C330" s="443"/>
      <c r="D330" s="443"/>
      <c r="E330" s="443"/>
      <c r="F330" s="443"/>
    </row>
    <row r="331" spans="1:6" ht="15.75" customHeight="1">
      <c r="A331" s="443"/>
      <c r="B331" s="443"/>
      <c r="C331" s="443"/>
      <c r="D331" s="443"/>
      <c r="E331" s="443"/>
      <c r="F331" s="443"/>
    </row>
    <row r="332" spans="1:6" ht="15.75" customHeight="1">
      <c r="A332" s="443"/>
      <c r="B332" s="443"/>
      <c r="C332" s="443"/>
      <c r="D332" s="443"/>
      <c r="E332" s="443"/>
      <c r="F332" s="443"/>
    </row>
    <row r="333" spans="1:6" ht="15.75" customHeight="1">
      <c r="A333" s="443"/>
      <c r="B333" s="443"/>
      <c r="C333" s="443"/>
      <c r="D333" s="443"/>
      <c r="E333" s="443"/>
      <c r="F333" s="443"/>
    </row>
    <row r="334" spans="1:6" ht="15.75" customHeight="1">
      <c r="A334" s="443"/>
      <c r="B334" s="443"/>
      <c r="C334" s="443"/>
      <c r="D334" s="443"/>
      <c r="E334" s="443"/>
      <c r="F334" s="443"/>
    </row>
    <row r="335" spans="1:6" ht="15.75" customHeight="1">
      <c r="A335" s="443"/>
      <c r="B335" s="443"/>
      <c r="C335" s="443"/>
      <c r="D335" s="443"/>
      <c r="E335" s="443"/>
      <c r="F335" s="443"/>
    </row>
    <row r="336" spans="1:6" ht="15.75" customHeight="1">
      <c r="A336" s="443"/>
      <c r="B336" s="443"/>
      <c r="C336" s="443"/>
      <c r="D336" s="443"/>
      <c r="E336" s="443"/>
      <c r="F336" s="443"/>
    </row>
    <row r="337" spans="1:6" ht="15.75" customHeight="1">
      <c r="A337" s="443"/>
      <c r="B337" s="443"/>
      <c r="C337" s="443"/>
      <c r="D337" s="443"/>
      <c r="E337" s="443"/>
      <c r="F337" s="443"/>
    </row>
    <row r="338" spans="1:6" ht="15.75" customHeight="1">
      <c r="A338" s="443"/>
      <c r="B338" s="443"/>
      <c r="C338" s="443"/>
      <c r="D338" s="443"/>
      <c r="E338" s="443"/>
      <c r="F338" s="443"/>
    </row>
    <row r="339" spans="1:6" ht="15.75" customHeight="1">
      <c r="A339" s="443"/>
      <c r="B339" s="443"/>
      <c r="C339" s="443"/>
      <c r="D339" s="443"/>
      <c r="E339" s="443"/>
      <c r="F339" s="443"/>
    </row>
    <row r="340" spans="1:6" ht="15.75" customHeight="1">
      <c r="A340" s="443"/>
      <c r="B340" s="443"/>
      <c r="C340" s="443"/>
      <c r="D340" s="443"/>
      <c r="E340" s="443"/>
      <c r="F340" s="443"/>
    </row>
    <row r="341" spans="1:6" ht="15.75" customHeight="1">
      <c r="A341" s="443"/>
      <c r="B341" s="443"/>
      <c r="C341" s="443"/>
      <c r="D341" s="443"/>
      <c r="E341" s="443"/>
      <c r="F341" s="443"/>
    </row>
    <row r="342" spans="1:6" ht="15.75" customHeight="1">
      <c r="A342" s="443"/>
      <c r="B342" s="443"/>
      <c r="C342" s="443"/>
      <c r="D342" s="443"/>
      <c r="E342" s="443"/>
      <c r="F342" s="443"/>
    </row>
    <row r="343" spans="1:6" ht="15.75" customHeight="1">
      <c r="A343" s="443"/>
      <c r="B343" s="443"/>
      <c r="C343" s="443"/>
      <c r="D343" s="443"/>
      <c r="E343" s="443"/>
      <c r="F343" s="443"/>
    </row>
    <row r="344" spans="1:6" ht="15.75" customHeight="1">
      <c r="A344" s="443"/>
      <c r="B344" s="443"/>
      <c r="C344" s="443"/>
      <c r="D344" s="443"/>
      <c r="E344" s="443"/>
      <c r="F344" s="443"/>
    </row>
    <row r="345" spans="1:6" ht="15.75" customHeight="1">
      <c r="A345" s="443"/>
      <c r="B345" s="443"/>
      <c r="C345" s="443"/>
      <c r="D345" s="443"/>
      <c r="E345" s="443"/>
      <c r="F345" s="443"/>
    </row>
    <row r="346" spans="1:6" ht="15.75" customHeight="1">
      <c r="A346" s="443"/>
      <c r="B346" s="443"/>
      <c r="C346" s="443"/>
      <c r="D346" s="443"/>
      <c r="E346" s="443"/>
      <c r="F346" s="443"/>
    </row>
    <row r="347" spans="1:6" ht="15.75" customHeight="1">
      <c r="A347" s="443"/>
      <c r="B347" s="443"/>
      <c r="C347" s="443"/>
      <c r="D347" s="443"/>
      <c r="E347" s="443"/>
      <c r="F347" s="443"/>
    </row>
    <row r="348" spans="1:6" ht="15.75" customHeight="1">
      <c r="A348" s="443"/>
      <c r="B348" s="443"/>
      <c r="C348" s="443"/>
      <c r="D348" s="443"/>
      <c r="E348" s="443"/>
      <c r="F348" s="443"/>
    </row>
    <row r="349" spans="1:6" ht="15.75" customHeight="1">
      <c r="A349" s="443"/>
      <c r="B349" s="443"/>
      <c r="C349" s="443"/>
      <c r="D349" s="443"/>
      <c r="E349" s="443"/>
      <c r="F349" s="443"/>
    </row>
    <row r="350" spans="1:6" ht="15.75" customHeight="1">
      <c r="A350" s="443"/>
      <c r="B350" s="443"/>
      <c r="C350" s="443"/>
      <c r="D350" s="443"/>
      <c r="E350" s="443"/>
      <c r="F350" s="443"/>
    </row>
    <row r="351" spans="1:6" ht="15.75" customHeight="1">
      <c r="A351" s="443"/>
      <c r="B351" s="443"/>
      <c r="C351" s="443"/>
      <c r="D351" s="443"/>
      <c r="E351" s="443"/>
      <c r="F351" s="443"/>
    </row>
    <row r="352" spans="1:6" ht="15.75" customHeight="1">
      <c r="A352" s="443"/>
      <c r="B352" s="443"/>
      <c r="C352" s="443"/>
      <c r="D352" s="443"/>
      <c r="E352" s="443"/>
      <c r="F352" s="443"/>
    </row>
    <row r="353" spans="1:6" ht="15.75" customHeight="1">
      <c r="A353" s="443"/>
      <c r="B353" s="443"/>
      <c r="C353" s="443"/>
      <c r="D353" s="443"/>
      <c r="E353" s="443"/>
      <c r="F353" s="443"/>
    </row>
    <row r="354" spans="1:6" ht="15.75" customHeight="1">
      <c r="A354" s="443"/>
      <c r="B354" s="443"/>
      <c r="C354" s="443"/>
      <c r="D354" s="443"/>
      <c r="E354" s="443"/>
      <c r="F354" s="443"/>
    </row>
    <row r="355" spans="1:6" ht="15.75" customHeight="1">
      <c r="A355" s="443"/>
      <c r="B355" s="443"/>
      <c r="C355" s="443"/>
      <c r="D355" s="443"/>
      <c r="E355" s="443"/>
      <c r="F355" s="443"/>
    </row>
    <row r="356" spans="1:6" ht="15.75" customHeight="1">
      <c r="A356" s="443"/>
      <c r="B356" s="443"/>
      <c r="C356" s="443"/>
      <c r="D356" s="443"/>
      <c r="E356" s="443"/>
      <c r="F356" s="443"/>
    </row>
    <row r="357" spans="1:6" ht="15.75" customHeight="1">
      <c r="A357" s="443"/>
      <c r="B357" s="443"/>
      <c r="C357" s="443"/>
      <c r="D357" s="443"/>
      <c r="E357" s="443"/>
      <c r="F357" s="443"/>
    </row>
    <row r="358" spans="1:6" ht="15.75" customHeight="1">
      <c r="A358" s="443"/>
      <c r="B358" s="443"/>
      <c r="C358" s="443"/>
      <c r="D358" s="443"/>
      <c r="E358" s="443"/>
      <c r="F358" s="443"/>
    </row>
    <row r="359" spans="1:6" ht="15.75" customHeight="1">
      <c r="A359" s="443"/>
      <c r="B359" s="443"/>
      <c r="C359" s="443"/>
      <c r="D359" s="443"/>
      <c r="E359" s="443"/>
      <c r="F359" s="443"/>
    </row>
    <row r="360" spans="1:6" ht="15.75" customHeight="1">
      <c r="A360" s="443"/>
      <c r="B360" s="443"/>
      <c r="C360" s="443"/>
      <c r="D360" s="443"/>
      <c r="E360" s="443"/>
      <c r="F360" s="443"/>
    </row>
    <row r="361" spans="1:6" ht="15.75" customHeight="1">
      <c r="A361" s="443"/>
      <c r="B361" s="443"/>
      <c r="C361" s="443"/>
      <c r="D361" s="443"/>
      <c r="E361" s="443"/>
      <c r="F361" s="443"/>
    </row>
    <row r="362" spans="1:6" ht="15.75" customHeight="1">
      <c r="A362" s="443"/>
      <c r="B362" s="443"/>
      <c r="C362" s="443"/>
      <c r="D362" s="443"/>
      <c r="E362" s="443"/>
      <c r="F362" s="443"/>
    </row>
    <row r="363" spans="1:6" ht="15.75" customHeight="1">
      <c r="A363" s="443"/>
      <c r="B363" s="443"/>
      <c r="C363" s="443"/>
      <c r="D363" s="443"/>
      <c r="E363" s="443"/>
      <c r="F363" s="443"/>
    </row>
    <row r="364" spans="1:6" ht="15.75" customHeight="1">
      <c r="A364" s="443"/>
      <c r="B364" s="443"/>
      <c r="C364" s="443"/>
      <c r="D364" s="443"/>
      <c r="E364" s="443"/>
      <c r="F364" s="443"/>
    </row>
    <row r="365" spans="1:6" ht="15.75" customHeight="1">
      <c r="A365" s="443"/>
      <c r="B365" s="443"/>
      <c r="C365" s="443"/>
      <c r="D365" s="443"/>
      <c r="E365" s="443"/>
      <c r="F365" s="443"/>
    </row>
    <row r="366" spans="1:6" ht="15.75" customHeight="1">
      <c r="A366" s="443"/>
      <c r="B366" s="443"/>
      <c r="C366" s="443"/>
      <c r="D366" s="443"/>
      <c r="E366" s="443"/>
      <c r="F366" s="443"/>
    </row>
    <row r="367" spans="1:6" ht="15.75" customHeight="1">
      <c r="A367" s="443"/>
      <c r="B367" s="443"/>
      <c r="C367" s="443"/>
      <c r="D367" s="443"/>
      <c r="E367" s="443"/>
      <c r="F367" s="443"/>
    </row>
    <row r="368" spans="1:6" ht="15.75" customHeight="1">
      <c r="A368" s="443"/>
      <c r="B368" s="443"/>
      <c r="C368" s="443"/>
      <c r="D368" s="443"/>
      <c r="E368" s="443"/>
      <c r="F368" s="443"/>
    </row>
    <row r="369" spans="1:6" ht="15.75" customHeight="1">
      <c r="A369" s="443"/>
      <c r="B369" s="443"/>
      <c r="C369" s="443"/>
      <c r="D369" s="443"/>
      <c r="E369" s="443"/>
      <c r="F369" s="443"/>
    </row>
    <row r="370" spans="1:6" ht="15.75" customHeight="1">
      <c r="A370" s="443"/>
      <c r="B370" s="443"/>
      <c r="C370" s="443"/>
      <c r="D370" s="443"/>
      <c r="E370" s="443"/>
      <c r="F370" s="443"/>
    </row>
    <row r="371" spans="1:6" ht="15.75" customHeight="1">
      <c r="A371" s="443"/>
      <c r="B371" s="443"/>
      <c r="C371" s="443"/>
      <c r="D371" s="443"/>
      <c r="E371" s="443"/>
      <c r="F371" s="443"/>
    </row>
    <row r="372" spans="1:6" ht="15.75" customHeight="1">
      <c r="A372" s="443"/>
      <c r="B372" s="443"/>
      <c r="C372" s="443"/>
      <c r="D372" s="443"/>
      <c r="E372" s="443"/>
      <c r="F372" s="443"/>
    </row>
    <row r="373" spans="1:6" ht="15.75" customHeight="1">
      <c r="A373" s="443"/>
      <c r="B373" s="443"/>
      <c r="C373" s="443"/>
      <c r="D373" s="443"/>
      <c r="E373" s="443"/>
      <c r="F373" s="443"/>
    </row>
    <row r="374" spans="1:6" ht="15.75" customHeight="1">
      <c r="A374" s="443"/>
      <c r="B374" s="443"/>
      <c r="C374" s="443"/>
      <c r="D374" s="443"/>
      <c r="E374" s="443"/>
      <c r="F374" s="443"/>
    </row>
    <row r="375" spans="1:6" ht="15.75" customHeight="1">
      <c r="A375" s="443"/>
      <c r="B375" s="443"/>
      <c r="C375" s="443"/>
      <c r="D375" s="443"/>
      <c r="E375" s="443"/>
      <c r="F375" s="443"/>
    </row>
    <row r="376" spans="1:6" ht="15.75" customHeight="1">
      <c r="A376" s="443"/>
      <c r="B376" s="443"/>
      <c r="C376" s="443"/>
      <c r="D376" s="443"/>
      <c r="E376" s="443"/>
      <c r="F376" s="443"/>
    </row>
    <row r="377" spans="1:6" ht="15.75" customHeight="1">
      <c r="A377" s="443"/>
      <c r="B377" s="443"/>
      <c r="C377" s="443"/>
      <c r="D377" s="443"/>
      <c r="E377" s="443"/>
      <c r="F377" s="443"/>
    </row>
    <row r="378" spans="1:6" ht="15.75" customHeight="1">
      <c r="A378" s="443"/>
      <c r="B378" s="443"/>
      <c r="C378" s="443"/>
      <c r="D378" s="443"/>
      <c r="E378" s="443"/>
      <c r="F378" s="443"/>
    </row>
    <row r="379" spans="1:6" ht="15.75" customHeight="1">
      <c r="A379" s="443"/>
      <c r="B379" s="443"/>
      <c r="C379" s="443"/>
      <c r="D379" s="443"/>
      <c r="E379" s="443"/>
      <c r="F379" s="443"/>
    </row>
    <row r="380" spans="1:6" ht="15.75" customHeight="1">
      <c r="A380" s="443"/>
      <c r="B380" s="443"/>
      <c r="C380" s="443"/>
      <c r="D380" s="443"/>
      <c r="E380" s="443"/>
      <c r="F380" s="443"/>
    </row>
    <row r="381" spans="1:6" ht="15.75" customHeight="1">
      <c r="A381" s="443"/>
      <c r="B381" s="443"/>
      <c r="C381" s="443"/>
      <c r="D381" s="443"/>
      <c r="E381" s="443"/>
      <c r="F381" s="443"/>
    </row>
    <row r="382" spans="1:6" ht="15.75" customHeight="1">
      <c r="A382" s="443"/>
      <c r="B382" s="443"/>
      <c r="C382" s="443"/>
      <c r="D382" s="443"/>
      <c r="E382" s="443"/>
      <c r="F382" s="443"/>
    </row>
    <row r="383" spans="1:6" ht="15.75" customHeight="1">
      <c r="A383" s="443"/>
      <c r="B383" s="443"/>
      <c r="C383" s="443"/>
      <c r="D383" s="443"/>
      <c r="E383" s="443"/>
      <c r="F383" s="443"/>
    </row>
    <row r="384" spans="1:6" ht="15.75" customHeight="1">
      <c r="A384" s="443"/>
      <c r="B384" s="443"/>
      <c r="C384" s="443"/>
      <c r="D384" s="443"/>
      <c r="E384" s="443"/>
      <c r="F384" s="443"/>
    </row>
    <row r="385" spans="1:6" ht="15.75" customHeight="1">
      <c r="A385" s="443"/>
      <c r="B385" s="443"/>
      <c r="C385" s="443"/>
      <c r="D385" s="443"/>
      <c r="E385" s="443"/>
      <c r="F385" s="443"/>
    </row>
    <row r="386" spans="1:6" ht="15.75" customHeight="1">
      <c r="A386" s="443"/>
      <c r="B386" s="443"/>
      <c r="C386" s="443"/>
      <c r="D386" s="443"/>
      <c r="E386" s="443"/>
      <c r="F386" s="443"/>
    </row>
    <row r="387" spans="1:6" ht="15.75" customHeight="1">
      <c r="A387" s="443"/>
      <c r="B387" s="443"/>
      <c r="C387" s="443"/>
      <c r="D387" s="443"/>
      <c r="E387" s="443"/>
      <c r="F387" s="443"/>
    </row>
    <row r="388" spans="1:6" ht="15.75" customHeight="1">
      <c r="A388" s="443"/>
      <c r="B388" s="443"/>
      <c r="C388" s="443"/>
      <c r="D388" s="443"/>
      <c r="E388" s="443"/>
      <c r="F388" s="443"/>
    </row>
    <row r="389" spans="1:6" ht="15.75" customHeight="1">
      <c r="A389" s="443"/>
      <c r="B389" s="443"/>
      <c r="C389" s="443"/>
      <c r="D389" s="443"/>
      <c r="E389" s="443"/>
      <c r="F389" s="443"/>
    </row>
    <row r="390" spans="1:6" ht="15.75" customHeight="1">
      <c r="A390" s="443"/>
      <c r="B390" s="443"/>
      <c r="C390" s="443"/>
      <c r="D390" s="443"/>
      <c r="E390" s="443"/>
      <c r="F390" s="443"/>
    </row>
    <row r="391" spans="1:6" ht="15.75" customHeight="1">
      <c r="A391" s="443"/>
      <c r="B391" s="443"/>
      <c r="C391" s="443"/>
      <c r="D391" s="443"/>
      <c r="E391" s="443"/>
      <c r="F391" s="443"/>
    </row>
    <row r="392" spans="1:6" ht="15.75" customHeight="1">
      <c r="A392" s="443"/>
      <c r="B392" s="443"/>
      <c r="C392" s="443"/>
      <c r="D392" s="443"/>
      <c r="E392" s="443"/>
      <c r="F392" s="443"/>
    </row>
    <row r="393" spans="1:6" ht="15.75" customHeight="1">
      <c r="A393" s="443"/>
      <c r="B393" s="443"/>
      <c r="C393" s="443"/>
      <c r="D393" s="443"/>
      <c r="E393" s="443"/>
      <c r="F393" s="443"/>
    </row>
    <row r="394" spans="1:6" ht="15.75" customHeight="1">
      <c r="A394" s="443"/>
      <c r="B394" s="443"/>
      <c r="C394" s="443"/>
      <c r="D394" s="443"/>
      <c r="E394" s="443"/>
      <c r="F394" s="443"/>
    </row>
    <row r="395" spans="1:6" ht="15.75" customHeight="1">
      <c r="A395" s="443"/>
      <c r="B395" s="443"/>
      <c r="C395" s="443"/>
      <c r="D395" s="443"/>
      <c r="E395" s="443"/>
      <c r="F395" s="443"/>
    </row>
    <row r="396" spans="1:6" ht="15.75" customHeight="1">
      <c r="A396" s="443"/>
      <c r="B396" s="443"/>
      <c r="C396" s="443"/>
      <c r="D396" s="443"/>
      <c r="E396" s="443"/>
      <c r="F396" s="443"/>
    </row>
    <row r="397" spans="1:6" ht="15.75" customHeight="1">
      <c r="A397" s="443"/>
      <c r="B397" s="443"/>
      <c r="C397" s="443"/>
      <c r="D397" s="443"/>
      <c r="E397" s="443"/>
      <c r="F397" s="443"/>
    </row>
    <row r="398" spans="1:6" ht="15.75" customHeight="1">
      <c r="A398" s="443"/>
      <c r="B398" s="443"/>
      <c r="C398" s="443"/>
      <c r="D398" s="443"/>
      <c r="E398" s="443"/>
      <c r="F398" s="443"/>
    </row>
    <row r="399" spans="1:6" ht="15.75" customHeight="1">
      <c r="A399" s="443"/>
      <c r="B399" s="443"/>
      <c r="C399" s="443"/>
      <c r="D399" s="443"/>
      <c r="E399" s="443"/>
      <c r="F399" s="443"/>
    </row>
    <row r="400" spans="1:6" ht="15.75" customHeight="1">
      <c r="A400" s="443"/>
      <c r="B400" s="443"/>
      <c r="C400" s="443"/>
      <c r="D400" s="443"/>
      <c r="E400" s="443"/>
      <c r="F400" s="443"/>
    </row>
    <row r="401" spans="1:6" ht="15.75" customHeight="1">
      <c r="A401" s="443"/>
      <c r="B401" s="443"/>
      <c r="C401" s="443"/>
      <c r="D401" s="443"/>
      <c r="E401" s="443"/>
      <c r="F401" s="443"/>
    </row>
    <row r="402" spans="1:6" ht="15.75" customHeight="1">
      <c r="A402" s="443"/>
      <c r="B402" s="443"/>
      <c r="C402" s="443"/>
      <c r="D402" s="443"/>
      <c r="E402" s="443"/>
      <c r="F402" s="443"/>
    </row>
    <row r="403" spans="1:6" ht="15.75" customHeight="1">
      <c r="A403" s="443"/>
      <c r="B403" s="443"/>
      <c r="C403" s="443"/>
      <c r="D403" s="443"/>
      <c r="E403" s="443"/>
      <c r="F403" s="443"/>
    </row>
    <row r="404" spans="1:6" ht="15.75" customHeight="1">
      <c r="A404" s="443"/>
      <c r="B404" s="443"/>
      <c r="C404" s="443"/>
      <c r="D404" s="443"/>
      <c r="E404" s="443"/>
      <c r="F404" s="443"/>
    </row>
    <row r="405" spans="1:6" ht="15.75" customHeight="1">
      <c r="A405" s="443"/>
      <c r="B405" s="443"/>
      <c r="C405" s="443"/>
      <c r="D405" s="443"/>
      <c r="E405" s="443"/>
      <c r="F405" s="443"/>
    </row>
    <row r="406" spans="1:6" ht="15.75" customHeight="1">
      <c r="A406" s="443"/>
      <c r="B406" s="443"/>
      <c r="C406" s="443"/>
      <c r="D406" s="443"/>
      <c r="E406" s="443"/>
      <c r="F406" s="443"/>
    </row>
    <row r="407" spans="1:6" ht="15.75" customHeight="1">
      <c r="A407" s="443"/>
      <c r="B407" s="443"/>
      <c r="C407" s="443"/>
      <c r="D407" s="443"/>
      <c r="E407" s="443"/>
      <c r="F407" s="443"/>
    </row>
    <row r="408" spans="1:6" ht="15.75" customHeight="1">
      <c r="A408" s="443"/>
      <c r="B408" s="443"/>
      <c r="C408" s="443"/>
      <c r="D408" s="443"/>
      <c r="E408" s="443"/>
      <c r="F408" s="443"/>
    </row>
    <row r="409" spans="1:6" ht="15.75" customHeight="1">
      <c r="A409" s="443"/>
      <c r="B409" s="443"/>
      <c r="C409" s="443"/>
      <c r="D409" s="443"/>
      <c r="E409" s="443"/>
      <c r="F409" s="443"/>
    </row>
    <row r="410" spans="1:6" ht="15.75" customHeight="1">
      <c r="A410" s="443"/>
      <c r="B410" s="443"/>
      <c r="C410" s="443"/>
      <c r="D410" s="443"/>
      <c r="E410" s="443"/>
      <c r="F410" s="443"/>
    </row>
    <row r="411" spans="1:6" ht="15.75" customHeight="1">
      <c r="A411" s="443"/>
      <c r="B411" s="443"/>
      <c r="C411" s="443"/>
      <c r="D411" s="443"/>
      <c r="E411" s="443"/>
      <c r="F411" s="443"/>
    </row>
    <row r="412" spans="1:6" ht="15.75" customHeight="1">
      <c r="A412" s="443"/>
      <c r="B412" s="443"/>
      <c r="C412" s="443"/>
      <c r="D412" s="443"/>
      <c r="E412" s="443"/>
      <c r="F412" s="443"/>
    </row>
    <row r="413" spans="1:6" ht="15.75" customHeight="1">
      <c r="A413" s="443"/>
      <c r="B413" s="443"/>
      <c r="C413" s="443"/>
      <c r="D413" s="443"/>
      <c r="E413" s="443"/>
      <c r="F413" s="443"/>
    </row>
    <row r="414" spans="1:6" ht="15.75" customHeight="1">
      <c r="A414" s="443"/>
      <c r="B414" s="443"/>
      <c r="C414" s="443"/>
      <c r="D414" s="443"/>
      <c r="E414" s="443"/>
      <c r="F414" s="443"/>
    </row>
    <row r="415" spans="1:6" ht="15.75" customHeight="1">
      <c r="A415" s="443"/>
      <c r="B415" s="443"/>
      <c r="C415" s="443"/>
      <c r="D415" s="443"/>
      <c r="E415" s="443"/>
      <c r="F415" s="443"/>
    </row>
    <row r="416" spans="1:6" ht="15.75" customHeight="1">
      <c r="A416" s="443"/>
      <c r="B416" s="443"/>
      <c r="C416" s="443"/>
      <c r="D416" s="443"/>
      <c r="E416" s="443"/>
      <c r="F416" s="443"/>
    </row>
    <row r="417" spans="1:6" ht="15.75" customHeight="1">
      <c r="A417" s="443"/>
      <c r="B417" s="443"/>
      <c r="C417" s="443"/>
      <c r="D417" s="443"/>
      <c r="E417" s="443"/>
      <c r="F417" s="443"/>
    </row>
    <row r="418" spans="1:6" ht="15.75" customHeight="1">
      <c r="A418" s="443"/>
      <c r="B418" s="443"/>
      <c r="C418" s="443"/>
      <c r="D418" s="443"/>
      <c r="E418" s="443"/>
      <c r="F418" s="443"/>
    </row>
    <row r="419" spans="1:6" ht="15.75" customHeight="1">
      <c r="A419" s="443"/>
      <c r="B419" s="443"/>
      <c r="C419" s="443"/>
      <c r="D419" s="443"/>
      <c r="E419" s="443"/>
      <c r="F419" s="443"/>
    </row>
    <row r="420" spans="1:6" ht="15.75" customHeight="1">
      <c r="A420" s="443"/>
      <c r="B420" s="443"/>
      <c r="C420" s="443"/>
      <c r="D420" s="443"/>
      <c r="E420" s="443"/>
      <c r="F420" s="443"/>
    </row>
    <row r="421" spans="1:6" ht="15.75" customHeight="1">
      <c r="A421" s="443"/>
      <c r="B421" s="443"/>
      <c r="C421" s="443"/>
      <c r="D421" s="443"/>
      <c r="E421" s="443"/>
      <c r="F421" s="443"/>
    </row>
    <row r="422" spans="1:6" ht="15.75" customHeight="1">
      <c r="A422" s="443"/>
      <c r="B422" s="443"/>
      <c r="C422" s="443"/>
      <c r="D422" s="443"/>
      <c r="E422" s="443"/>
      <c r="F422" s="443"/>
    </row>
    <row r="423" spans="1:6" ht="15.75" customHeight="1">
      <c r="A423" s="443"/>
      <c r="B423" s="443"/>
      <c r="C423" s="443"/>
      <c r="D423" s="443"/>
      <c r="E423" s="443"/>
      <c r="F423" s="443"/>
    </row>
    <row r="424" spans="1:6" ht="15.75" customHeight="1">
      <c r="A424" s="443"/>
      <c r="B424" s="443"/>
      <c r="C424" s="443"/>
      <c r="D424" s="443"/>
      <c r="E424" s="443"/>
      <c r="F424" s="443"/>
    </row>
    <row r="425" spans="1:6" ht="15.75" customHeight="1">
      <c r="A425" s="443"/>
      <c r="B425" s="443"/>
      <c r="C425" s="443"/>
      <c r="D425" s="443"/>
      <c r="E425" s="443"/>
      <c r="F425" s="443"/>
    </row>
    <row r="426" spans="1:6" ht="15.75" customHeight="1">
      <c r="A426" s="443"/>
      <c r="B426" s="443"/>
      <c r="C426" s="443"/>
      <c r="D426" s="443"/>
      <c r="E426" s="443"/>
      <c r="F426" s="443"/>
    </row>
    <row r="427" spans="1:6" ht="15.75" customHeight="1">
      <c r="A427" s="443"/>
      <c r="B427" s="443"/>
      <c r="C427" s="443"/>
      <c r="D427" s="443"/>
      <c r="E427" s="443"/>
      <c r="F427" s="443"/>
    </row>
    <row r="428" spans="1:6" ht="15.75" customHeight="1">
      <c r="A428" s="443"/>
      <c r="B428" s="443"/>
      <c r="C428" s="443"/>
      <c r="D428" s="443"/>
      <c r="E428" s="443"/>
      <c r="F428" s="443"/>
    </row>
    <row r="429" spans="1:6" ht="15.75" customHeight="1">
      <c r="A429" s="443"/>
      <c r="B429" s="443"/>
      <c r="C429" s="443"/>
      <c r="D429" s="443"/>
      <c r="E429" s="443"/>
      <c r="F429" s="443"/>
    </row>
    <row r="430" spans="1:6" ht="15.75" customHeight="1">
      <c r="A430" s="443"/>
      <c r="B430" s="443"/>
      <c r="C430" s="443"/>
      <c r="D430" s="443"/>
      <c r="E430" s="443"/>
      <c r="F430" s="443"/>
    </row>
    <row r="431" spans="1:6" ht="15.75" customHeight="1">
      <c r="A431" s="443"/>
      <c r="B431" s="443"/>
      <c r="C431" s="443"/>
      <c r="D431" s="443"/>
      <c r="E431" s="443"/>
      <c r="F431" s="443"/>
    </row>
    <row r="432" spans="1:6" ht="15.75" customHeight="1">
      <c r="A432" s="443"/>
      <c r="B432" s="443"/>
      <c r="C432" s="443"/>
      <c r="D432" s="443"/>
      <c r="E432" s="443"/>
      <c r="F432" s="443"/>
    </row>
    <row r="433" spans="1:6" ht="15.75" customHeight="1">
      <c r="A433" s="443"/>
      <c r="B433" s="443"/>
      <c r="C433" s="443"/>
      <c r="D433" s="443"/>
      <c r="E433" s="443"/>
      <c r="F433" s="443"/>
    </row>
    <row r="434" spans="1:6" ht="15.75" customHeight="1">
      <c r="A434" s="443"/>
      <c r="B434" s="443"/>
      <c r="C434" s="443"/>
      <c r="D434" s="443"/>
      <c r="E434" s="443"/>
      <c r="F434" s="443"/>
    </row>
    <row r="435" spans="1:6" ht="15.75" customHeight="1">
      <c r="A435" s="443"/>
      <c r="B435" s="443"/>
      <c r="C435" s="443"/>
      <c r="D435" s="443"/>
      <c r="E435" s="443"/>
      <c r="F435" s="443"/>
    </row>
    <row r="436" spans="1:6" ht="15.75" customHeight="1">
      <c r="A436" s="443"/>
      <c r="B436" s="443"/>
      <c r="C436" s="443"/>
      <c r="D436" s="443"/>
      <c r="E436" s="443"/>
      <c r="F436" s="443"/>
    </row>
    <row r="437" spans="1:6" ht="15.75" customHeight="1">
      <c r="A437" s="443"/>
      <c r="B437" s="443"/>
      <c r="C437" s="443"/>
      <c r="D437" s="443"/>
      <c r="E437" s="443"/>
      <c r="F437" s="443"/>
    </row>
    <row r="438" spans="1:6" ht="15.75" customHeight="1">
      <c r="A438" s="443"/>
      <c r="B438" s="443"/>
      <c r="C438" s="443"/>
      <c r="D438" s="443"/>
      <c r="E438" s="443"/>
      <c r="F438" s="443"/>
    </row>
    <row r="439" spans="1:6" ht="15.75" customHeight="1">
      <c r="A439" s="443"/>
      <c r="B439" s="443"/>
      <c r="C439" s="443"/>
      <c r="D439" s="443"/>
      <c r="E439" s="443"/>
      <c r="F439" s="443"/>
    </row>
    <row r="440" spans="1:6" ht="15.75" customHeight="1">
      <c r="A440" s="443"/>
      <c r="B440" s="443"/>
      <c r="C440" s="443"/>
      <c r="D440" s="443"/>
      <c r="E440" s="443"/>
      <c r="F440" s="443"/>
    </row>
    <row r="441" spans="1:6" ht="15.75" customHeight="1">
      <c r="A441" s="443"/>
      <c r="B441" s="443"/>
      <c r="C441" s="443"/>
      <c r="D441" s="443"/>
      <c r="E441" s="443"/>
      <c r="F441" s="443"/>
    </row>
    <row r="442" spans="1:6" ht="15.75" customHeight="1">
      <c r="A442" s="443"/>
      <c r="B442" s="443"/>
      <c r="C442" s="443"/>
      <c r="D442" s="443"/>
      <c r="E442" s="443"/>
      <c r="F442" s="443"/>
    </row>
    <row r="443" spans="1:6" ht="15.75" customHeight="1">
      <c r="A443" s="443"/>
      <c r="B443" s="443"/>
      <c r="C443" s="443"/>
      <c r="D443" s="443"/>
      <c r="E443" s="443"/>
      <c r="F443" s="443"/>
    </row>
    <row r="444" spans="1:6" ht="15.75" customHeight="1">
      <c r="A444" s="443"/>
      <c r="B444" s="443"/>
      <c r="C444" s="443"/>
      <c r="D444" s="443"/>
      <c r="E444" s="443"/>
      <c r="F444" s="443"/>
    </row>
    <row r="445" spans="1:6" ht="15.75" customHeight="1">
      <c r="A445" s="443"/>
      <c r="B445" s="443"/>
      <c r="C445" s="443"/>
      <c r="D445" s="443"/>
      <c r="E445" s="443"/>
      <c r="F445" s="443"/>
    </row>
    <row r="446" spans="1:6" ht="15.75" customHeight="1">
      <c r="A446" s="443"/>
      <c r="B446" s="443"/>
      <c r="C446" s="443"/>
      <c r="D446" s="443"/>
      <c r="E446" s="443"/>
      <c r="F446" s="443"/>
    </row>
    <row r="447" spans="1:6" ht="15.75" customHeight="1">
      <c r="A447" s="443"/>
      <c r="B447" s="443"/>
      <c r="C447" s="443"/>
      <c r="D447" s="443"/>
      <c r="E447" s="443"/>
      <c r="F447" s="443"/>
    </row>
    <row r="448" spans="1:6" ht="15.75" customHeight="1">
      <c r="A448" s="443"/>
      <c r="B448" s="443"/>
      <c r="C448" s="443"/>
      <c r="D448" s="443"/>
      <c r="E448" s="443"/>
      <c r="F448" s="443"/>
    </row>
    <row r="449" spans="1:6" ht="15.75" customHeight="1">
      <c r="A449" s="443"/>
      <c r="B449" s="443"/>
      <c r="C449" s="443"/>
      <c r="D449" s="443"/>
      <c r="E449" s="443"/>
      <c r="F449" s="443"/>
    </row>
    <row r="450" spans="1:6" ht="15.75" customHeight="1">
      <c r="A450" s="443"/>
      <c r="B450" s="443"/>
      <c r="C450" s="443"/>
      <c r="D450" s="443"/>
      <c r="E450" s="443"/>
      <c r="F450" s="443"/>
    </row>
    <row r="451" spans="1:6" ht="15.75" customHeight="1">
      <c r="A451" s="443"/>
      <c r="B451" s="443"/>
      <c r="C451" s="443"/>
      <c r="D451" s="443"/>
      <c r="E451" s="443"/>
      <c r="F451" s="443"/>
    </row>
    <row r="452" spans="1:6" ht="15.75" customHeight="1">
      <c r="A452" s="443"/>
      <c r="B452" s="443"/>
      <c r="C452" s="443"/>
      <c r="D452" s="443"/>
      <c r="E452" s="443"/>
      <c r="F452" s="443"/>
    </row>
    <row r="453" spans="1:6" ht="15.75" customHeight="1">
      <c r="A453" s="443"/>
      <c r="B453" s="443"/>
      <c r="C453" s="443"/>
      <c r="D453" s="443"/>
      <c r="E453" s="443"/>
      <c r="F453" s="443"/>
    </row>
    <row r="454" spans="1:6" ht="15.75" customHeight="1">
      <c r="A454" s="443"/>
      <c r="B454" s="443"/>
      <c r="C454" s="443"/>
      <c r="D454" s="443"/>
      <c r="E454" s="443"/>
      <c r="F454" s="443"/>
    </row>
    <row r="455" spans="1:6" ht="15.75" customHeight="1">
      <c r="A455" s="443"/>
      <c r="B455" s="443"/>
      <c r="C455" s="443"/>
      <c r="D455" s="443"/>
      <c r="E455" s="443"/>
      <c r="F455" s="443"/>
    </row>
    <row r="456" spans="1:6" ht="15.75" customHeight="1">
      <c r="A456" s="443"/>
      <c r="B456" s="443"/>
      <c r="C456" s="443"/>
      <c r="D456" s="443"/>
      <c r="E456" s="443"/>
      <c r="F456" s="443"/>
    </row>
    <row r="457" spans="1:6" ht="15.75" customHeight="1">
      <c r="A457" s="443"/>
      <c r="B457" s="443"/>
      <c r="C457" s="443"/>
      <c r="D457" s="443"/>
      <c r="E457" s="443"/>
      <c r="F457" s="443"/>
    </row>
    <row r="458" spans="1:6" ht="15.75" customHeight="1">
      <c r="A458" s="443"/>
      <c r="B458" s="443"/>
      <c r="C458" s="443"/>
      <c r="D458" s="443"/>
      <c r="E458" s="443"/>
      <c r="F458" s="443"/>
    </row>
    <row r="459" spans="1:6" ht="15.75" customHeight="1">
      <c r="A459" s="443"/>
      <c r="B459" s="443"/>
      <c r="C459" s="443"/>
      <c r="D459" s="443"/>
      <c r="E459" s="443"/>
      <c r="F459" s="443"/>
    </row>
    <row r="460" spans="1:6" ht="15.75" customHeight="1">
      <c r="A460" s="443"/>
      <c r="B460" s="443"/>
      <c r="C460" s="443"/>
      <c r="D460" s="443"/>
      <c r="E460" s="443"/>
      <c r="F460" s="443"/>
    </row>
    <row r="461" spans="1:6" ht="15.75" customHeight="1">
      <c r="A461" s="443"/>
      <c r="B461" s="443"/>
      <c r="C461" s="443"/>
      <c r="D461" s="443"/>
      <c r="E461" s="443"/>
      <c r="F461" s="443"/>
    </row>
    <row r="462" spans="1:6" ht="15.75" customHeight="1">
      <c r="A462" s="443"/>
      <c r="B462" s="443"/>
      <c r="C462" s="443"/>
      <c r="D462" s="443"/>
      <c r="E462" s="443"/>
      <c r="F462" s="443"/>
    </row>
    <row r="463" spans="1:6" ht="15.75" customHeight="1">
      <c r="A463" s="443"/>
      <c r="B463" s="443"/>
      <c r="C463" s="443"/>
      <c r="D463" s="443"/>
      <c r="E463" s="443"/>
      <c r="F463" s="443"/>
    </row>
    <row r="464" spans="1:6" ht="15.75" customHeight="1">
      <c r="A464" s="443"/>
      <c r="B464" s="443"/>
      <c r="C464" s="443"/>
      <c r="D464" s="443"/>
      <c r="E464" s="443"/>
      <c r="F464" s="443"/>
    </row>
    <row r="465" spans="1:6" ht="15.75" customHeight="1">
      <c r="A465" s="443"/>
      <c r="B465" s="443"/>
      <c r="C465" s="443"/>
      <c r="D465" s="443"/>
      <c r="E465" s="443"/>
      <c r="F465" s="443"/>
    </row>
    <row r="466" spans="1:6" ht="15.75" customHeight="1">
      <c r="A466" s="443"/>
      <c r="B466" s="443"/>
      <c r="C466" s="443"/>
      <c r="D466" s="443"/>
      <c r="E466" s="443"/>
      <c r="F466" s="443"/>
    </row>
    <row r="467" spans="1:6" ht="15.75" customHeight="1">
      <c r="A467" s="443"/>
      <c r="B467" s="443"/>
      <c r="C467" s="443"/>
      <c r="D467" s="443"/>
      <c r="E467" s="443"/>
      <c r="F467" s="443"/>
    </row>
    <row r="468" spans="1:6" ht="15.75" customHeight="1">
      <c r="A468" s="443"/>
      <c r="B468" s="443"/>
      <c r="C468" s="443"/>
      <c r="D468" s="443"/>
      <c r="E468" s="443"/>
      <c r="F468" s="443"/>
    </row>
    <row r="469" spans="1:6" ht="15.75" customHeight="1">
      <c r="A469" s="443"/>
      <c r="B469" s="443"/>
      <c r="C469" s="443"/>
      <c r="D469" s="443"/>
      <c r="E469" s="443"/>
      <c r="F469" s="443"/>
    </row>
    <row r="470" spans="1:6" ht="15.75" customHeight="1">
      <c r="A470" s="443"/>
      <c r="B470" s="443"/>
      <c r="C470" s="443"/>
      <c r="D470" s="443"/>
      <c r="E470" s="443"/>
      <c r="F470" s="443"/>
    </row>
    <row r="471" spans="1:6" ht="15.75" customHeight="1">
      <c r="A471" s="443"/>
      <c r="B471" s="443"/>
      <c r="C471" s="443"/>
      <c r="D471" s="443"/>
      <c r="E471" s="443"/>
      <c r="F471" s="443"/>
    </row>
    <row r="472" spans="1:6" ht="15.75" customHeight="1">
      <c r="A472" s="443"/>
      <c r="B472" s="443"/>
      <c r="C472" s="443"/>
      <c r="D472" s="443"/>
      <c r="E472" s="443"/>
      <c r="F472" s="443"/>
    </row>
    <row r="473" spans="1:6" ht="15.75" customHeight="1">
      <c r="A473" s="443"/>
      <c r="B473" s="443"/>
      <c r="C473" s="443"/>
      <c r="D473" s="443"/>
      <c r="E473" s="443"/>
      <c r="F473" s="443"/>
    </row>
    <row r="474" spans="1:6" ht="15.75" customHeight="1">
      <c r="A474" s="443"/>
      <c r="B474" s="443"/>
      <c r="C474" s="443"/>
      <c r="D474" s="443"/>
      <c r="E474" s="443"/>
      <c r="F474" s="443"/>
    </row>
    <row r="475" spans="1:6" ht="15.75" customHeight="1">
      <c r="A475" s="443"/>
      <c r="B475" s="443"/>
      <c r="C475" s="443"/>
      <c r="D475" s="443"/>
      <c r="E475" s="443"/>
      <c r="F475" s="443"/>
    </row>
    <row r="476" spans="1:6" ht="15.75" customHeight="1">
      <c r="A476" s="443"/>
      <c r="B476" s="443"/>
      <c r="C476" s="443"/>
      <c r="D476" s="443"/>
      <c r="E476" s="443"/>
      <c r="F476" s="443"/>
    </row>
    <row r="477" spans="1:6" ht="15.75" customHeight="1">
      <c r="A477" s="443"/>
      <c r="B477" s="443"/>
      <c r="C477" s="443"/>
      <c r="D477" s="443"/>
      <c r="E477" s="443"/>
      <c r="F477" s="443"/>
    </row>
    <row r="478" spans="1:6" ht="15.75" customHeight="1">
      <c r="A478" s="443"/>
      <c r="B478" s="443"/>
      <c r="C478" s="443"/>
      <c r="D478" s="443"/>
      <c r="E478" s="443"/>
      <c r="F478" s="443"/>
    </row>
    <row r="479" spans="1:6" ht="15.75" customHeight="1">
      <c r="A479" s="443"/>
      <c r="B479" s="443"/>
      <c r="C479" s="443"/>
      <c r="D479" s="443"/>
      <c r="E479" s="443"/>
      <c r="F479" s="443"/>
    </row>
    <row r="480" spans="1:6" ht="15.75" customHeight="1">
      <c r="A480" s="443"/>
      <c r="B480" s="443"/>
      <c r="C480" s="443"/>
      <c r="D480" s="443"/>
      <c r="E480" s="443"/>
      <c r="F480" s="443"/>
    </row>
    <row r="481" spans="1:6" ht="15.75" customHeight="1">
      <c r="A481" s="443"/>
      <c r="B481" s="443"/>
      <c r="C481" s="443"/>
      <c r="D481" s="443"/>
      <c r="E481" s="443"/>
      <c r="F481" s="443"/>
    </row>
    <row r="482" spans="1:6" ht="15.75" customHeight="1">
      <c r="A482" s="443"/>
      <c r="B482" s="443"/>
      <c r="C482" s="443"/>
      <c r="D482" s="443"/>
      <c r="E482" s="443"/>
      <c r="F482" s="443"/>
    </row>
    <row r="483" spans="1:6" ht="15.75" customHeight="1">
      <c r="A483" s="443"/>
      <c r="B483" s="443"/>
      <c r="C483" s="443"/>
      <c r="D483" s="443"/>
      <c r="E483" s="443"/>
      <c r="F483" s="443"/>
    </row>
    <row r="484" spans="1:6" ht="15.75" customHeight="1">
      <c r="A484" s="443"/>
      <c r="B484" s="443"/>
      <c r="C484" s="443"/>
      <c r="D484" s="443"/>
      <c r="E484" s="443"/>
      <c r="F484" s="443"/>
    </row>
    <row r="485" spans="1:6" ht="15.75" customHeight="1">
      <c r="A485" s="443"/>
      <c r="B485" s="443"/>
      <c r="C485" s="443"/>
      <c r="D485" s="443"/>
      <c r="E485" s="443"/>
      <c r="F485" s="443"/>
    </row>
    <row r="486" spans="1:6" ht="15.75" customHeight="1">
      <c r="A486" s="443"/>
      <c r="B486" s="443"/>
      <c r="C486" s="443"/>
      <c r="D486" s="443"/>
      <c r="E486" s="443"/>
      <c r="F486" s="443"/>
    </row>
    <row r="487" spans="1:6" ht="15.75" customHeight="1">
      <c r="A487" s="443"/>
      <c r="B487" s="443"/>
      <c r="C487" s="443"/>
      <c r="D487" s="443"/>
      <c r="E487" s="443"/>
      <c r="F487" s="443"/>
    </row>
    <row r="488" spans="1:6" ht="15.75" customHeight="1">
      <c r="A488" s="443"/>
      <c r="B488" s="443"/>
      <c r="C488" s="443"/>
      <c r="D488" s="443"/>
      <c r="E488" s="443"/>
      <c r="F488" s="443"/>
    </row>
    <row r="489" spans="1:6" ht="15.75" customHeight="1">
      <c r="A489" s="443"/>
      <c r="B489" s="443"/>
      <c r="C489" s="443"/>
      <c r="D489" s="443"/>
      <c r="E489" s="443"/>
      <c r="F489" s="443"/>
    </row>
    <row r="490" spans="1:6" ht="15.75" customHeight="1">
      <c r="A490" s="443"/>
      <c r="B490" s="443"/>
      <c r="C490" s="443"/>
      <c r="D490" s="443"/>
      <c r="E490" s="443"/>
      <c r="F490" s="443"/>
    </row>
    <row r="491" spans="1:6" ht="15.75" customHeight="1">
      <c r="A491" s="443"/>
      <c r="B491" s="443"/>
      <c r="C491" s="443"/>
      <c r="D491" s="443"/>
      <c r="E491" s="443"/>
      <c r="F491" s="443"/>
    </row>
    <row r="492" spans="1:6" ht="15.75" customHeight="1">
      <c r="A492" s="443"/>
      <c r="B492" s="443"/>
      <c r="C492" s="443"/>
      <c r="D492" s="443"/>
      <c r="E492" s="443"/>
      <c r="F492" s="443"/>
    </row>
    <row r="493" spans="1:6" ht="15.75" customHeight="1">
      <c r="A493" s="443"/>
      <c r="B493" s="443"/>
      <c r="C493" s="443"/>
      <c r="D493" s="443"/>
      <c r="E493" s="443"/>
      <c r="F493" s="443"/>
    </row>
    <row r="494" spans="1:6" ht="15.75" customHeight="1">
      <c r="A494" s="443"/>
      <c r="B494" s="443"/>
      <c r="C494" s="443"/>
      <c r="D494" s="443"/>
      <c r="E494" s="443"/>
      <c r="F494" s="443"/>
    </row>
    <row r="495" spans="1:6" ht="15.75" customHeight="1">
      <c r="A495" s="443"/>
      <c r="B495" s="443"/>
      <c r="C495" s="443"/>
      <c r="D495" s="443"/>
      <c r="E495" s="443"/>
      <c r="F495" s="443"/>
    </row>
    <row r="496" spans="1:6" ht="15.75" customHeight="1">
      <c r="A496" s="443"/>
      <c r="B496" s="443"/>
      <c r="C496" s="443"/>
      <c r="D496" s="443"/>
      <c r="E496" s="443"/>
      <c r="F496" s="443"/>
    </row>
    <row r="497" spans="1:6" ht="15.75" customHeight="1">
      <c r="A497" s="443"/>
      <c r="B497" s="443"/>
      <c r="C497" s="443"/>
      <c r="D497" s="443"/>
      <c r="E497" s="443"/>
      <c r="F497" s="443"/>
    </row>
    <row r="498" spans="1:6" ht="15.75" customHeight="1">
      <c r="A498" s="443"/>
      <c r="B498" s="443"/>
      <c r="C498" s="443"/>
      <c r="D498" s="443"/>
      <c r="E498" s="443"/>
      <c r="F498" s="443"/>
    </row>
    <row r="499" spans="1:6" ht="15.75" customHeight="1">
      <c r="A499" s="443"/>
      <c r="B499" s="443"/>
      <c r="C499" s="443"/>
      <c r="D499" s="443"/>
      <c r="E499" s="443"/>
      <c r="F499" s="443"/>
    </row>
    <row r="500" spans="1:6" ht="15.75" customHeight="1">
      <c r="A500" s="443"/>
      <c r="B500" s="443"/>
      <c r="C500" s="443"/>
      <c r="D500" s="443"/>
      <c r="E500" s="443"/>
      <c r="F500" s="443"/>
    </row>
    <row r="501" spans="1:6" ht="15.75" customHeight="1">
      <c r="A501" s="443"/>
      <c r="B501" s="443"/>
      <c r="C501" s="443"/>
      <c r="D501" s="443"/>
      <c r="E501" s="443"/>
      <c r="F501" s="443"/>
    </row>
    <row r="502" spans="1:6" ht="15.75" customHeight="1">
      <c r="A502" s="443"/>
      <c r="B502" s="443"/>
      <c r="C502" s="443"/>
      <c r="D502" s="443"/>
      <c r="E502" s="443"/>
      <c r="F502" s="443"/>
    </row>
    <row r="503" spans="1:6" ht="15.75" customHeight="1">
      <c r="A503" s="443"/>
      <c r="B503" s="443"/>
      <c r="C503" s="443"/>
      <c r="D503" s="443"/>
      <c r="E503" s="443"/>
      <c r="F503" s="443"/>
    </row>
    <row r="504" spans="1:6" ht="15.75" customHeight="1">
      <c r="A504" s="443"/>
      <c r="B504" s="443"/>
      <c r="C504" s="443"/>
      <c r="D504" s="443"/>
      <c r="E504" s="443"/>
      <c r="F504" s="443"/>
    </row>
    <row r="505" spans="1:6" ht="15.75" customHeight="1">
      <c r="A505" s="443"/>
      <c r="B505" s="443"/>
      <c r="C505" s="443"/>
      <c r="D505" s="443"/>
      <c r="E505" s="443"/>
      <c r="F505" s="443"/>
    </row>
    <row r="506" spans="1:6" ht="15.75" customHeight="1">
      <c r="A506" s="443"/>
      <c r="B506" s="443"/>
      <c r="C506" s="443"/>
      <c r="D506" s="443"/>
      <c r="E506" s="443"/>
      <c r="F506" s="443"/>
    </row>
    <row r="507" spans="1:6" ht="15.75" customHeight="1">
      <c r="A507" s="443"/>
      <c r="B507" s="443"/>
      <c r="C507" s="443"/>
      <c r="D507" s="443"/>
      <c r="E507" s="443"/>
      <c r="F507" s="443"/>
    </row>
    <row r="508" spans="1:6" ht="15.75" customHeight="1">
      <c r="A508" s="443"/>
      <c r="B508" s="443"/>
      <c r="C508" s="443"/>
      <c r="D508" s="443"/>
      <c r="E508" s="443"/>
      <c r="F508" s="443"/>
    </row>
    <row r="509" spans="1:6" ht="15.75" customHeight="1">
      <c r="A509" s="443"/>
      <c r="B509" s="443"/>
      <c r="C509" s="443"/>
      <c r="D509" s="443"/>
      <c r="E509" s="443"/>
      <c r="F509" s="443"/>
    </row>
    <row r="510" spans="1:6" ht="15.75" customHeight="1">
      <c r="A510" s="443"/>
      <c r="B510" s="443"/>
      <c r="C510" s="443"/>
      <c r="D510" s="443"/>
      <c r="E510" s="443"/>
      <c r="F510" s="443"/>
    </row>
    <row r="511" spans="1:6" ht="15.75" customHeight="1">
      <c r="A511" s="443"/>
      <c r="B511" s="443"/>
      <c r="C511" s="443"/>
      <c r="D511" s="443"/>
      <c r="E511" s="443"/>
      <c r="F511" s="443"/>
    </row>
    <row r="512" spans="1:6" ht="15.75" customHeight="1">
      <c r="A512" s="443"/>
      <c r="B512" s="443"/>
      <c r="C512" s="443"/>
      <c r="D512" s="443"/>
      <c r="E512" s="443"/>
      <c r="F512" s="443"/>
    </row>
    <row r="513" spans="1:6" ht="15.75" customHeight="1">
      <c r="A513" s="443"/>
      <c r="B513" s="443"/>
      <c r="C513" s="443"/>
      <c r="D513" s="443"/>
      <c r="E513" s="443"/>
      <c r="F513" s="443"/>
    </row>
    <row r="514" spans="1:6" ht="15.75" customHeight="1">
      <c r="A514" s="443"/>
      <c r="B514" s="443"/>
      <c r="C514" s="443"/>
      <c r="D514" s="443"/>
      <c r="E514" s="443"/>
      <c r="F514" s="443"/>
    </row>
    <row r="515" spans="1:6" ht="15.75" customHeight="1">
      <c r="A515" s="443"/>
      <c r="B515" s="443"/>
      <c r="C515" s="443"/>
      <c r="D515" s="443"/>
      <c r="E515" s="443"/>
      <c r="F515" s="443"/>
    </row>
    <row r="516" spans="1:6" ht="15.75" customHeight="1">
      <c r="A516" s="443"/>
      <c r="B516" s="443"/>
      <c r="C516" s="443"/>
      <c r="D516" s="443"/>
      <c r="E516" s="443"/>
      <c r="F516" s="443"/>
    </row>
    <row r="517" spans="1:6" ht="15.75" customHeight="1">
      <c r="A517" s="443"/>
      <c r="B517" s="443"/>
      <c r="C517" s="443"/>
      <c r="D517" s="443"/>
      <c r="E517" s="443"/>
      <c r="F517" s="443"/>
    </row>
    <row r="518" spans="1:6" ht="15.75" customHeight="1">
      <c r="A518" s="443"/>
      <c r="B518" s="443"/>
      <c r="C518" s="443"/>
      <c r="D518" s="443"/>
      <c r="E518" s="443"/>
      <c r="F518" s="443"/>
    </row>
    <row r="519" spans="1:6" ht="15.75" customHeight="1">
      <c r="A519" s="443"/>
      <c r="B519" s="443"/>
      <c r="C519" s="443"/>
      <c r="D519" s="443"/>
      <c r="E519" s="443"/>
      <c r="F519" s="443"/>
    </row>
    <row r="520" spans="1:6" ht="15.75" customHeight="1">
      <c r="A520" s="443"/>
      <c r="B520" s="443"/>
      <c r="C520" s="443"/>
      <c r="D520" s="443"/>
      <c r="E520" s="443"/>
      <c r="F520" s="443"/>
    </row>
    <row r="521" spans="1:6" ht="15.75" customHeight="1">
      <c r="A521" s="443"/>
      <c r="B521" s="443"/>
      <c r="C521" s="443"/>
      <c r="D521" s="443"/>
      <c r="E521" s="443"/>
      <c r="F521" s="443"/>
    </row>
    <row r="522" spans="1:6" ht="15.75" customHeight="1">
      <c r="A522" s="443"/>
      <c r="B522" s="443"/>
      <c r="C522" s="443"/>
      <c r="D522" s="443"/>
      <c r="E522" s="443"/>
      <c r="F522" s="443"/>
    </row>
    <row r="523" spans="1:6" ht="15.75" customHeight="1">
      <c r="A523" s="443"/>
      <c r="B523" s="443"/>
      <c r="C523" s="443"/>
      <c r="D523" s="443"/>
      <c r="E523" s="443"/>
      <c r="F523" s="443"/>
    </row>
    <row r="524" spans="1:6" ht="15.75" customHeight="1">
      <c r="A524" s="443"/>
      <c r="B524" s="443"/>
      <c r="C524" s="443"/>
      <c r="D524" s="443"/>
      <c r="E524" s="443"/>
      <c r="F524" s="443"/>
    </row>
    <row r="525" spans="1:6" ht="15.75" customHeight="1">
      <c r="A525" s="443"/>
      <c r="B525" s="443"/>
      <c r="C525" s="443"/>
      <c r="D525" s="443"/>
      <c r="E525" s="443"/>
      <c r="F525" s="443"/>
    </row>
    <row r="526" spans="1:6" ht="15.75" customHeight="1">
      <c r="A526" s="443"/>
      <c r="B526" s="443"/>
      <c r="C526" s="443"/>
      <c r="D526" s="443"/>
      <c r="E526" s="443"/>
      <c r="F526" s="443"/>
    </row>
    <row r="527" spans="1:6" ht="15.75" customHeight="1">
      <c r="A527" s="443"/>
      <c r="B527" s="443"/>
      <c r="C527" s="443"/>
      <c r="D527" s="443"/>
      <c r="E527" s="443"/>
      <c r="F527" s="443"/>
    </row>
    <row r="528" spans="1:6" ht="15.75" customHeight="1">
      <c r="A528" s="443"/>
      <c r="B528" s="443"/>
      <c r="C528" s="443"/>
      <c r="D528" s="443"/>
      <c r="E528" s="443"/>
      <c r="F528" s="443"/>
    </row>
    <row r="529" spans="1:6" ht="15.75" customHeight="1">
      <c r="A529" s="443"/>
      <c r="B529" s="443"/>
      <c r="C529" s="443"/>
      <c r="D529" s="443"/>
      <c r="E529" s="443"/>
      <c r="F529" s="443"/>
    </row>
    <row r="530" spans="1:6" ht="15.75" customHeight="1">
      <c r="A530" s="443"/>
      <c r="B530" s="443"/>
      <c r="C530" s="443"/>
      <c r="D530" s="443"/>
      <c r="E530" s="443"/>
      <c r="F530" s="443"/>
    </row>
    <row r="531" spans="1:6" ht="15.75" customHeight="1">
      <c r="A531" s="443"/>
      <c r="B531" s="443"/>
      <c r="C531" s="443"/>
      <c r="D531" s="443"/>
      <c r="E531" s="443"/>
      <c r="F531" s="443"/>
    </row>
    <row r="532" spans="1:6" ht="15.75" customHeight="1">
      <c r="A532" s="443"/>
      <c r="B532" s="443"/>
      <c r="C532" s="443"/>
      <c r="D532" s="443"/>
      <c r="E532" s="443"/>
      <c r="F532" s="443"/>
    </row>
    <row r="533" spans="1:6" ht="15.75" customHeight="1">
      <c r="A533" s="443"/>
      <c r="B533" s="443"/>
      <c r="C533" s="443"/>
      <c r="D533" s="443"/>
      <c r="E533" s="443"/>
      <c r="F533" s="443"/>
    </row>
    <row r="534" spans="1:6" ht="15.75" customHeight="1">
      <c r="A534" s="443"/>
      <c r="B534" s="443"/>
      <c r="C534" s="443"/>
      <c r="D534" s="443"/>
      <c r="E534" s="443"/>
      <c r="F534" s="443"/>
    </row>
    <row r="535" spans="1:6" ht="15.75" customHeight="1">
      <c r="A535" s="443"/>
      <c r="B535" s="443"/>
      <c r="C535" s="443"/>
      <c r="D535" s="443"/>
      <c r="E535" s="443"/>
      <c r="F535" s="443"/>
    </row>
    <row r="536" spans="1:6" ht="15.75" customHeight="1">
      <c r="A536" s="443"/>
      <c r="B536" s="443"/>
      <c r="C536" s="443"/>
      <c r="D536" s="443"/>
      <c r="E536" s="443"/>
      <c r="F536" s="443"/>
    </row>
    <row r="537" spans="1:6" ht="15.75" customHeight="1">
      <c r="A537" s="443"/>
      <c r="B537" s="443"/>
      <c r="C537" s="443"/>
      <c r="D537" s="443"/>
      <c r="E537" s="443"/>
      <c r="F537" s="443"/>
    </row>
    <row r="538" spans="1:6" ht="15.75" customHeight="1">
      <c r="A538" s="443"/>
      <c r="B538" s="443"/>
      <c r="C538" s="443"/>
      <c r="D538" s="443"/>
      <c r="E538" s="443"/>
      <c r="F538" s="443"/>
    </row>
    <row r="539" spans="1:6" ht="15.75" customHeight="1">
      <c r="A539" s="443"/>
      <c r="B539" s="443"/>
      <c r="C539" s="443"/>
      <c r="D539" s="443"/>
      <c r="E539" s="443"/>
      <c r="F539" s="443"/>
    </row>
    <row r="540" spans="1:6" ht="15.75" customHeight="1">
      <c r="A540" s="443"/>
      <c r="B540" s="443"/>
      <c r="C540" s="443"/>
      <c r="D540" s="443"/>
      <c r="E540" s="443"/>
      <c r="F540" s="443"/>
    </row>
    <row r="541" spans="1:6" ht="15.75" customHeight="1">
      <c r="A541" s="443"/>
      <c r="B541" s="443"/>
      <c r="C541" s="443"/>
      <c r="D541" s="443"/>
      <c r="E541" s="443"/>
      <c r="F541" s="443"/>
    </row>
    <row r="542" spans="1:6" ht="15.75" customHeight="1">
      <c r="A542" s="443"/>
      <c r="B542" s="443"/>
      <c r="C542" s="443"/>
      <c r="D542" s="443"/>
      <c r="E542" s="443"/>
      <c r="F542" s="443"/>
    </row>
    <row r="543" spans="1:6" ht="15.75" customHeight="1">
      <c r="A543" s="443"/>
      <c r="B543" s="443"/>
      <c r="C543" s="443"/>
      <c r="D543" s="443"/>
      <c r="E543" s="443"/>
      <c r="F543" s="443"/>
    </row>
    <row r="544" spans="1:6" ht="15.75" customHeight="1">
      <c r="A544" s="443"/>
      <c r="B544" s="443"/>
      <c r="C544" s="443"/>
      <c r="D544" s="443"/>
      <c r="E544" s="443"/>
      <c r="F544" s="443"/>
    </row>
    <row r="545" spans="1:6" ht="15.75" customHeight="1">
      <c r="A545" s="443"/>
      <c r="B545" s="443"/>
      <c r="C545" s="443"/>
      <c r="D545" s="443"/>
      <c r="E545" s="443"/>
      <c r="F545" s="443"/>
    </row>
    <row r="546" spans="1:6" ht="15.75" customHeight="1">
      <c r="A546" s="443"/>
      <c r="B546" s="443"/>
      <c r="C546" s="443"/>
      <c r="D546" s="443"/>
      <c r="E546" s="443"/>
      <c r="F546" s="443"/>
    </row>
    <row r="547" spans="1:6" ht="15.75" customHeight="1">
      <c r="A547" s="443"/>
      <c r="B547" s="443"/>
      <c r="C547" s="443"/>
      <c r="D547" s="443"/>
      <c r="E547" s="443"/>
      <c r="F547" s="443"/>
    </row>
    <row r="548" spans="1:6" ht="15.75" customHeight="1">
      <c r="A548" s="443"/>
      <c r="B548" s="443"/>
      <c r="C548" s="443"/>
      <c r="D548" s="443"/>
      <c r="E548" s="443"/>
      <c r="F548" s="443"/>
    </row>
    <row r="549" spans="1:6" ht="15.75" customHeight="1">
      <c r="A549" s="443"/>
      <c r="B549" s="443"/>
      <c r="C549" s="443"/>
      <c r="D549" s="443"/>
      <c r="E549" s="443"/>
      <c r="F549" s="443"/>
    </row>
    <row r="550" spans="1:6" ht="15.75" customHeight="1">
      <c r="A550" s="443"/>
      <c r="B550" s="443"/>
      <c r="C550" s="443"/>
      <c r="D550" s="443"/>
      <c r="E550" s="443"/>
      <c r="F550" s="443"/>
    </row>
    <row r="551" spans="1:6" ht="15.75" customHeight="1">
      <c r="A551" s="443"/>
      <c r="B551" s="443"/>
      <c r="C551" s="443"/>
      <c r="D551" s="443"/>
      <c r="E551" s="443"/>
      <c r="F551" s="443"/>
    </row>
    <row r="552" spans="1:6" ht="15.75" customHeight="1">
      <c r="A552" s="443"/>
      <c r="B552" s="443"/>
      <c r="C552" s="443"/>
      <c r="D552" s="443"/>
      <c r="E552" s="443"/>
      <c r="F552" s="443"/>
    </row>
    <row r="553" spans="1:6" ht="15.75" customHeight="1">
      <c r="A553" s="443"/>
      <c r="B553" s="443"/>
      <c r="C553" s="443"/>
      <c r="D553" s="443"/>
      <c r="E553" s="443"/>
      <c r="F553" s="443"/>
    </row>
    <row r="554" spans="1:6" ht="15.75" customHeight="1">
      <c r="A554" s="443"/>
      <c r="B554" s="443"/>
      <c r="C554" s="443"/>
      <c r="D554" s="443"/>
      <c r="E554" s="443"/>
      <c r="F554" s="443"/>
    </row>
    <row r="555" spans="1:6" ht="15.75" customHeight="1">
      <c r="A555" s="443"/>
      <c r="B555" s="443"/>
      <c r="C555" s="443"/>
      <c r="D555" s="443"/>
      <c r="E555" s="443"/>
      <c r="F555" s="443"/>
    </row>
    <row r="556" spans="1:6" ht="15.75" customHeight="1">
      <c r="A556" s="443"/>
      <c r="B556" s="443"/>
      <c r="C556" s="443"/>
      <c r="D556" s="443"/>
      <c r="E556" s="443"/>
      <c r="F556" s="443"/>
    </row>
    <row r="557" spans="1:6" ht="15.75" customHeight="1">
      <c r="A557" s="443"/>
      <c r="B557" s="443"/>
      <c r="C557" s="443"/>
      <c r="D557" s="443"/>
      <c r="E557" s="443"/>
      <c r="F557" s="443"/>
    </row>
    <row r="558" spans="1:6" ht="15.75" customHeight="1">
      <c r="A558" s="443"/>
      <c r="B558" s="443"/>
      <c r="C558" s="443"/>
      <c r="D558" s="443"/>
      <c r="E558" s="443"/>
      <c r="F558" s="443"/>
    </row>
    <row r="559" spans="1:6" ht="15.75" customHeight="1">
      <c r="A559" s="443"/>
      <c r="B559" s="443"/>
      <c r="C559" s="443"/>
      <c r="D559" s="443"/>
      <c r="E559" s="443"/>
      <c r="F559" s="443"/>
    </row>
    <row r="560" spans="1:6" ht="15.75" customHeight="1">
      <c r="A560" s="443"/>
      <c r="B560" s="443"/>
      <c r="C560" s="443"/>
      <c r="D560" s="443"/>
      <c r="E560" s="443"/>
      <c r="F560" s="443"/>
    </row>
    <row r="561" spans="1:6" ht="15.75" customHeight="1">
      <c r="A561" s="443"/>
      <c r="B561" s="443"/>
      <c r="C561" s="443"/>
      <c r="D561" s="443"/>
      <c r="E561" s="443"/>
      <c r="F561" s="443"/>
    </row>
    <row r="562" spans="1:6" ht="15.75" customHeight="1">
      <c r="A562" s="443"/>
      <c r="B562" s="443"/>
      <c r="C562" s="443"/>
      <c r="D562" s="443"/>
      <c r="E562" s="443"/>
      <c r="F562" s="443"/>
    </row>
    <row r="563" spans="1:6" ht="15.75" customHeight="1">
      <c r="A563" s="443"/>
      <c r="B563" s="443"/>
      <c r="C563" s="443"/>
      <c r="D563" s="443"/>
      <c r="E563" s="443"/>
      <c r="F563" s="443"/>
    </row>
    <row r="564" spans="1:6" ht="15.75" customHeight="1">
      <c r="A564" s="443"/>
      <c r="B564" s="443"/>
      <c r="C564" s="443"/>
      <c r="D564" s="443"/>
      <c r="E564" s="443"/>
      <c r="F564" s="443"/>
    </row>
    <row r="565" spans="1:6" ht="15.75" customHeight="1">
      <c r="A565" s="443"/>
      <c r="B565" s="443"/>
      <c r="C565" s="443"/>
      <c r="D565" s="443"/>
      <c r="E565" s="443"/>
      <c r="F565" s="443"/>
    </row>
    <row r="566" spans="1:6" ht="15.75" customHeight="1">
      <c r="A566" s="443"/>
      <c r="B566" s="443"/>
      <c r="C566" s="443"/>
      <c r="D566" s="443"/>
      <c r="E566" s="443"/>
      <c r="F566" s="443"/>
    </row>
    <row r="567" spans="1:6" ht="15.75" customHeight="1">
      <c r="A567" s="443"/>
      <c r="B567" s="443"/>
      <c r="C567" s="443"/>
      <c r="D567" s="443"/>
      <c r="E567" s="443"/>
      <c r="F567" s="443"/>
    </row>
    <row r="568" spans="1:6" ht="15.75" customHeight="1">
      <c r="A568" s="443"/>
      <c r="B568" s="443"/>
      <c r="C568" s="443"/>
      <c r="D568" s="443"/>
      <c r="E568" s="443"/>
      <c r="F568" s="443"/>
    </row>
    <row r="569" spans="1:6" ht="15.75" customHeight="1">
      <c r="A569" s="443"/>
      <c r="B569" s="443"/>
      <c r="C569" s="443"/>
      <c r="D569" s="443"/>
      <c r="E569" s="443"/>
      <c r="F569" s="443"/>
    </row>
    <row r="570" spans="1:6" ht="15.75" customHeight="1">
      <c r="A570" s="443"/>
      <c r="B570" s="443"/>
      <c r="C570" s="443"/>
      <c r="D570" s="443"/>
      <c r="E570" s="443"/>
      <c r="F570" s="443"/>
    </row>
    <row r="571" spans="1:6" ht="15.75" customHeight="1">
      <c r="A571" s="443"/>
      <c r="B571" s="443"/>
      <c r="C571" s="443"/>
      <c r="D571" s="443"/>
      <c r="E571" s="443"/>
      <c r="F571" s="443"/>
    </row>
    <row r="572" spans="1:6" ht="15.75" customHeight="1">
      <c r="A572" s="443"/>
      <c r="B572" s="443"/>
      <c r="C572" s="443"/>
      <c r="D572" s="443"/>
      <c r="E572" s="443"/>
      <c r="F572" s="443"/>
    </row>
    <row r="573" spans="1:6" ht="15.75" customHeight="1">
      <c r="A573" s="443"/>
      <c r="B573" s="443"/>
      <c r="C573" s="443"/>
      <c r="D573" s="443"/>
      <c r="E573" s="443"/>
      <c r="F573" s="443"/>
    </row>
    <row r="574" spans="1:6" ht="15.75" customHeight="1">
      <c r="A574" s="443"/>
      <c r="B574" s="443"/>
      <c r="C574" s="443"/>
      <c r="D574" s="443"/>
      <c r="E574" s="443"/>
      <c r="F574" s="443"/>
    </row>
    <row r="575" spans="1:6" ht="15.75" customHeight="1">
      <c r="A575" s="443"/>
      <c r="B575" s="443"/>
      <c r="C575" s="443"/>
      <c r="D575" s="443"/>
      <c r="E575" s="443"/>
      <c r="F575" s="443"/>
    </row>
    <row r="576" spans="1:6" ht="15.75" customHeight="1">
      <c r="A576" s="443"/>
      <c r="B576" s="443"/>
      <c r="C576" s="443"/>
      <c r="D576" s="443"/>
      <c r="E576" s="443"/>
      <c r="F576" s="443"/>
    </row>
    <row r="577" spans="1:6" ht="15.75" customHeight="1">
      <c r="A577" s="443"/>
      <c r="B577" s="443"/>
      <c r="C577" s="443"/>
      <c r="D577" s="443"/>
      <c r="E577" s="443"/>
      <c r="F577" s="443"/>
    </row>
    <row r="578" spans="1:6" ht="15.75" customHeight="1">
      <c r="A578" s="443"/>
      <c r="B578" s="443"/>
      <c r="C578" s="443"/>
      <c r="D578" s="443"/>
      <c r="E578" s="443"/>
      <c r="F578" s="443"/>
    </row>
    <row r="579" spans="1:6" ht="15.75" customHeight="1">
      <c r="A579" s="443"/>
      <c r="B579" s="443"/>
      <c r="C579" s="443"/>
      <c r="D579" s="443"/>
      <c r="E579" s="443"/>
      <c r="F579" s="443"/>
    </row>
    <row r="580" spans="1:6" ht="15.75" customHeight="1">
      <c r="A580" s="443"/>
      <c r="B580" s="443"/>
      <c r="C580" s="443"/>
      <c r="D580" s="443"/>
      <c r="E580" s="443"/>
      <c r="F580" s="443"/>
    </row>
    <row r="581" spans="1:6" ht="15.75" customHeight="1">
      <c r="A581" s="443"/>
      <c r="B581" s="443"/>
      <c r="C581" s="443"/>
      <c r="D581" s="443"/>
      <c r="E581" s="443"/>
      <c r="F581" s="443"/>
    </row>
    <row r="582" spans="1:6" ht="15.75" customHeight="1">
      <c r="A582" s="443"/>
      <c r="B582" s="443"/>
      <c r="C582" s="443"/>
      <c r="D582" s="443"/>
      <c r="E582" s="443"/>
      <c r="F582" s="443"/>
    </row>
    <row r="583" spans="1:6" ht="15.75" customHeight="1">
      <c r="A583" s="443"/>
      <c r="B583" s="443"/>
      <c r="C583" s="443"/>
      <c r="D583" s="443"/>
      <c r="E583" s="443"/>
      <c r="F583" s="443"/>
    </row>
    <row r="584" spans="1:6" ht="15.75" customHeight="1">
      <c r="A584" s="443"/>
      <c r="B584" s="443"/>
      <c r="C584" s="443"/>
      <c r="D584" s="443"/>
      <c r="E584" s="443"/>
      <c r="F584" s="443"/>
    </row>
    <row r="585" spans="1:6" ht="15.75" customHeight="1">
      <c r="A585" s="443"/>
      <c r="B585" s="443"/>
      <c r="C585" s="443"/>
      <c r="D585" s="443"/>
      <c r="E585" s="443"/>
      <c r="F585" s="443"/>
    </row>
    <row r="586" spans="1:6" ht="15.75" customHeight="1">
      <c r="A586" s="443"/>
      <c r="B586" s="443"/>
      <c r="C586" s="443"/>
      <c r="D586" s="443"/>
      <c r="E586" s="443"/>
      <c r="F586" s="443"/>
    </row>
    <row r="587" spans="1:6" ht="15.75" customHeight="1">
      <c r="A587" s="443"/>
      <c r="B587" s="443"/>
      <c r="C587" s="443"/>
      <c r="D587" s="443"/>
      <c r="E587" s="443"/>
      <c r="F587" s="443"/>
    </row>
    <row r="588" spans="1:6" ht="15.75" customHeight="1">
      <c r="A588" s="443"/>
      <c r="B588" s="443"/>
      <c r="C588" s="443"/>
      <c r="D588" s="443"/>
      <c r="E588" s="443"/>
      <c r="F588" s="443"/>
    </row>
    <row r="589" spans="1:6" ht="15.75" customHeight="1">
      <c r="A589" s="443"/>
      <c r="B589" s="443"/>
      <c r="C589" s="443"/>
      <c r="D589" s="443"/>
      <c r="E589" s="443"/>
      <c r="F589" s="443"/>
    </row>
    <row r="590" spans="1:6" ht="15.75" customHeight="1">
      <c r="A590" s="443"/>
      <c r="B590" s="443"/>
      <c r="C590" s="443"/>
      <c r="D590" s="443"/>
      <c r="E590" s="443"/>
      <c r="F590" s="443"/>
    </row>
    <row r="591" spans="1:6" ht="15.75" customHeight="1">
      <c r="A591" s="443"/>
      <c r="B591" s="443"/>
      <c r="C591" s="443"/>
      <c r="D591" s="443"/>
      <c r="E591" s="443"/>
      <c r="F591" s="443"/>
    </row>
    <row r="592" spans="1:6" ht="15.75" customHeight="1">
      <c r="A592" s="443"/>
      <c r="B592" s="443"/>
      <c r="C592" s="443"/>
      <c r="D592" s="443"/>
      <c r="E592" s="443"/>
      <c r="F592" s="443"/>
    </row>
    <row r="593" spans="1:6" ht="15.75" customHeight="1">
      <c r="A593" s="443"/>
      <c r="B593" s="443"/>
      <c r="C593" s="443"/>
      <c r="D593" s="443"/>
      <c r="E593" s="443"/>
      <c r="F593" s="443"/>
    </row>
    <row r="594" spans="1:6" ht="15.75" customHeight="1">
      <c r="A594" s="443"/>
      <c r="B594" s="443"/>
      <c r="C594" s="443"/>
      <c r="D594" s="443"/>
      <c r="E594" s="443"/>
      <c r="F594" s="443"/>
    </row>
    <row r="595" spans="1:6" ht="15.75" customHeight="1">
      <c r="A595" s="443"/>
      <c r="B595" s="443"/>
      <c r="C595" s="443"/>
      <c r="D595" s="443"/>
      <c r="E595" s="443"/>
      <c r="F595" s="443"/>
    </row>
    <row r="596" spans="1:6" ht="15.75" customHeight="1">
      <c r="A596" s="443"/>
      <c r="B596" s="443"/>
      <c r="C596" s="443"/>
      <c r="D596" s="443"/>
      <c r="E596" s="443"/>
      <c r="F596" s="443"/>
    </row>
    <row r="597" spans="1:6" ht="15.75" customHeight="1">
      <c r="A597" s="443"/>
      <c r="B597" s="443"/>
      <c r="C597" s="443"/>
      <c r="D597" s="443"/>
      <c r="E597" s="443"/>
      <c r="F597" s="443"/>
    </row>
    <row r="598" spans="1:6" ht="15.75" customHeight="1">
      <c r="A598" s="443"/>
      <c r="B598" s="443"/>
      <c r="C598" s="443"/>
      <c r="D598" s="443"/>
      <c r="E598" s="443"/>
      <c r="F598" s="443"/>
    </row>
    <row r="599" spans="1:6" ht="15.75" customHeight="1">
      <c r="A599" s="443"/>
      <c r="B599" s="443"/>
      <c r="C599" s="443"/>
      <c r="D599" s="443"/>
      <c r="E599" s="443"/>
      <c r="F599" s="443"/>
    </row>
    <row r="600" spans="1:6" ht="15.75" customHeight="1">
      <c r="A600" s="443"/>
      <c r="B600" s="443"/>
      <c r="C600" s="443"/>
      <c r="D600" s="443"/>
      <c r="E600" s="443"/>
      <c r="F600" s="443"/>
    </row>
    <row r="601" spans="1:6" ht="15.75" customHeight="1">
      <c r="A601" s="443"/>
      <c r="B601" s="443"/>
      <c r="C601" s="443"/>
      <c r="D601" s="443"/>
      <c r="E601" s="443"/>
      <c r="F601" s="443"/>
    </row>
    <row r="602" spans="1:6" ht="15.75" customHeight="1">
      <c r="A602" s="443"/>
      <c r="B602" s="443"/>
      <c r="C602" s="443"/>
      <c r="D602" s="443"/>
      <c r="E602" s="443"/>
      <c r="F602" s="443"/>
    </row>
    <row r="603" spans="1:6" ht="15.75" customHeight="1">
      <c r="A603" s="443"/>
      <c r="B603" s="443"/>
      <c r="C603" s="443"/>
      <c r="D603" s="443"/>
      <c r="E603" s="443"/>
      <c r="F603" s="443"/>
    </row>
    <row r="604" spans="1:6" ht="15.75" customHeight="1">
      <c r="A604" s="443"/>
      <c r="B604" s="443"/>
      <c r="C604" s="443"/>
      <c r="D604" s="443"/>
      <c r="E604" s="443"/>
      <c r="F604" s="443"/>
    </row>
    <row r="605" spans="1:6" ht="15.75" customHeight="1">
      <c r="A605" s="443"/>
      <c r="B605" s="443"/>
      <c r="C605" s="443"/>
      <c r="D605" s="443"/>
      <c r="E605" s="443"/>
      <c r="F605" s="443"/>
    </row>
    <row r="606" spans="1:6" ht="15.75" customHeight="1">
      <c r="A606" s="443"/>
      <c r="B606" s="443"/>
      <c r="C606" s="443"/>
      <c r="D606" s="443"/>
      <c r="E606" s="443"/>
      <c r="F606" s="443"/>
    </row>
    <row r="607" spans="1:6" ht="15.75" customHeight="1">
      <c r="A607" s="443"/>
      <c r="B607" s="443"/>
      <c r="C607" s="443"/>
      <c r="D607" s="443"/>
      <c r="E607" s="443"/>
      <c r="F607" s="443"/>
    </row>
    <row r="608" spans="1:6" ht="15.75" customHeight="1">
      <c r="A608" s="443"/>
      <c r="B608" s="443"/>
      <c r="C608" s="443"/>
      <c r="D608" s="443"/>
      <c r="E608" s="443"/>
      <c r="F608" s="443"/>
    </row>
    <row r="609" spans="1:6" ht="15.75" customHeight="1">
      <c r="A609" s="443"/>
      <c r="B609" s="443"/>
      <c r="C609" s="443"/>
      <c r="D609" s="443"/>
      <c r="E609" s="443"/>
      <c r="F609" s="443"/>
    </row>
    <row r="610" spans="1:6" ht="15.75" customHeight="1">
      <c r="A610" s="443"/>
      <c r="B610" s="443"/>
      <c r="C610" s="443"/>
      <c r="D610" s="443"/>
      <c r="E610" s="443"/>
      <c r="F610" s="443"/>
    </row>
    <row r="611" spans="1:6" ht="15.75" customHeight="1">
      <c r="A611" s="443"/>
      <c r="B611" s="443"/>
      <c r="C611" s="443"/>
      <c r="D611" s="443"/>
      <c r="E611" s="443"/>
      <c r="F611" s="443"/>
    </row>
    <row r="612" spans="1:6" ht="15.75" customHeight="1">
      <c r="A612" s="443"/>
      <c r="B612" s="443"/>
      <c r="C612" s="443"/>
      <c r="D612" s="443"/>
      <c r="E612" s="443"/>
      <c r="F612" s="443"/>
    </row>
    <row r="613" spans="1:6" ht="15.75" customHeight="1">
      <c r="A613" s="443"/>
      <c r="B613" s="443"/>
      <c r="C613" s="443"/>
      <c r="D613" s="443"/>
      <c r="E613" s="443"/>
      <c r="F613" s="443"/>
    </row>
    <row r="614" spans="1:6" ht="15.75" customHeight="1">
      <c r="A614" s="443"/>
      <c r="B614" s="443"/>
      <c r="C614" s="443"/>
      <c r="D614" s="443"/>
      <c r="E614" s="443"/>
      <c r="F614" s="443"/>
    </row>
    <row r="615" spans="1:6" ht="15.75" customHeight="1">
      <c r="A615" s="443"/>
      <c r="B615" s="443"/>
      <c r="C615" s="443"/>
      <c r="D615" s="443"/>
      <c r="E615" s="443"/>
      <c r="F615" s="443"/>
    </row>
    <row r="616" spans="1:6" ht="15.75" customHeight="1">
      <c r="A616" s="443"/>
      <c r="B616" s="443"/>
      <c r="C616" s="443"/>
      <c r="D616" s="443"/>
      <c r="E616" s="443"/>
      <c r="F616" s="443"/>
    </row>
    <row r="617" spans="1:6" ht="15.75" customHeight="1">
      <c r="A617" s="443"/>
      <c r="B617" s="443"/>
      <c r="C617" s="443"/>
      <c r="D617" s="443"/>
      <c r="E617" s="443"/>
      <c r="F617" s="443"/>
    </row>
    <row r="618" spans="1:6" ht="15.75" customHeight="1">
      <c r="A618" s="443"/>
      <c r="B618" s="443"/>
      <c r="C618" s="443"/>
      <c r="D618" s="443"/>
      <c r="E618" s="443"/>
      <c r="F618" s="443"/>
    </row>
    <row r="619" spans="1:6" ht="15.75" customHeight="1">
      <c r="A619" s="443"/>
      <c r="B619" s="443"/>
      <c r="C619" s="443"/>
      <c r="D619" s="443"/>
      <c r="E619" s="443"/>
      <c r="F619" s="443"/>
    </row>
    <row r="620" spans="1:6" ht="15.75" customHeight="1">
      <c r="A620" s="443"/>
      <c r="B620" s="443"/>
      <c r="C620" s="443"/>
      <c r="D620" s="443"/>
      <c r="E620" s="443"/>
      <c r="F620" s="443"/>
    </row>
    <row r="621" spans="1:6" ht="15.75" customHeight="1">
      <c r="A621" s="443"/>
      <c r="B621" s="443"/>
      <c r="C621" s="443"/>
      <c r="D621" s="443"/>
      <c r="E621" s="443"/>
      <c r="F621" s="443"/>
    </row>
    <row r="622" spans="1:6" ht="15.75" customHeight="1">
      <c r="A622" s="443"/>
      <c r="B622" s="443"/>
      <c r="C622" s="443"/>
      <c r="D622" s="443"/>
      <c r="E622" s="443"/>
      <c r="F622" s="443"/>
    </row>
    <row r="623" spans="1:6" ht="15.75" customHeight="1">
      <c r="A623" s="443"/>
      <c r="B623" s="443"/>
      <c r="C623" s="443"/>
      <c r="D623" s="443"/>
      <c r="E623" s="443"/>
      <c r="F623" s="443"/>
    </row>
    <row r="624" spans="1:6" ht="15.75" customHeight="1">
      <c r="A624" s="443"/>
      <c r="B624" s="443"/>
      <c r="C624" s="443"/>
      <c r="D624" s="443"/>
      <c r="E624" s="443"/>
      <c r="F624" s="443"/>
    </row>
    <row r="625" spans="1:6" ht="15.75" customHeight="1">
      <c r="A625" s="443"/>
      <c r="B625" s="443"/>
      <c r="C625" s="443"/>
      <c r="D625" s="443"/>
      <c r="E625" s="443"/>
      <c r="F625" s="443"/>
    </row>
    <row r="626" spans="1:6" ht="15.75" customHeight="1">
      <c r="A626" s="443"/>
      <c r="B626" s="443"/>
      <c r="C626" s="443"/>
      <c r="D626" s="443"/>
      <c r="E626" s="443"/>
      <c r="F626" s="443"/>
    </row>
    <row r="627" spans="1:6" ht="15.75" customHeight="1">
      <c r="A627" s="443"/>
      <c r="B627" s="443"/>
      <c r="C627" s="443"/>
      <c r="D627" s="443"/>
      <c r="E627" s="443"/>
      <c r="F627" s="443"/>
    </row>
    <row r="628" spans="1:6" ht="15.75" customHeight="1">
      <c r="A628" s="443"/>
      <c r="B628" s="443"/>
      <c r="C628" s="443"/>
      <c r="D628" s="443"/>
      <c r="E628" s="443"/>
      <c r="F628" s="443"/>
    </row>
    <row r="629" spans="1:6" ht="15.75" customHeight="1">
      <c r="A629" s="443"/>
      <c r="B629" s="443"/>
      <c r="C629" s="443"/>
      <c r="D629" s="443"/>
      <c r="E629" s="443"/>
      <c r="F629" s="443"/>
    </row>
    <row r="630" spans="1:6" ht="15.75" customHeight="1">
      <c r="A630" s="443"/>
      <c r="B630" s="443"/>
      <c r="C630" s="443"/>
      <c r="D630" s="443"/>
      <c r="E630" s="443"/>
      <c r="F630" s="443"/>
    </row>
    <row r="631" spans="1:6" ht="15.75" customHeight="1">
      <c r="A631" s="443"/>
      <c r="B631" s="443"/>
      <c r="C631" s="443"/>
      <c r="D631" s="443"/>
      <c r="E631" s="443"/>
      <c r="F631" s="443"/>
    </row>
    <row r="632" spans="1:6" ht="15.75" customHeight="1">
      <c r="A632" s="443"/>
      <c r="B632" s="443"/>
      <c r="C632" s="443"/>
      <c r="D632" s="443"/>
      <c r="E632" s="443"/>
      <c r="F632" s="443"/>
    </row>
    <row r="633" spans="1:6" ht="15.75" customHeight="1">
      <c r="A633" s="443"/>
      <c r="B633" s="443"/>
      <c r="C633" s="443"/>
      <c r="D633" s="443"/>
      <c r="E633" s="443"/>
      <c r="F633" s="443"/>
    </row>
    <row r="634" spans="1:6" ht="15.75" customHeight="1">
      <c r="A634" s="443"/>
      <c r="B634" s="443"/>
      <c r="C634" s="443"/>
      <c r="D634" s="443"/>
      <c r="E634" s="443"/>
      <c r="F634" s="443"/>
    </row>
    <row r="635" spans="1:6" ht="15.75" customHeight="1">
      <c r="A635" s="443"/>
      <c r="B635" s="443"/>
      <c r="C635" s="443"/>
      <c r="D635" s="443"/>
      <c r="E635" s="443"/>
      <c r="F635" s="443"/>
    </row>
    <row r="636" spans="1:6" ht="15.75" customHeight="1">
      <c r="A636" s="443"/>
      <c r="B636" s="443"/>
      <c r="C636" s="443"/>
      <c r="D636" s="443"/>
      <c r="E636" s="443"/>
      <c r="F636" s="443"/>
    </row>
    <row r="637" spans="1:6" ht="15.75" customHeight="1">
      <c r="A637" s="443"/>
      <c r="B637" s="443"/>
      <c r="C637" s="443"/>
      <c r="D637" s="443"/>
      <c r="E637" s="443"/>
      <c r="F637" s="443"/>
    </row>
    <row r="638" spans="1:6" ht="15.75" customHeight="1">
      <c r="A638" s="443"/>
      <c r="B638" s="443"/>
      <c r="C638" s="443"/>
      <c r="D638" s="443"/>
      <c r="E638" s="443"/>
      <c r="F638" s="443"/>
    </row>
    <row r="639" spans="1:6" ht="15.75" customHeight="1">
      <c r="A639" s="443"/>
      <c r="B639" s="443"/>
      <c r="C639" s="443"/>
      <c r="D639" s="443"/>
      <c r="E639" s="443"/>
      <c r="F639" s="443"/>
    </row>
    <row r="640" spans="1:6" ht="15.75" customHeight="1">
      <c r="A640" s="443"/>
      <c r="B640" s="443"/>
      <c r="C640" s="443"/>
      <c r="D640" s="443"/>
      <c r="E640" s="443"/>
      <c r="F640" s="443"/>
    </row>
    <row r="641" spans="1:6" ht="15.75" customHeight="1">
      <c r="A641" s="443"/>
      <c r="B641" s="443"/>
      <c r="C641" s="443"/>
      <c r="D641" s="443"/>
      <c r="E641" s="443"/>
      <c r="F641" s="443"/>
    </row>
    <row r="642" spans="1:6" ht="15.75" customHeight="1">
      <c r="A642" s="443"/>
      <c r="B642" s="443"/>
      <c r="C642" s="443"/>
      <c r="D642" s="443"/>
      <c r="E642" s="443"/>
      <c r="F642" s="443"/>
    </row>
    <row r="643" spans="1:6" ht="15.75" customHeight="1">
      <c r="A643" s="443"/>
      <c r="B643" s="443"/>
      <c r="C643" s="443"/>
      <c r="D643" s="443"/>
      <c r="E643" s="443"/>
      <c r="F643" s="443"/>
    </row>
    <row r="644" spans="1:6" ht="15.75" customHeight="1">
      <c r="A644" s="443"/>
      <c r="B644" s="443"/>
      <c r="C644" s="443"/>
      <c r="D644" s="443"/>
      <c r="E644" s="443"/>
      <c r="F644" s="443"/>
    </row>
    <row r="645" spans="1:6" ht="15.75" customHeight="1">
      <c r="A645" s="443"/>
      <c r="B645" s="443"/>
      <c r="C645" s="443"/>
      <c r="D645" s="443"/>
      <c r="E645" s="443"/>
      <c r="F645" s="443"/>
    </row>
    <row r="646" spans="1:6" ht="15.75" customHeight="1">
      <c r="A646" s="443"/>
      <c r="B646" s="443"/>
      <c r="C646" s="443"/>
      <c r="D646" s="443"/>
      <c r="E646" s="443"/>
      <c r="F646" s="443"/>
    </row>
    <row r="647" spans="1:6" ht="15.75" customHeight="1">
      <c r="A647" s="443"/>
      <c r="B647" s="443"/>
      <c r="C647" s="443"/>
      <c r="D647" s="443"/>
      <c r="E647" s="443"/>
      <c r="F647" s="443"/>
    </row>
    <row r="648" spans="1:6" ht="15.75" customHeight="1">
      <c r="A648" s="443"/>
      <c r="B648" s="443"/>
      <c r="C648" s="443"/>
      <c r="D648" s="443"/>
      <c r="E648" s="443"/>
      <c r="F648" s="443"/>
    </row>
    <row r="649" spans="1:6" ht="15.75" customHeight="1">
      <c r="A649" s="443"/>
      <c r="B649" s="443"/>
      <c r="C649" s="443"/>
      <c r="D649" s="443"/>
      <c r="E649" s="443"/>
      <c r="F649" s="443"/>
    </row>
    <row r="650" spans="1:6" ht="15.75" customHeight="1">
      <c r="A650" s="443"/>
      <c r="B650" s="443"/>
      <c r="C650" s="443"/>
      <c r="D650" s="443"/>
      <c r="E650" s="443"/>
      <c r="F650" s="443"/>
    </row>
    <row r="651" spans="1:6" ht="15.75" customHeight="1">
      <c r="A651" s="443"/>
      <c r="B651" s="443"/>
      <c r="C651" s="443"/>
      <c r="D651" s="443"/>
      <c r="E651" s="443"/>
      <c r="F651" s="443"/>
    </row>
    <row r="652" spans="1:6" ht="15.75" customHeight="1">
      <c r="A652" s="443"/>
      <c r="B652" s="443"/>
      <c r="C652" s="443"/>
      <c r="D652" s="443"/>
      <c r="E652" s="443"/>
      <c r="F652" s="443"/>
    </row>
    <row r="653" spans="1:6" ht="15.75" customHeight="1">
      <c r="A653" s="443"/>
      <c r="B653" s="443"/>
      <c r="C653" s="443"/>
      <c r="D653" s="443"/>
      <c r="E653" s="443"/>
      <c r="F653" s="443"/>
    </row>
    <row r="654" spans="1:6" ht="15.75" customHeight="1">
      <c r="A654" s="443"/>
      <c r="B654" s="443"/>
      <c r="C654" s="443"/>
      <c r="D654" s="443"/>
      <c r="E654" s="443"/>
      <c r="F654" s="443"/>
    </row>
    <row r="655" spans="1:6" ht="15.75" customHeight="1">
      <c r="A655" s="443"/>
      <c r="B655" s="443"/>
      <c r="C655" s="443"/>
      <c r="D655" s="443"/>
      <c r="E655" s="443"/>
      <c r="F655" s="443"/>
    </row>
    <row r="656" spans="1:6" ht="15.75" customHeight="1">
      <c r="A656" s="443"/>
      <c r="B656" s="443"/>
      <c r="C656" s="443"/>
      <c r="D656" s="443"/>
      <c r="E656" s="443"/>
      <c r="F656" s="443"/>
    </row>
    <row r="657" spans="1:6" ht="15.75" customHeight="1">
      <c r="A657" s="443"/>
      <c r="B657" s="443"/>
      <c r="C657" s="443"/>
      <c r="D657" s="443"/>
      <c r="E657" s="443"/>
      <c r="F657" s="443"/>
    </row>
    <row r="658" spans="1:6" ht="15.75" customHeight="1">
      <c r="A658" s="443"/>
      <c r="B658" s="443"/>
      <c r="C658" s="443"/>
      <c r="D658" s="443"/>
      <c r="E658" s="443"/>
      <c r="F658" s="443"/>
    </row>
    <row r="659" spans="1:6" ht="15.75" customHeight="1">
      <c r="A659" s="443"/>
      <c r="B659" s="443"/>
      <c r="C659" s="443"/>
      <c r="D659" s="443"/>
      <c r="E659" s="443"/>
      <c r="F659" s="443"/>
    </row>
    <row r="660" spans="1:6" ht="15.75" customHeight="1">
      <c r="A660" s="443"/>
      <c r="B660" s="443"/>
      <c r="C660" s="443"/>
      <c r="D660" s="443"/>
      <c r="E660" s="443"/>
      <c r="F660" s="443"/>
    </row>
    <row r="661" spans="1:6" ht="15.75" customHeight="1">
      <c r="A661" s="443"/>
      <c r="B661" s="443"/>
      <c r="C661" s="443"/>
      <c r="D661" s="443"/>
      <c r="E661" s="443"/>
      <c r="F661" s="443"/>
    </row>
    <row r="662" spans="1:6" ht="15.75" customHeight="1">
      <c r="A662" s="443"/>
      <c r="B662" s="443"/>
      <c r="C662" s="443"/>
      <c r="D662" s="443"/>
      <c r="E662" s="443"/>
      <c r="F662" s="443"/>
    </row>
    <row r="663" spans="1:6" ht="15.75" customHeight="1">
      <c r="A663" s="443"/>
      <c r="B663" s="443"/>
      <c r="C663" s="443"/>
      <c r="D663" s="443"/>
      <c r="E663" s="443"/>
      <c r="F663" s="443"/>
    </row>
    <row r="664" spans="1:6" ht="15.75" customHeight="1">
      <c r="A664" s="443"/>
      <c r="B664" s="443"/>
      <c r="C664" s="443"/>
      <c r="D664" s="443"/>
      <c r="E664" s="443"/>
      <c r="F664" s="443"/>
    </row>
    <row r="665" spans="1:6" ht="15.75" customHeight="1">
      <c r="A665" s="443"/>
      <c r="B665" s="443"/>
      <c r="C665" s="443"/>
      <c r="D665" s="443"/>
      <c r="E665" s="443"/>
      <c r="F665" s="443"/>
    </row>
    <row r="666" spans="1:6" ht="15.75" customHeight="1">
      <c r="A666" s="443"/>
      <c r="B666" s="443"/>
      <c r="C666" s="443"/>
      <c r="D666" s="443"/>
      <c r="E666" s="443"/>
      <c r="F666" s="443"/>
    </row>
    <row r="667" spans="1:6" ht="15.75" customHeight="1">
      <c r="A667" s="443"/>
      <c r="B667" s="443"/>
      <c r="C667" s="443"/>
      <c r="D667" s="443"/>
      <c r="E667" s="443"/>
      <c r="F667" s="443"/>
    </row>
    <row r="668" spans="1:6" ht="15.75" customHeight="1">
      <c r="A668" s="443"/>
      <c r="B668" s="443"/>
      <c r="C668" s="443"/>
      <c r="D668" s="443"/>
      <c r="E668" s="443"/>
      <c r="F668" s="443"/>
    </row>
    <row r="669" spans="1:6" ht="15.75" customHeight="1">
      <c r="A669" s="443"/>
      <c r="B669" s="443"/>
      <c r="C669" s="443"/>
      <c r="D669" s="443"/>
      <c r="E669" s="443"/>
      <c r="F669" s="443"/>
    </row>
    <row r="670" spans="1:6" ht="15.75" customHeight="1">
      <c r="A670" s="443"/>
      <c r="B670" s="443"/>
      <c r="C670" s="443"/>
      <c r="D670" s="443"/>
      <c r="E670" s="443"/>
      <c r="F670" s="443"/>
    </row>
    <row r="671" spans="1:6" ht="15.75" customHeight="1">
      <c r="A671" s="443"/>
      <c r="B671" s="443"/>
      <c r="C671" s="443"/>
      <c r="D671" s="443"/>
      <c r="E671" s="443"/>
      <c r="F671" s="443"/>
    </row>
    <row r="672" spans="1:6" ht="15.75" customHeight="1">
      <c r="A672" s="443"/>
      <c r="B672" s="443"/>
      <c r="C672" s="443"/>
      <c r="D672" s="443"/>
      <c r="E672" s="443"/>
      <c r="F672" s="443"/>
    </row>
    <row r="673" spans="1:6" ht="15.75" customHeight="1">
      <c r="A673" s="443"/>
      <c r="B673" s="443"/>
      <c r="C673" s="443"/>
      <c r="D673" s="443"/>
      <c r="E673" s="443"/>
      <c r="F673" s="443"/>
    </row>
    <row r="674" spans="1:6" ht="15.75" customHeight="1">
      <c r="A674" s="443"/>
      <c r="B674" s="443"/>
      <c r="C674" s="443"/>
      <c r="D674" s="443"/>
      <c r="E674" s="443"/>
      <c r="F674" s="443"/>
    </row>
    <row r="675" spans="1:6" ht="15.75" customHeight="1">
      <c r="A675" s="443"/>
      <c r="B675" s="443"/>
      <c r="C675" s="443"/>
      <c r="D675" s="443"/>
      <c r="E675" s="443"/>
      <c r="F675" s="443"/>
    </row>
    <row r="676" spans="1:6" ht="15.75" customHeight="1">
      <c r="A676" s="443"/>
      <c r="B676" s="443"/>
      <c r="C676" s="443"/>
      <c r="D676" s="443"/>
      <c r="E676" s="443"/>
      <c r="F676" s="443"/>
    </row>
    <row r="677" spans="1:6" ht="15.75" customHeight="1">
      <c r="A677" s="443"/>
      <c r="B677" s="443"/>
      <c r="C677" s="443"/>
      <c r="D677" s="443"/>
      <c r="E677" s="443"/>
      <c r="F677" s="443"/>
    </row>
    <row r="678" spans="1:6" ht="15.75" customHeight="1">
      <c r="A678" s="443"/>
      <c r="B678" s="443"/>
      <c r="C678" s="443"/>
      <c r="D678" s="443"/>
      <c r="E678" s="443"/>
      <c r="F678" s="443"/>
    </row>
    <row r="679" spans="1:6" ht="15.75" customHeight="1">
      <c r="A679" s="443"/>
      <c r="B679" s="443"/>
      <c r="C679" s="443"/>
      <c r="D679" s="443"/>
      <c r="E679" s="443"/>
      <c r="F679" s="443"/>
    </row>
    <row r="680" spans="1:6" ht="15.75" customHeight="1">
      <c r="A680" s="443"/>
      <c r="B680" s="443"/>
      <c r="C680" s="443"/>
      <c r="D680" s="443"/>
      <c r="E680" s="443"/>
      <c r="F680" s="443"/>
    </row>
    <row r="681" spans="1:6" ht="15.75" customHeight="1">
      <c r="A681" s="443"/>
      <c r="B681" s="443"/>
      <c r="C681" s="443"/>
      <c r="D681" s="443"/>
      <c r="E681" s="443"/>
      <c r="F681" s="443"/>
    </row>
    <row r="682" spans="1:6" ht="15.75" customHeight="1">
      <c r="A682" s="443"/>
      <c r="B682" s="443"/>
      <c r="C682" s="443"/>
      <c r="D682" s="443"/>
      <c r="E682" s="443"/>
      <c r="F682" s="443"/>
    </row>
    <row r="683" spans="1:6" ht="15.75" customHeight="1">
      <c r="A683" s="443"/>
      <c r="B683" s="443"/>
      <c r="C683" s="443"/>
      <c r="D683" s="443"/>
      <c r="E683" s="443"/>
      <c r="F683" s="443"/>
    </row>
    <row r="684" spans="1:6" ht="15.75" customHeight="1">
      <c r="A684" s="443"/>
      <c r="B684" s="443"/>
      <c r="C684" s="443"/>
      <c r="D684" s="443"/>
      <c r="E684" s="443"/>
      <c r="F684" s="443"/>
    </row>
    <row r="685" spans="1:6" ht="15.75" customHeight="1">
      <c r="A685" s="443"/>
      <c r="B685" s="443"/>
      <c r="C685" s="443"/>
      <c r="D685" s="443"/>
      <c r="E685" s="443"/>
      <c r="F685" s="443"/>
    </row>
    <row r="686" spans="1:6" ht="15.75" customHeight="1">
      <c r="A686" s="443"/>
      <c r="B686" s="443"/>
      <c r="C686" s="443"/>
      <c r="D686" s="443"/>
      <c r="E686" s="443"/>
      <c r="F686" s="443"/>
    </row>
    <row r="687" spans="1:6" ht="15.75" customHeight="1">
      <c r="A687" s="443"/>
      <c r="B687" s="443"/>
      <c r="C687" s="443"/>
      <c r="D687" s="443"/>
      <c r="E687" s="443"/>
      <c r="F687" s="443"/>
    </row>
    <row r="688" spans="1:6" ht="15.75" customHeight="1">
      <c r="A688" s="443"/>
      <c r="B688" s="443"/>
      <c r="C688" s="443"/>
      <c r="D688" s="443"/>
      <c r="E688" s="443"/>
      <c r="F688" s="443"/>
    </row>
    <row r="689" spans="1:6" ht="15.75" customHeight="1">
      <c r="A689" s="443"/>
      <c r="B689" s="443"/>
      <c r="C689" s="443"/>
      <c r="D689" s="443"/>
      <c r="E689" s="443"/>
      <c r="F689" s="443"/>
    </row>
    <row r="690" spans="1:6" ht="15.75" customHeight="1">
      <c r="A690" s="443"/>
      <c r="B690" s="443"/>
      <c r="C690" s="443"/>
      <c r="D690" s="443"/>
      <c r="E690" s="443"/>
      <c r="F690" s="443"/>
    </row>
    <row r="691" spans="1:6" ht="15.75" customHeight="1">
      <c r="A691" s="443"/>
      <c r="B691" s="443"/>
      <c r="C691" s="443"/>
      <c r="D691" s="443"/>
      <c r="E691" s="443"/>
      <c r="F691" s="443"/>
    </row>
    <row r="692" spans="1:6" ht="15.75" customHeight="1">
      <c r="A692" s="443"/>
      <c r="B692" s="443"/>
      <c r="C692" s="443"/>
      <c r="D692" s="443"/>
      <c r="E692" s="443"/>
      <c r="F692" s="443"/>
    </row>
    <row r="693" spans="1:6" ht="15.75" customHeight="1">
      <c r="A693" s="443"/>
      <c r="B693" s="443"/>
      <c r="C693" s="443"/>
      <c r="D693" s="443"/>
      <c r="E693" s="443"/>
      <c r="F693" s="443"/>
    </row>
    <row r="694" spans="1:6" ht="15.75" customHeight="1">
      <c r="A694" s="443"/>
      <c r="B694" s="443"/>
      <c r="C694" s="443"/>
      <c r="D694" s="443"/>
      <c r="E694" s="443"/>
      <c r="F694" s="443"/>
    </row>
    <row r="695" spans="1:6" ht="15.75" customHeight="1">
      <c r="A695" s="443"/>
      <c r="B695" s="443"/>
      <c r="C695" s="443"/>
      <c r="D695" s="443"/>
      <c r="E695" s="443"/>
      <c r="F695" s="443"/>
    </row>
    <row r="696" spans="1:6" ht="15.75" customHeight="1">
      <c r="A696" s="443"/>
      <c r="B696" s="443"/>
      <c r="C696" s="443"/>
      <c r="D696" s="443"/>
      <c r="E696" s="443"/>
      <c r="F696" s="443"/>
    </row>
  </sheetData>
  <mergeCells count="20">
    <mergeCell ref="C138:E138"/>
    <mergeCell ref="C149:E149"/>
    <mergeCell ref="C160:E160"/>
    <mergeCell ref="C171:E171"/>
    <mergeCell ref="A1:C3"/>
    <mergeCell ref="C83:E83"/>
    <mergeCell ref="C94:E94"/>
    <mergeCell ref="C105:E105"/>
    <mergeCell ref="C116:E116"/>
    <mergeCell ref="C127:E127"/>
    <mergeCell ref="C28:E28"/>
    <mergeCell ref="C39:E39"/>
    <mergeCell ref="C50:E50"/>
    <mergeCell ref="C61:E61"/>
    <mergeCell ref="C72:E72"/>
    <mergeCell ref="D1:E1"/>
    <mergeCell ref="D2:E2"/>
    <mergeCell ref="D3:E3"/>
    <mergeCell ref="C5:E5"/>
    <mergeCell ref="C17:E17"/>
  </mergeCells>
  <pageMargins left="0.70866141732283505" right="0.70866141732283505" top="0.74803149606299202" bottom="0.74803149606299202" header="0" footer="0"/>
  <pageSetup scale="50" orientation="landscape"/>
  <headerFooter>
    <oddFooter>&amp;LVersión 3  02/05/2022</oddFooter>
  </headerFooter>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2060"/>
  </sheetPr>
  <dimension ref="A1:AF87"/>
  <sheetViews>
    <sheetView tabSelected="1" topLeftCell="A4" zoomScale="80" zoomScaleNormal="80" workbookViewId="0">
      <pane xSplit="3" ySplit="3" topLeftCell="D7" activePane="bottomRight" state="frozen"/>
      <selection pane="topRight"/>
      <selection pane="bottomLeft"/>
      <selection pane="bottomRight" sqref="A1:M2"/>
    </sheetView>
  </sheetViews>
  <sheetFormatPr baseColWidth="10" defaultColWidth="11.42578125" defaultRowHeight="16.5"/>
  <cols>
    <col min="1" max="1" width="4" style="257" customWidth="1"/>
    <col min="2" max="2" width="24.42578125" style="257" customWidth="1"/>
    <col min="3" max="3" width="43.85546875" style="257" customWidth="1"/>
    <col min="4" max="4" width="39.85546875" style="257" customWidth="1"/>
    <col min="5" max="5" width="14.140625" style="257" customWidth="1"/>
    <col min="6" max="6" width="28.7109375" style="257" customWidth="1"/>
    <col min="7" max="7" width="38.140625" style="257" customWidth="1"/>
    <col min="8" max="8" width="43.28515625" style="256" customWidth="1"/>
    <col min="9" max="14" width="11.42578125" style="256"/>
    <col min="15" max="16384" width="11.42578125" style="258"/>
  </cols>
  <sheetData>
    <row r="1" spans="1:32" ht="16.5" customHeight="1">
      <c r="A1" s="514" t="s">
        <v>87</v>
      </c>
      <c r="B1" s="515"/>
      <c r="C1" s="515"/>
      <c r="D1" s="515"/>
      <c r="E1" s="515"/>
      <c r="F1" s="515"/>
      <c r="G1" s="515"/>
      <c r="H1" s="515"/>
      <c r="I1" s="515"/>
      <c r="J1" s="515"/>
      <c r="K1" s="515"/>
      <c r="L1" s="515"/>
      <c r="M1" s="515"/>
      <c r="N1" s="334"/>
      <c r="O1" s="262"/>
      <c r="P1" s="262"/>
      <c r="Q1" s="262"/>
      <c r="R1" s="262"/>
      <c r="S1" s="262"/>
      <c r="T1" s="262"/>
      <c r="U1" s="262"/>
      <c r="V1" s="262"/>
      <c r="W1" s="262"/>
      <c r="X1" s="262"/>
      <c r="Y1" s="262"/>
      <c r="Z1" s="262"/>
      <c r="AA1" s="262"/>
      <c r="AB1" s="262"/>
      <c r="AC1" s="262"/>
      <c r="AD1" s="262"/>
      <c r="AE1" s="262"/>
      <c r="AF1" s="262"/>
    </row>
    <row r="2" spans="1:32" ht="24" customHeight="1">
      <c r="A2" s="514"/>
      <c r="B2" s="515"/>
      <c r="C2" s="515"/>
      <c r="D2" s="515"/>
      <c r="E2" s="515"/>
      <c r="F2" s="515"/>
      <c r="G2" s="515"/>
      <c r="H2" s="515"/>
      <c r="I2" s="515"/>
      <c r="J2" s="515"/>
      <c r="K2" s="515"/>
      <c r="L2" s="515"/>
      <c r="M2" s="515"/>
      <c r="N2" s="334"/>
      <c r="O2" s="262"/>
      <c r="P2" s="262"/>
      <c r="Q2" s="262"/>
      <c r="R2" s="262"/>
      <c r="S2" s="262"/>
      <c r="T2" s="262"/>
      <c r="U2" s="262"/>
      <c r="V2" s="262"/>
      <c r="W2" s="262"/>
      <c r="X2" s="262"/>
      <c r="Y2" s="262"/>
      <c r="Z2" s="262"/>
      <c r="AA2" s="262"/>
      <c r="AB2" s="262"/>
      <c r="AC2" s="262"/>
      <c r="AD2" s="262"/>
      <c r="AE2" s="262"/>
      <c r="AF2" s="262"/>
    </row>
    <row r="3" spans="1:32">
      <c r="A3" s="261"/>
      <c r="B3" s="261"/>
      <c r="C3" s="261"/>
      <c r="D3" s="261"/>
      <c r="E3" s="415"/>
      <c r="F3" s="261"/>
      <c r="G3" s="261"/>
      <c r="H3" s="334"/>
      <c r="I3" s="334"/>
      <c r="J3" s="334"/>
      <c r="K3" s="334"/>
      <c r="L3" s="334"/>
      <c r="M3" s="334"/>
      <c r="N3" s="334"/>
      <c r="O3" s="262"/>
      <c r="P3" s="262"/>
      <c r="Q3" s="262"/>
      <c r="R3" s="262"/>
      <c r="S3" s="262"/>
      <c r="T3" s="262"/>
      <c r="U3" s="262"/>
      <c r="V3" s="262"/>
      <c r="W3" s="262"/>
      <c r="X3" s="262"/>
      <c r="Y3" s="262"/>
      <c r="Z3" s="262"/>
      <c r="AA3" s="262"/>
      <c r="AB3" s="262"/>
      <c r="AC3" s="262"/>
      <c r="AD3" s="262"/>
      <c r="AE3" s="262"/>
      <c r="AF3" s="262"/>
    </row>
    <row r="4" spans="1:32" ht="16.5" customHeight="1">
      <c r="A4" s="511" t="s">
        <v>88</v>
      </c>
      <c r="B4" s="512"/>
      <c r="C4" s="512"/>
      <c r="D4" s="512"/>
      <c r="E4" s="512"/>
      <c r="F4" s="512"/>
      <c r="G4" s="512"/>
      <c r="H4" s="512"/>
      <c r="I4" s="512"/>
      <c r="J4" s="512"/>
      <c r="K4" s="512"/>
      <c r="L4" s="512"/>
      <c r="M4" s="512"/>
      <c r="N4" s="334"/>
      <c r="O4" s="262"/>
      <c r="P4" s="262"/>
      <c r="Q4" s="262"/>
      <c r="R4" s="262"/>
      <c r="S4" s="262"/>
      <c r="T4" s="262"/>
      <c r="U4" s="262"/>
      <c r="V4" s="262"/>
      <c r="W4" s="262"/>
      <c r="X4" s="262"/>
      <c r="Y4" s="262"/>
      <c r="Z4" s="262"/>
      <c r="AA4" s="262"/>
      <c r="AB4" s="262"/>
      <c r="AC4" s="262"/>
      <c r="AD4" s="262"/>
      <c r="AE4" s="262"/>
      <c r="AF4" s="262"/>
    </row>
    <row r="5" spans="1:32" ht="16.5" customHeight="1">
      <c r="A5" s="276"/>
      <c r="B5" s="276"/>
      <c r="C5" s="276"/>
      <c r="D5" s="276"/>
      <c r="E5" s="294"/>
      <c r="F5" s="294"/>
      <c r="G5" s="294"/>
      <c r="H5" s="294"/>
      <c r="I5" s="513" t="s">
        <v>89</v>
      </c>
      <c r="J5" s="513"/>
      <c r="K5" s="513"/>
      <c r="L5" s="513"/>
      <c r="M5" s="513"/>
      <c r="N5" s="334"/>
      <c r="O5" s="262"/>
      <c r="P5" s="262"/>
      <c r="Q5" s="262"/>
      <c r="R5" s="262"/>
      <c r="S5" s="262"/>
      <c r="T5" s="262"/>
      <c r="U5" s="262"/>
      <c r="V5" s="262"/>
      <c r="W5" s="262"/>
      <c r="X5" s="262"/>
      <c r="Y5" s="262"/>
      <c r="Z5" s="262"/>
      <c r="AA5" s="262"/>
      <c r="AB5" s="262"/>
      <c r="AC5" s="262"/>
      <c r="AD5" s="262"/>
      <c r="AE5" s="262"/>
      <c r="AF5" s="262"/>
    </row>
    <row r="6" spans="1:32" s="414" customFormat="1" ht="94.5" customHeight="1">
      <c r="A6" s="278" t="s">
        <v>13</v>
      </c>
      <c r="B6" s="144" t="s">
        <v>7</v>
      </c>
      <c r="C6" s="144" t="s">
        <v>90</v>
      </c>
      <c r="D6" s="144" t="s">
        <v>91</v>
      </c>
      <c r="E6" s="144" t="s">
        <v>92</v>
      </c>
      <c r="F6" s="144" t="s">
        <v>93</v>
      </c>
      <c r="G6" s="144" t="s">
        <v>94</v>
      </c>
      <c r="H6" s="298" t="s">
        <v>95</v>
      </c>
      <c r="I6" s="167" t="s">
        <v>96</v>
      </c>
      <c r="J6" s="167" t="s">
        <v>97</v>
      </c>
      <c r="K6" s="167" t="s">
        <v>98</v>
      </c>
      <c r="L6" s="167" t="s">
        <v>99</v>
      </c>
      <c r="M6" s="167" t="s">
        <v>100</v>
      </c>
      <c r="N6" s="421"/>
      <c r="O6" s="421"/>
      <c r="P6" s="421"/>
      <c r="Q6" s="421"/>
      <c r="R6" s="421"/>
      <c r="S6" s="421"/>
      <c r="T6" s="421"/>
      <c r="U6" s="421"/>
      <c r="V6" s="421"/>
      <c r="W6" s="421"/>
      <c r="X6" s="421"/>
      <c r="Y6" s="421"/>
      <c r="Z6" s="421"/>
      <c r="AA6" s="421"/>
      <c r="AB6" s="421"/>
      <c r="AC6" s="421"/>
      <c r="AD6" s="421"/>
      <c r="AE6" s="421"/>
      <c r="AF6" s="421"/>
    </row>
    <row r="7" spans="1:32" s="256" customFormat="1" ht="99" hidden="1">
      <c r="A7" s="416">
        <v>1</v>
      </c>
      <c r="B7" s="273" t="s">
        <v>68</v>
      </c>
      <c r="C7" s="272" t="str">
        <f>IF(ISTEXT(B7),VLOOKUP(B7,'Listas y tablas'!$Q$3:$R$18,2,FALSE),"")</f>
        <v>Administrar los activos e infraestructura de la Entidad, para satisfacer las necesidades y requerimientos de recursos físicos y servicios generales de los usuarios internos y externos del Instituto, a través de la planeación, mantenimiento, atención de requerimientos y toma física de activos.</v>
      </c>
      <c r="D7" s="417" t="s">
        <v>101</v>
      </c>
      <c r="E7" s="273" t="s">
        <v>102</v>
      </c>
      <c r="F7" s="273" t="s">
        <v>103</v>
      </c>
      <c r="G7" s="273" t="s">
        <v>104</v>
      </c>
      <c r="H7" s="310" t="s">
        <v>105</v>
      </c>
      <c r="I7" s="422" t="s">
        <v>106</v>
      </c>
      <c r="J7" s="422"/>
      <c r="K7" s="422"/>
      <c r="L7" s="422"/>
      <c r="M7" s="324" t="str">
        <f>+IF(OR(ISTEXT(I7),ISTEXT(J7),ISTEXT(K7),ISTEXT(L7)),IF(AND(I7="X",J7="X",K7="X",L7="X"),"Corrupción","Gestión"),"")</f>
        <v>Gestión</v>
      </c>
      <c r="N7" s="334"/>
      <c r="O7" s="334"/>
      <c r="P7" s="334"/>
      <c r="Q7" s="334"/>
      <c r="R7" s="334"/>
      <c r="S7" s="334"/>
      <c r="T7" s="334"/>
      <c r="U7" s="334"/>
      <c r="V7" s="334"/>
      <c r="W7" s="334"/>
      <c r="X7" s="334"/>
      <c r="Y7" s="334"/>
      <c r="Z7" s="334"/>
      <c r="AA7" s="334"/>
      <c r="AB7" s="334"/>
      <c r="AC7" s="334"/>
      <c r="AD7" s="334"/>
      <c r="AE7" s="334"/>
      <c r="AF7" s="334"/>
    </row>
    <row r="8" spans="1:32" ht="151.5" hidden="1" customHeight="1">
      <c r="A8" s="416">
        <f>+IF(ISTEXT(B8),A7+1,"")</f>
        <v>2</v>
      </c>
      <c r="B8" s="273" t="s">
        <v>68</v>
      </c>
      <c r="C8" s="272" t="str">
        <f>IF(ISTEXT(B8),VLOOKUP(B8,'Listas y tablas'!$Q$3:$R$18,2,FALSE),"")</f>
        <v>Administrar los activos e infraestructura de la Entidad, para satisfacer las necesidades y requerimientos de recursos físicos y servicios generales de los usuarios internos y externos del Instituto, a través de la planeación, mantenimiento, atención de requerimientos y toma física de activos.</v>
      </c>
      <c r="D8" s="417" t="s">
        <v>101</v>
      </c>
      <c r="E8" s="273" t="s">
        <v>102</v>
      </c>
      <c r="F8" s="301" t="s">
        <v>107</v>
      </c>
      <c r="G8" s="301" t="s">
        <v>108</v>
      </c>
      <c r="H8" s="301" t="s">
        <v>109</v>
      </c>
      <c r="I8" s="423" t="s">
        <v>106</v>
      </c>
      <c r="J8" s="422"/>
      <c r="K8" s="422"/>
      <c r="L8" s="422"/>
      <c r="M8" s="324" t="str">
        <f>+IF(OR(ISTEXT(I8),ISTEXT(J8),ISTEXT(K8),ISTEXT(L8)),IF(AND(I8="X",J8="X",K8="X",L8="X"),"Corrupción","Gestión"),"")</f>
        <v>Gestión</v>
      </c>
      <c r="N8" s="334"/>
      <c r="O8" s="262"/>
      <c r="P8" s="262"/>
      <c r="Q8" s="262"/>
      <c r="R8" s="262"/>
      <c r="S8" s="262"/>
      <c r="T8" s="262"/>
      <c r="U8" s="262"/>
      <c r="V8" s="262"/>
      <c r="W8" s="262"/>
      <c r="X8" s="262"/>
      <c r="Y8" s="262"/>
      <c r="Z8" s="262"/>
      <c r="AA8" s="262"/>
      <c r="AB8" s="262"/>
      <c r="AC8" s="262"/>
      <c r="AD8" s="262"/>
      <c r="AE8" s="262"/>
      <c r="AF8" s="262"/>
    </row>
    <row r="9" spans="1:32" ht="151.5" hidden="1" customHeight="1">
      <c r="A9" s="416">
        <f t="shared" ref="A9:A72" si="0">+IF(ISTEXT(B9),A8+1,"")</f>
        <v>3</v>
      </c>
      <c r="B9" s="273" t="s">
        <v>68</v>
      </c>
      <c r="C9" s="272" t="str">
        <f>IF(ISTEXT(B9),VLOOKUP(B9,'Listas y tablas'!$Q$3:$R$18,2,FALSE),"")</f>
        <v>Administrar los activos e infraestructura de la Entidad, para satisfacer las necesidades y requerimientos de recursos físicos y servicios generales de los usuarios internos y externos del Instituto, a través de la planeación, mantenimiento, atención de requerimientos y toma física de activos.</v>
      </c>
      <c r="D9" s="417" t="s">
        <v>101</v>
      </c>
      <c r="E9" s="273" t="s">
        <v>102</v>
      </c>
      <c r="F9" s="301" t="s">
        <v>110</v>
      </c>
      <c r="G9" s="301" t="s">
        <v>111</v>
      </c>
      <c r="H9" s="301" t="s">
        <v>112</v>
      </c>
      <c r="I9" s="424" t="s">
        <v>106</v>
      </c>
      <c r="J9" s="424" t="s">
        <v>106</v>
      </c>
      <c r="K9" s="424" t="s">
        <v>106</v>
      </c>
      <c r="L9" s="424" t="s">
        <v>106</v>
      </c>
      <c r="M9" s="324" t="str">
        <f t="shared" ref="M9:M63" si="1">+IF(OR(ISTEXT(I9),ISTEXT(J9),ISTEXT(K9),ISTEXT(L9)),IF(AND(I9="X",J9="X",K9="X",L9="X"),"Corrupción","Gestión"),"")</f>
        <v>Corrupción</v>
      </c>
      <c r="N9" s="334"/>
      <c r="O9" s="262"/>
      <c r="P9" s="262"/>
      <c r="Q9" s="262"/>
      <c r="R9" s="262"/>
      <c r="S9" s="262"/>
      <c r="T9" s="262"/>
      <c r="U9" s="262"/>
      <c r="V9" s="262"/>
      <c r="W9" s="262"/>
      <c r="X9" s="262"/>
      <c r="Y9" s="262"/>
      <c r="Z9" s="262"/>
      <c r="AA9" s="262"/>
      <c r="AB9" s="262"/>
      <c r="AC9" s="262"/>
      <c r="AD9" s="262"/>
      <c r="AE9" s="262"/>
      <c r="AF9" s="262"/>
    </row>
    <row r="10" spans="1:32" ht="122.25" hidden="1" customHeight="1">
      <c r="A10" s="416">
        <f t="shared" si="0"/>
        <v>4</v>
      </c>
      <c r="B10" s="273" t="s">
        <v>68</v>
      </c>
      <c r="C10" s="272" t="str">
        <f>IF(ISTEXT(B10),VLOOKUP(B10,'Listas y tablas'!$Q$3:$R$18,2,FALSE),"")</f>
        <v>Administrar los activos e infraestructura de la Entidad, para satisfacer las necesidades y requerimientos de recursos físicos y servicios generales de los usuarios internos y externos del Instituto, a través de la planeación, mantenimiento, atención de requerimientos y toma física de activos.</v>
      </c>
      <c r="D10" s="417" t="s">
        <v>101</v>
      </c>
      <c r="E10" s="273" t="s">
        <v>102</v>
      </c>
      <c r="F10" s="273" t="s">
        <v>113</v>
      </c>
      <c r="G10" s="273" t="s">
        <v>114</v>
      </c>
      <c r="H10" s="310" t="s">
        <v>115</v>
      </c>
      <c r="I10" s="422" t="s">
        <v>106</v>
      </c>
      <c r="J10" s="422"/>
      <c r="K10" s="422"/>
      <c r="L10" s="422"/>
      <c r="M10" s="324" t="str">
        <f t="shared" si="1"/>
        <v>Gestión</v>
      </c>
      <c r="N10" s="334"/>
      <c r="O10" s="262"/>
      <c r="P10" s="262"/>
      <c r="Q10" s="262"/>
      <c r="R10" s="262"/>
      <c r="S10" s="262"/>
      <c r="T10" s="262"/>
      <c r="U10" s="262"/>
      <c r="V10" s="262"/>
      <c r="W10" s="262"/>
      <c r="X10" s="262"/>
      <c r="Y10" s="262"/>
      <c r="Z10" s="262"/>
      <c r="AA10" s="262"/>
      <c r="AB10" s="262"/>
      <c r="AC10" s="262"/>
      <c r="AD10" s="262"/>
      <c r="AE10" s="262"/>
      <c r="AF10" s="262"/>
    </row>
    <row r="11" spans="1:32" ht="151.5" hidden="1" customHeight="1">
      <c r="A11" s="416">
        <f t="shared" si="0"/>
        <v>5</v>
      </c>
      <c r="B11" s="273" t="s">
        <v>68</v>
      </c>
      <c r="C11" s="272" t="str">
        <f>IF(ISTEXT(B11),VLOOKUP(B11,'Listas y tablas'!$Q$3:$R$18,2,FALSE),"")</f>
        <v>Administrar los activos e infraestructura de la Entidad, para satisfacer las necesidades y requerimientos de recursos físicos y servicios generales de los usuarios internos y externos del Instituto, a través de la planeación, mantenimiento, atención de requerimientos y toma física de activos.</v>
      </c>
      <c r="D11" s="417" t="s">
        <v>101</v>
      </c>
      <c r="E11" s="273" t="s">
        <v>102</v>
      </c>
      <c r="F11" s="273" t="s">
        <v>116</v>
      </c>
      <c r="G11" s="273" t="s">
        <v>117</v>
      </c>
      <c r="H11" s="310" t="s">
        <v>118</v>
      </c>
      <c r="I11" s="422" t="s">
        <v>106</v>
      </c>
      <c r="J11" s="422"/>
      <c r="K11" s="422"/>
      <c r="L11" s="422"/>
      <c r="M11" s="324" t="str">
        <f t="shared" si="1"/>
        <v>Gestión</v>
      </c>
      <c r="N11" s="334"/>
      <c r="O11" s="262"/>
      <c r="P11" s="262"/>
      <c r="Q11" s="262"/>
      <c r="R11" s="262"/>
      <c r="S11" s="262"/>
      <c r="T11" s="262"/>
      <c r="U11" s="262"/>
      <c r="V11" s="262"/>
      <c r="W11" s="262"/>
      <c r="X11" s="262"/>
      <c r="Y11" s="262"/>
      <c r="Z11" s="262"/>
      <c r="AA11" s="262"/>
      <c r="AB11" s="262"/>
      <c r="AC11" s="262"/>
      <c r="AD11" s="262"/>
      <c r="AE11" s="262"/>
      <c r="AF11" s="262"/>
    </row>
    <row r="12" spans="1:32" ht="151.5" hidden="1" customHeight="1">
      <c r="A12" s="416">
        <f t="shared" si="0"/>
        <v>6</v>
      </c>
      <c r="B12" s="273" t="s">
        <v>72</v>
      </c>
      <c r="C12" s="272" t="str">
        <f>IF(ISTEXT(B12),VLOOKUP(B12,'Listas y tablas'!$Q$3:$R$18,2,FALSE),"")</f>
        <v>Garantizar la atención amable, oportuna y confiable a la ciudadanía, atendiendo criterios diferenciales de accesibilidad y lineamientos del orden nacional y distrital en materia de atención a la ciudadanía; a través de los canales de interacción presenciales, telefónicos y virtuales, dispuestos para satisfacer de manera efectiva las demandas y necesidades de la ciudadanía en el marco misional del IDPC</v>
      </c>
      <c r="D12" s="417" t="s">
        <v>101</v>
      </c>
      <c r="E12" s="273" t="s">
        <v>119</v>
      </c>
      <c r="F12" s="301" t="s">
        <v>120</v>
      </c>
      <c r="G12" s="273" t="s">
        <v>121</v>
      </c>
      <c r="H12" s="301" t="s">
        <v>122</v>
      </c>
      <c r="I12" s="425" t="s">
        <v>106</v>
      </c>
      <c r="J12" s="425"/>
      <c r="K12" s="425"/>
      <c r="L12" s="425"/>
      <c r="M12" s="324" t="str">
        <f t="shared" si="1"/>
        <v>Gestión</v>
      </c>
      <c r="N12" s="334"/>
      <c r="O12" s="262"/>
      <c r="P12" s="262"/>
      <c r="Q12" s="262"/>
      <c r="R12" s="262"/>
      <c r="S12" s="262"/>
      <c r="T12" s="262"/>
      <c r="U12" s="262"/>
      <c r="V12" s="262"/>
      <c r="W12" s="262"/>
      <c r="X12" s="262"/>
      <c r="Y12" s="262"/>
      <c r="Z12" s="262"/>
      <c r="AA12" s="262"/>
      <c r="AB12" s="262"/>
      <c r="AC12" s="262"/>
      <c r="AD12" s="262"/>
      <c r="AE12" s="262"/>
      <c r="AF12" s="262"/>
    </row>
    <row r="13" spans="1:32" ht="151.5" hidden="1" customHeight="1">
      <c r="A13" s="416">
        <f t="shared" si="0"/>
        <v>7</v>
      </c>
      <c r="B13" s="273" t="s">
        <v>72</v>
      </c>
      <c r="C13" s="272" t="str">
        <f>IF(ISTEXT(B13),VLOOKUP(B13,'Listas y tablas'!$Q$3:$R$18,2,FALSE),"")</f>
        <v>Garantizar la atención amable, oportuna y confiable a la ciudadanía, atendiendo criterios diferenciales de accesibilidad y lineamientos del orden nacional y distrital en materia de atención a la ciudadanía; a través de los canales de interacción presenciales, telefónicos y virtuales, dispuestos para satisfacer de manera efectiva las demandas y necesidades de la ciudadanía en el marco misional del IDPC</v>
      </c>
      <c r="D13" s="417" t="s">
        <v>101</v>
      </c>
      <c r="E13" s="273" t="s">
        <v>119</v>
      </c>
      <c r="F13" s="418" t="s">
        <v>123</v>
      </c>
      <c r="G13" s="273" t="s">
        <v>124</v>
      </c>
      <c r="H13" s="418" t="s">
        <v>125</v>
      </c>
      <c r="I13" s="425" t="s">
        <v>106</v>
      </c>
      <c r="J13" s="425"/>
      <c r="K13" s="425"/>
      <c r="L13" s="425"/>
      <c r="M13" s="324" t="str">
        <f t="shared" si="1"/>
        <v>Gestión</v>
      </c>
      <c r="N13" s="334"/>
      <c r="O13" s="262"/>
      <c r="P13" s="262"/>
      <c r="Q13" s="262"/>
      <c r="R13" s="262"/>
      <c r="S13" s="262"/>
      <c r="T13" s="262"/>
      <c r="U13" s="262"/>
      <c r="V13" s="262"/>
      <c r="W13" s="262"/>
      <c r="X13" s="262"/>
      <c r="Y13" s="262"/>
      <c r="Z13" s="262"/>
      <c r="AA13" s="262"/>
      <c r="AB13" s="262"/>
      <c r="AC13" s="262"/>
      <c r="AD13" s="262"/>
      <c r="AE13" s="262"/>
      <c r="AF13" s="262"/>
    </row>
    <row r="14" spans="1:32" ht="151.5" hidden="1" customHeight="1">
      <c r="A14" s="416">
        <f t="shared" si="0"/>
        <v>8</v>
      </c>
      <c r="B14" s="273" t="s">
        <v>72</v>
      </c>
      <c r="C14" s="272" t="str">
        <f>IF(ISTEXT(B14),VLOOKUP(B14,'Listas y tablas'!$Q$3:$R$18,2,FALSE),"")</f>
        <v>Garantizar la atención amable, oportuna y confiable a la ciudadanía, atendiendo criterios diferenciales de accesibilidad y lineamientos del orden nacional y distrital en materia de atención a la ciudadanía; a través de los canales de interacción presenciales, telefónicos y virtuales, dispuestos para satisfacer de manera efectiva las demandas y necesidades de la ciudadanía en el marco misional del IDPC</v>
      </c>
      <c r="D14" s="417" t="s">
        <v>101</v>
      </c>
      <c r="E14" s="273" t="s">
        <v>119</v>
      </c>
      <c r="F14" s="273" t="s">
        <v>126</v>
      </c>
      <c r="G14" s="273" t="s">
        <v>127</v>
      </c>
      <c r="H14" s="310" t="s">
        <v>128</v>
      </c>
      <c r="I14" s="425" t="s">
        <v>106</v>
      </c>
      <c r="J14" s="425" t="s">
        <v>106</v>
      </c>
      <c r="K14" s="425" t="s">
        <v>106</v>
      </c>
      <c r="L14" s="425" t="s">
        <v>106</v>
      </c>
      <c r="M14" s="324" t="str">
        <f t="shared" si="1"/>
        <v>Corrupción</v>
      </c>
      <c r="N14" s="334"/>
      <c r="O14" s="262"/>
      <c r="P14" s="262"/>
      <c r="Q14" s="262"/>
      <c r="R14" s="262"/>
      <c r="S14" s="262"/>
      <c r="T14" s="262"/>
      <c r="U14" s="262"/>
      <c r="V14" s="262"/>
      <c r="W14" s="262"/>
      <c r="X14" s="262"/>
      <c r="Y14" s="262"/>
      <c r="Z14" s="262"/>
      <c r="AA14" s="262"/>
      <c r="AB14" s="262"/>
      <c r="AC14" s="262"/>
      <c r="AD14" s="262"/>
      <c r="AE14" s="262"/>
      <c r="AF14" s="262"/>
    </row>
    <row r="15" spans="1:32" ht="160.5" hidden="1" customHeight="1">
      <c r="A15" s="416">
        <f t="shared" si="0"/>
        <v>9</v>
      </c>
      <c r="B15" s="273" t="s">
        <v>73</v>
      </c>
      <c r="C15" s="272" t="str">
        <f>IF(ISTEXT(B15),VLOOKUP(B15,'Listas y tablas'!$Q$3:$R$18,2,FALSE),"")</f>
        <v xml:space="preserve">Comunicar la información interna y externa del Instituto hacia los diferentes grupos de interés, através del cumplimiento de los procedimientos, planes, lineamientos , directrices emitidos en materia de comunicaciones, para asegurar su correcto flujo y el acceso a la información pública en torno a la gestión y apropiación Patrimonio Cultural de Bogotá D.C. </v>
      </c>
      <c r="D15" s="417" t="s">
        <v>101</v>
      </c>
      <c r="E15" s="273" t="s">
        <v>119</v>
      </c>
      <c r="F15" s="273" t="s">
        <v>129</v>
      </c>
      <c r="G15" s="273" t="s">
        <v>130</v>
      </c>
      <c r="H15" s="310" t="s">
        <v>131</v>
      </c>
      <c r="I15" s="422" t="s">
        <v>106</v>
      </c>
      <c r="J15" s="422"/>
      <c r="K15" s="422"/>
      <c r="L15" s="422"/>
      <c r="M15" s="324" t="str">
        <f t="shared" si="1"/>
        <v>Gestión</v>
      </c>
      <c r="N15" s="334"/>
      <c r="O15" s="262"/>
      <c r="P15" s="262"/>
      <c r="Q15" s="262"/>
      <c r="R15" s="262"/>
      <c r="S15" s="262"/>
      <c r="T15" s="262"/>
      <c r="U15" s="262"/>
      <c r="V15" s="262"/>
      <c r="W15" s="262"/>
      <c r="X15" s="262"/>
      <c r="Y15" s="262"/>
      <c r="Z15" s="262"/>
      <c r="AA15" s="262"/>
      <c r="AB15" s="262"/>
      <c r="AC15" s="262"/>
      <c r="AD15" s="262"/>
      <c r="AE15" s="262"/>
      <c r="AF15" s="262"/>
    </row>
    <row r="16" spans="1:32" ht="179.25" hidden="1" customHeight="1">
      <c r="A16" s="416">
        <f t="shared" si="0"/>
        <v>10</v>
      </c>
      <c r="B16" s="273" t="s">
        <v>73</v>
      </c>
      <c r="C16" s="272" t="str">
        <f>IF(ISTEXT(B16),VLOOKUP(B16,'Listas y tablas'!$Q$3:$R$18,2,FALSE),"")</f>
        <v xml:space="preserve">Comunicar la información interna y externa del Instituto hacia los diferentes grupos de interés, através del cumplimiento de los procedimientos, planes, lineamientos , directrices emitidos en materia de comunicaciones, para asegurar su correcto flujo y el acceso a la información pública en torno a la gestión y apropiación Patrimonio Cultural de Bogotá D.C. </v>
      </c>
      <c r="D16" s="417" t="s">
        <v>101</v>
      </c>
      <c r="E16" s="273" t="s">
        <v>119</v>
      </c>
      <c r="F16" s="273" t="s">
        <v>132</v>
      </c>
      <c r="G16" s="273" t="s">
        <v>133</v>
      </c>
      <c r="H16" s="310" t="s">
        <v>134</v>
      </c>
      <c r="I16" s="422" t="s">
        <v>106</v>
      </c>
      <c r="J16" s="422"/>
      <c r="K16" s="422"/>
      <c r="L16" s="422"/>
      <c r="M16" s="324" t="str">
        <f t="shared" si="1"/>
        <v>Gestión</v>
      </c>
      <c r="N16" s="334"/>
      <c r="O16" s="262"/>
      <c r="P16" s="262"/>
      <c r="Q16" s="262"/>
      <c r="R16" s="262"/>
      <c r="S16" s="262"/>
      <c r="T16" s="262"/>
      <c r="U16" s="262"/>
      <c r="V16" s="262"/>
      <c r="W16" s="262"/>
      <c r="X16" s="262"/>
      <c r="Y16" s="262"/>
      <c r="Z16" s="262"/>
      <c r="AA16" s="262"/>
      <c r="AB16" s="262"/>
      <c r="AC16" s="262"/>
      <c r="AD16" s="262"/>
      <c r="AE16" s="262"/>
      <c r="AF16" s="262"/>
    </row>
    <row r="17" spans="1:32" ht="151.5" hidden="1" customHeight="1">
      <c r="A17" s="416">
        <f t="shared" si="0"/>
        <v>11</v>
      </c>
      <c r="B17" s="273" t="s">
        <v>74</v>
      </c>
      <c r="C17" s="272" t="str">
        <f>IF(ISTEXT(B17),VLOOKUP(B17,'Listas y tablas'!$Q$3:$R$18,2,FALSE),"")</f>
        <v>Adelantar los trámites tendientes a establecer la responsabilidad disciplinaria de los servidores y ex servidores públicos con ocasión del presunto incumplimiento de deberes, extralimitación u omisión de funciones o por presunta violación al régimen de inhabilidades e incompatibilidades y conflicto de intereses.</v>
      </c>
      <c r="D17" s="417" t="s">
        <v>101</v>
      </c>
      <c r="E17" s="273" t="s">
        <v>119</v>
      </c>
      <c r="F17" s="273" t="s">
        <v>135</v>
      </c>
      <c r="G17" s="273" t="s">
        <v>136</v>
      </c>
      <c r="H17" s="310" t="s">
        <v>137</v>
      </c>
      <c r="I17" s="422" t="s">
        <v>106</v>
      </c>
      <c r="J17" s="422"/>
      <c r="K17" s="422"/>
      <c r="L17" s="422"/>
      <c r="M17" s="324" t="str">
        <f t="shared" si="1"/>
        <v>Gestión</v>
      </c>
      <c r="N17" s="334"/>
      <c r="O17" s="262"/>
      <c r="P17" s="262"/>
      <c r="Q17" s="262"/>
      <c r="R17" s="262"/>
      <c r="S17" s="262"/>
      <c r="T17" s="262"/>
      <c r="U17" s="262"/>
      <c r="V17" s="262"/>
      <c r="W17" s="262"/>
      <c r="X17" s="262"/>
      <c r="Y17" s="262"/>
      <c r="Z17" s="262"/>
      <c r="AA17" s="262"/>
      <c r="AB17" s="262"/>
      <c r="AC17" s="262"/>
      <c r="AD17" s="262"/>
      <c r="AE17" s="262"/>
      <c r="AF17" s="262"/>
    </row>
    <row r="18" spans="1:32" ht="151.5" hidden="1" customHeight="1">
      <c r="A18" s="416">
        <f t="shared" si="0"/>
        <v>12</v>
      </c>
      <c r="B18" s="273" t="s">
        <v>74</v>
      </c>
      <c r="C18" s="272" t="str">
        <f>IF(ISTEXT(B18),VLOOKUP(B18,'Listas y tablas'!$Q$3:$R$18,2,FALSE),"")</f>
        <v>Adelantar los trámites tendientes a establecer la responsabilidad disciplinaria de los servidores y ex servidores públicos con ocasión del presunto incumplimiento de deberes, extralimitación u omisión de funciones o por presunta violación al régimen de inhabilidades e incompatibilidades y conflicto de intereses.</v>
      </c>
      <c r="D18" s="417" t="s">
        <v>101</v>
      </c>
      <c r="E18" s="273" t="s">
        <v>119</v>
      </c>
      <c r="F18" s="273" t="s">
        <v>138</v>
      </c>
      <c r="G18" s="273" t="s">
        <v>139</v>
      </c>
      <c r="H18" s="310" t="s">
        <v>140</v>
      </c>
      <c r="I18" s="422" t="s">
        <v>106</v>
      </c>
      <c r="J18" s="422" t="s">
        <v>106</v>
      </c>
      <c r="K18" s="422" t="s">
        <v>106</v>
      </c>
      <c r="L18" s="422" t="s">
        <v>106</v>
      </c>
      <c r="M18" s="324" t="str">
        <f t="shared" si="1"/>
        <v>Corrupción</v>
      </c>
      <c r="N18" s="334"/>
      <c r="O18" s="262"/>
      <c r="P18" s="262"/>
      <c r="Q18" s="262"/>
      <c r="R18" s="262"/>
      <c r="S18" s="262"/>
      <c r="T18" s="262"/>
      <c r="U18" s="262"/>
      <c r="V18" s="262"/>
      <c r="W18" s="262"/>
      <c r="X18" s="262"/>
      <c r="Y18" s="262"/>
      <c r="Z18" s="262"/>
      <c r="AA18" s="262"/>
      <c r="AB18" s="262"/>
      <c r="AC18" s="262"/>
      <c r="AD18" s="262"/>
      <c r="AE18" s="262"/>
      <c r="AF18" s="262"/>
    </row>
    <row r="19" spans="1:32" ht="151.5" hidden="1" customHeight="1">
      <c r="A19" s="416">
        <f t="shared" si="0"/>
        <v>13</v>
      </c>
      <c r="B19" s="273" t="s">
        <v>75</v>
      </c>
      <c r="C19" s="272" t="str">
        <f>IF(ISTEXT(B19),VLOOKUP(B19,'Listas y tablas'!$Q$3:$R$18,2,FALSE),"")</f>
        <v>Impartir lineamientos y brindar acompañamiento a los procesos del IDPC para la definición de políticas, objetivos, estrategias, planes, programas y proyectos institucionales que promuevan el acceso y participación a los derechos patrimoniales y culturales de las personas que habitan el Distrito Capital.Impartir lineamientos y brindar acompañamiento a los procesos del IDPC para la definición de políticas, objetivos, estrategias, planes, programas y proyectos institucionales que promuevan el acceso y participación a los derechos patrimoniales y culturales de las personas que habitan el Distrito Capital.</v>
      </c>
      <c r="D19" s="417" t="s">
        <v>101</v>
      </c>
      <c r="E19" s="273" t="s">
        <v>119</v>
      </c>
      <c r="F19" s="273" t="s">
        <v>141</v>
      </c>
      <c r="G19" s="273" t="s">
        <v>142</v>
      </c>
      <c r="H19" s="310" t="s">
        <v>143</v>
      </c>
      <c r="I19" s="422" t="s">
        <v>106</v>
      </c>
      <c r="J19" s="422"/>
      <c r="K19" s="422"/>
      <c r="L19" s="422"/>
      <c r="M19" s="324" t="str">
        <f t="shared" si="1"/>
        <v>Gestión</v>
      </c>
      <c r="N19" s="334"/>
      <c r="O19" s="262"/>
      <c r="P19" s="262"/>
      <c r="Q19" s="262"/>
      <c r="R19" s="262"/>
      <c r="S19" s="262"/>
      <c r="T19" s="262"/>
      <c r="U19" s="262"/>
      <c r="V19" s="262"/>
      <c r="W19" s="262"/>
      <c r="X19" s="262"/>
      <c r="Y19" s="262"/>
      <c r="Z19" s="262"/>
      <c r="AA19" s="262"/>
      <c r="AB19" s="262"/>
      <c r="AC19" s="262"/>
      <c r="AD19" s="262"/>
      <c r="AE19" s="262"/>
      <c r="AF19" s="262"/>
    </row>
    <row r="20" spans="1:32" ht="151.5" hidden="1" customHeight="1">
      <c r="A20" s="416">
        <f t="shared" si="0"/>
        <v>14</v>
      </c>
      <c r="B20" s="273" t="s">
        <v>75</v>
      </c>
      <c r="C20" s="272" t="str">
        <f>IF(ISTEXT(B20),VLOOKUP(B20,'Listas y tablas'!$Q$3:$R$18,2,FALSE),"")</f>
        <v>Impartir lineamientos y brindar acompañamiento a los procesos del IDPC para la definición de políticas, objetivos, estrategias, planes, programas y proyectos institucionales que promuevan el acceso y participación a los derechos patrimoniales y culturales de las personas que habitan el Distrito Capital.Impartir lineamientos y brindar acompañamiento a los procesos del IDPC para la definición de políticas, objetivos, estrategias, planes, programas y proyectos institucionales que promuevan el acceso y participación a los derechos patrimoniales y culturales de las personas que habitan el Distrito Capital.</v>
      </c>
      <c r="D20" s="417" t="s">
        <v>101</v>
      </c>
      <c r="E20" s="273" t="s">
        <v>119</v>
      </c>
      <c r="F20" s="273" t="s">
        <v>144</v>
      </c>
      <c r="G20" s="273" t="s">
        <v>145</v>
      </c>
      <c r="H20" s="310" t="s">
        <v>146</v>
      </c>
      <c r="I20" s="422" t="s">
        <v>106</v>
      </c>
      <c r="J20" s="422"/>
      <c r="K20" s="422"/>
      <c r="L20" s="422"/>
      <c r="M20" s="324" t="str">
        <f t="shared" si="1"/>
        <v>Gestión</v>
      </c>
      <c r="N20" s="334"/>
      <c r="O20" s="262"/>
      <c r="P20" s="262"/>
      <c r="Q20" s="262"/>
      <c r="R20" s="262"/>
      <c r="S20" s="262"/>
      <c r="T20" s="262"/>
      <c r="U20" s="262"/>
      <c r="V20" s="262"/>
      <c r="W20" s="262"/>
      <c r="X20" s="262"/>
      <c r="Y20" s="262"/>
      <c r="Z20" s="262"/>
      <c r="AA20" s="262"/>
      <c r="AB20" s="262"/>
      <c r="AC20" s="262"/>
      <c r="AD20" s="262"/>
      <c r="AE20" s="262"/>
      <c r="AF20" s="262"/>
    </row>
    <row r="21" spans="1:32" ht="151.5" hidden="1" customHeight="1">
      <c r="A21" s="416">
        <f t="shared" si="0"/>
        <v>15</v>
      </c>
      <c r="B21" s="273" t="s">
        <v>75</v>
      </c>
      <c r="C21" s="272" t="str">
        <f>IF(ISTEXT(B21),VLOOKUP(B21,'Listas y tablas'!$Q$3:$R$18,2,FALSE),"")</f>
        <v>Impartir lineamientos y brindar acompañamiento a los procesos del IDPC para la definición de políticas, objetivos, estrategias, planes, programas y proyectos institucionales que promuevan el acceso y participación a los derechos patrimoniales y culturales de las personas que habitan el Distrito Capital.Impartir lineamientos y brindar acompañamiento a los procesos del IDPC para la definición de políticas, objetivos, estrategias, planes, programas y proyectos institucionales que promuevan el acceso y participación a los derechos patrimoniales y culturales de las personas que habitan el Distrito Capital.</v>
      </c>
      <c r="D21" s="417" t="s">
        <v>101</v>
      </c>
      <c r="E21" s="273" t="s">
        <v>119</v>
      </c>
      <c r="F21" s="273" t="s">
        <v>147</v>
      </c>
      <c r="G21" s="273" t="s">
        <v>148</v>
      </c>
      <c r="H21" s="310" t="s">
        <v>149</v>
      </c>
      <c r="I21" s="422" t="s">
        <v>106</v>
      </c>
      <c r="J21" s="422"/>
      <c r="K21" s="422"/>
      <c r="L21" s="422"/>
      <c r="M21" s="324" t="str">
        <f t="shared" si="1"/>
        <v>Gestión</v>
      </c>
      <c r="N21" s="334"/>
      <c r="O21" s="262"/>
      <c r="P21" s="262"/>
      <c r="Q21" s="262"/>
      <c r="R21" s="262"/>
      <c r="S21" s="262"/>
      <c r="T21" s="262"/>
      <c r="U21" s="262"/>
      <c r="V21" s="262"/>
      <c r="W21" s="262"/>
      <c r="X21" s="262"/>
      <c r="Y21" s="262"/>
      <c r="Z21" s="262"/>
      <c r="AA21" s="262"/>
      <c r="AB21" s="262"/>
      <c r="AC21" s="262"/>
      <c r="AD21" s="262"/>
      <c r="AE21" s="262"/>
      <c r="AF21" s="262"/>
    </row>
    <row r="22" spans="1:32" ht="151.5" hidden="1" customHeight="1">
      <c r="A22" s="416">
        <f t="shared" si="0"/>
        <v>16</v>
      </c>
      <c r="B22" s="273" t="s">
        <v>76</v>
      </c>
      <c r="C22" s="272" t="str">
        <f>IF(ISTEXT(B22),VLOOKUP(B22,'Listas y tablas'!$Q$3:$R$18,2,FALSE),"")</f>
        <v>Realizar acciones de valoración, apropiación y divulgación del patrimonio cultural del Distrito Capital a través de exposiciones, publicaciones, acciones de apropiación (recorridos, identificación de PCI, educativa, cultural), fomento (estímulos), formación (civinautas), y acceso a la documentación del centro documentación para afianzar el sentido de apropiación social del patrimonio.</v>
      </c>
      <c r="D22" s="417" t="s">
        <v>150</v>
      </c>
      <c r="E22" s="273" t="s">
        <v>119</v>
      </c>
      <c r="F22" s="419" t="s">
        <v>151</v>
      </c>
      <c r="G22" s="419" t="s">
        <v>152</v>
      </c>
      <c r="H22" s="419" t="s">
        <v>153</v>
      </c>
      <c r="I22" s="425" t="s">
        <v>106</v>
      </c>
      <c r="J22" s="425"/>
      <c r="K22" s="425"/>
      <c r="L22" s="425"/>
      <c r="M22" s="324" t="str">
        <f t="shared" si="1"/>
        <v>Gestión</v>
      </c>
      <c r="N22" s="334"/>
      <c r="O22" s="262"/>
      <c r="P22" s="262"/>
      <c r="Q22" s="262"/>
      <c r="R22" s="262"/>
      <c r="S22" s="262"/>
      <c r="T22" s="262"/>
      <c r="U22" s="262"/>
      <c r="V22" s="262"/>
      <c r="W22" s="262"/>
      <c r="X22" s="262"/>
      <c r="Y22" s="262"/>
      <c r="Z22" s="262"/>
      <c r="AA22" s="262"/>
      <c r="AB22" s="262"/>
      <c r="AC22" s="262"/>
      <c r="AD22" s="262"/>
      <c r="AE22" s="262"/>
      <c r="AF22" s="262"/>
    </row>
    <row r="23" spans="1:32" ht="151.5" hidden="1" customHeight="1">
      <c r="A23" s="416">
        <f t="shared" si="0"/>
        <v>17</v>
      </c>
      <c r="B23" s="273" t="s">
        <v>76</v>
      </c>
      <c r="C23" s="272" t="str">
        <f>IF(ISTEXT(B23),VLOOKUP(B23,'Listas y tablas'!$Q$3:$R$18,2,FALSE),"")</f>
        <v>Realizar acciones de valoración, apropiación y divulgación del patrimonio cultural del Distrito Capital a través de exposiciones, publicaciones, acciones de apropiación (recorridos, identificación de PCI, educativa, cultural), fomento (estímulos), formación (civinautas), y acceso a la documentación del centro documentación para afianzar el sentido de apropiación social del patrimonio.</v>
      </c>
      <c r="D23" s="417" t="s">
        <v>150</v>
      </c>
      <c r="E23" s="273" t="s">
        <v>119</v>
      </c>
      <c r="F23" s="273" t="s">
        <v>154</v>
      </c>
      <c r="G23" s="273" t="s">
        <v>155</v>
      </c>
      <c r="H23" s="310" t="s">
        <v>156</v>
      </c>
      <c r="I23" s="422" t="s">
        <v>106</v>
      </c>
      <c r="J23" s="422"/>
      <c r="K23" s="422"/>
      <c r="L23" s="422"/>
      <c r="M23" s="324" t="str">
        <f t="shared" si="1"/>
        <v>Gestión</v>
      </c>
      <c r="N23" s="334"/>
      <c r="O23" s="262"/>
      <c r="P23" s="262"/>
      <c r="Q23" s="262"/>
      <c r="R23" s="262"/>
      <c r="S23" s="262"/>
      <c r="T23" s="262"/>
      <c r="U23" s="262"/>
      <c r="V23" s="262"/>
      <c r="W23" s="262"/>
      <c r="X23" s="262"/>
      <c r="Y23" s="262"/>
      <c r="Z23" s="262"/>
      <c r="AA23" s="262"/>
      <c r="AB23" s="262"/>
      <c r="AC23" s="262"/>
      <c r="AD23" s="262"/>
      <c r="AE23" s="262"/>
      <c r="AF23" s="262"/>
    </row>
    <row r="24" spans="1:32" ht="151.5" hidden="1" customHeight="1">
      <c r="A24" s="416">
        <f t="shared" si="0"/>
        <v>18</v>
      </c>
      <c r="B24" s="273" t="s">
        <v>76</v>
      </c>
      <c r="C24" s="272" t="str">
        <f>IF(ISTEXT(B24),VLOOKUP(B24,'Listas y tablas'!$Q$3:$R$18,2,FALSE),"")</f>
        <v>Realizar acciones de valoración, apropiación y divulgación del patrimonio cultural del Distrito Capital a través de exposiciones, publicaciones, acciones de apropiación (recorridos, identificación de PCI, educativa, cultural), fomento (estímulos), formación (civinautas), y acceso a la documentación del centro documentación para afianzar el sentido de apropiación social del patrimonio.</v>
      </c>
      <c r="D24" s="417" t="s">
        <v>150</v>
      </c>
      <c r="E24" s="273" t="s">
        <v>119</v>
      </c>
      <c r="F24" s="273" t="s">
        <v>157</v>
      </c>
      <c r="G24" s="273" t="s">
        <v>158</v>
      </c>
      <c r="H24" s="310" t="s">
        <v>159</v>
      </c>
      <c r="I24" s="422" t="s">
        <v>106</v>
      </c>
      <c r="J24" s="422"/>
      <c r="K24" s="422"/>
      <c r="L24" s="422"/>
      <c r="M24" s="324" t="str">
        <f t="shared" si="1"/>
        <v>Gestión</v>
      </c>
      <c r="N24" s="334"/>
      <c r="O24" s="262"/>
      <c r="P24" s="262"/>
      <c r="Q24" s="262"/>
      <c r="R24" s="262"/>
      <c r="S24" s="262"/>
      <c r="T24" s="262"/>
      <c r="U24" s="262"/>
      <c r="V24" s="262"/>
      <c r="W24" s="262"/>
      <c r="X24" s="262"/>
      <c r="Y24" s="262"/>
      <c r="Z24" s="262"/>
      <c r="AA24" s="262"/>
      <c r="AB24" s="262"/>
      <c r="AC24" s="262"/>
      <c r="AD24" s="262"/>
      <c r="AE24" s="262"/>
      <c r="AF24" s="262"/>
    </row>
    <row r="25" spans="1:32" ht="151.5" hidden="1" customHeight="1">
      <c r="A25" s="416">
        <f t="shared" si="0"/>
        <v>19</v>
      </c>
      <c r="B25" s="273" t="s">
        <v>68</v>
      </c>
      <c r="C25" s="272" t="str">
        <f>IF(ISTEXT(B25),VLOOKUP(B25,'Listas y tablas'!$Q$3:$R$18,2,FALSE),"")</f>
        <v>Administrar los activos e infraestructura de la Entidad, para satisfacer las necesidades y requerimientos de recursos físicos y servicios generales de los usuarios internos y externos del Instituto, a través de la planeación, mantenimiento, atención de requerimientos y toma física de activos.</v>
      </c>
      <c r="D25" s="417" t="s">
        <v>101</v>
      </c>
      <c r="E25" s="273" t="s">
        <v>102</v>
      </c>
      <c r="F25" s="273" t="s">
        <v>160</v>
      </c>
      <c r="G25" s="273" t="s">
        <v>161</v>
      </c>
      <c r="H25" s="310" t="s">
        <v>162</v>
      </c>
      <c r="I25" s="422" t="s">
        <v>106</v>
      </c>
      <c r="J25" s="422"/>
      <c r="K25" s="422"/>
      <c r="L25" s="422"/>
      <c r="M25" s="324" t="str">
        <f t="shared" si="1"/>
        <v>Gestión</v>
      </c>
      <c r="N25" s="334"/>
      <c r="O25" s="262"/>
      <c r="P25" s="262"/>
      <c r="Q25" s="262"/>
      <c r="R25" s="262"/>
      <c r="S25" s="262"/>
      <c r="T25" s="262"/>
      <c r="U25" s="262"/>
      <c r="V25" s="262"/>
      <c r="W25" s="262"/>
      <c r="X25" s="262"/>
      <c r="Y25" s="262"/>
      <c r="Z25" s="262"/>
      <c r="AA25" s="262"/>
      <c r="AB25" s="262"/>
      <c r="AC25" s="262"/>
      <c r="AD25" s="262"/>
      <c r="AE25" s="262"/>
      <c r="AF25" s="262"/>
    </row>
    <row r="26" spans="1:32" ht="151.5" hidden="1" customHeight="1">
      <c r="A26" s="416">
        <f t="shared" si="0"/>
        <v>20</v>
      </c>
      <c r="B26" s="273" t="s">
        <v>76</v>
      </c>
      <c r="C26" s="272" t="str">
        <f>IF(ISTEXT(B26),VLOOKUP(B26,'Listas y tablas'!$Q$3:$R$18,2,FALSE),"")</f>
        <v>Realizar acciones de valoración, apropiación y divulgación del patrimonio cultural del Distrito Capital a través de exposiciones, publicaciones, acciones de apropiación (recorridos, identificación de PCI, educativa, cultural), fomento (estímulos), formación (civinautas), y acceso a la documentación del centro documentación para afianzar el sentido de apropiación social del patrimonio.</v>
      </c>
      <c r="D26" s="417" t="s">
        <v>150</v>
      </c>
      <c r="E26" s="273" t="s">
        <v>119</v>
      </c>
      <c r="F26" s="273" t="s">
        <v>163</v>
      </c>
      <c r="G26" s="273" t="s">
        <v>164</v>
      </c>
      <c r="H26" s="310" t="s">
        <v>165</v>
      </c>
      <c r="I26" s="422" t="s">
        <v>106</v>
      </c>
      <c r="J26" s="422"/>
      <c r="K26" s="422"/>
      <c r="L26" s="422"/>
      <c r="M26" s="324" t="str">
        <f t="shared" si="1"/>
        <v>Gestión</v>
      </c>
      <c r="N26" s="334"/>
      <c r="O26" s="262"/>
      <c r="P26" s="262"/>
      <c r="Q26" s="262"/>
      <c r="R26" s="262"/>
      <c r="S26" s="262"/>
      <c r="T26" s="262"/>
      <c r="U26" s="262"/>
      <c r="V26" s="262"/>
      <c r="W26" s="262"/>
      <c r="X26" s="262"/>
      <c r="Y26" s="262"/>
      <c r="Z26" s="262"/>
      <c r="AA26" s="262"/>
      <c r="AB26" s="262"/>
      <c r="AC26" s="262"/>
      <c r="AD26" s="262"/>
      <c r="AE26" s="262"/>
      <c r="AF26" s="262"/>
    </row>
    <row r="27" spans="1:32" ht="151.5" hidden="1" customHeight="1">
      <c r="A27" s="416">
        <f t="shared" si="0"/>
        <v>21</v>
      </c>
      <c r="B27" s="273" t="s">
        <v>78</v>
      </c>
      <c r="C27" s="272" t="str">
        <f>IF(ISTEXT(B27),VLOOKUP(B27,'Listas y tablas'!$Q$3:$R$18,2,FALSE),"")</f>
        <v>Estructurar, adelantar, orientar y acompañar la gestión precontractual, contractual y post-contractual de conformidad con las disposiciones legales vigentes, con el fin de aportar al cumplimiento de la misión institucional.</v>
      </c>
      <c r="D27" s="417" t="s">
        <v>101</v>
      </c>
      <c r="E27" s="273" t="s">
        <v>102</v>
      </c>
      <c r="F27" s="273" t="s">
        <v>166</v>
      </c>
      <c r="G27" s="273" t="s">
        <v>167</v>
      </c>
      <c r="H27" s="310" t="s">
        <v>168</v>
      </c>
      <c r="I27" s="422" t="s">
        <v>106</v>
      </c>
      <c r="J27" s="422"/>
      <c r="K27" s="422"/>
      <c r="L27" s="422"/>
      <c r="M27" s="324" t="str">
        <f t="shared" si="1"/>
        <v>Gestión</v>
      </c>
      <c r="N27" s="334"/>
      <c r="O27" s="262"/>
      <c r="P27" s="262"/>
      <c r="Q27" s="262"/>
      <c r="R27" s="262"/>
      <c r="S27" s="262"/>
      <c r="T27" s="262"/>
      <c r="U27" s="262"/>
      <c r="V27" s="262"/>
      <c r="W27" s="262"/>
      <c r="X27" s="262"/>
      <c r="Y27" s="262"/>
      <c r="Z27" s="262"/>
      <c r="AA27" s="262"/>
      <c r="AB27" s="262"/>
      <c r="AC27" s="262"/>
      <c r="AD27" s="262"/>
      <c r="AE27" s="262"/>
      <c r="AF27" s="262"/>
    </row>
    <row r="28" spans="1:32" ht="151.5" hidden="1" customHeight="1">
      <c r="A28" s="416">
        <f t="shared" si="0"/>
        <v>22</v>
      </c>
      <c r="B28" s="273" t="s">
        <v>78</v>
      </c>
      <c r="C28" s="272" t="str">
        <f>IF(ISTEXT(B28),VLOOKUP(B28,'Listas y tablas'!$Q$3:$R$18,2,FALSE),"")</f>
        <v>Estructurar, adelantar, orientar y acompañar la gestión precontractual, contractual y post-contractual de conformidad con las disposiciones legales vigentes, con el fin de aportar al cumplimiento de la misión institucional.</v>
      </c>
      <c r="D28" s="417" t="s">
        <v>101</v>
      </c>
      <c r="E28" s="273" t="s">
        <v>102</v>
      </c>
      <c r="F28" s="273" t="s">
        <v>169</v>
      </c>
      <c r="G28" s="273" t="s">
        <v>170</v>
      </c>
      <c r="H28" s="310" t="s">
        <v>171</v>
      </c>
      <c r="I28" s="422" t="s">
        <v>106</v>
      </c>
      <c r="J28" s="422"/>
      <c r="K28" s="422"/>
      <c r="L28" s="422"/>
      <c r="M28" s="324" t="str">
        <f t="shared" si="1"/>
        <v>Gestión</v>
      </c>
      <c r="N28" s="334"/>
      <c r="O28" s="262"/>
      <c r="P28" s="262"/>
      <c r="Q28" s="262"/>
      <c r="R28" s="262"/>
      <c r="S28" s="262"/>
      <c r="T28" s="262"/>
      <c r="U28" s="262"/>
      <c r="V28" s="262"/>
      <c r="W28" s="262"/>
      <c r="X28" s="262"/>
      <c r="Y28" s="262"/>
      <c r="Z28" s="262"/>
      <c r="AA28" s="262"/>
      <c r="AB28" s="262"/>
      <c r="AC28" s="262"/>
      <c r="AD28" s="262"/>
      <c r="AE28" s="262"/>
      <c r="AF28" s="262"/>
    </row>
    <row r="29" spans="1:32" ht="151.5" hidden="1" customHeight="1">
      <c r="A29" s="416">
        <f t="shared" si="0"/>
        <v>23</v>
      </c>
      <c r="B29" s="273" t="s">
        <v>78</v>
      </c>
      <c r="C29" s="272" t="str">
        <f>IF(ISTEXT(B29),VLOOKUP(B29,'Listas y tablas'!$Q$3:$R$18,2,FALSE),"")</f>
        <v>Estructurar, adelantar, orientar y acompañar la gestión precontractual, contractual y post-contractual de conformidad con las disposiciones legales vigentes, con el fin de aportar al cumplimiento de la misión institucional.</v>
      </c>
      <c r="D29" s="417" t="s">
        <v>101</v>
      </c>
      <c r="E29" s="273" t="s">
        <v>119</v>
      </c>
      <c r="F29" s="273" t="s">
        <v>172</v>
      </c>
      <c r="G29" s="273" t="s">
        <v>173</v>
      </c>
      <c r="H29" s="310" t="s">
        <v>174</v>
      </c>
      <c r="I29" s="422" t="s">
        <v>106</v>
      </c>
      <c r="J29" s="422"/>
      <c r="K29" s="422"/>
      <c r="L29" s="422"/>
      <c r="M29" s="324" t="str">
        <f t="shared" si="1"/>
        <v>Gestión</v>
      </c>
      <c r="N29" s="334"/>
      <c r="O29" s="262"/>
      <c r="P29" s="262"/>
      <c r="Q29" s="262"/>
      <c r="R29" s="262"/>
      <c r="S29" s="262"/>
      <c r="T29" s="262"/>
      <c r="U29" s="262"/>
      <c r="V29" s="262"/>
      <c r="W29" s="262"/>
      <c r="X29" s="262"/>
      <c r="Y29" s="262"/>
      <c r="Z29" s="262"/>
      <c r="AA29" s="262"/>
      <c r="AB29" s="262"/>
      <c r="AC29" s="262"/>
      <c r="AD29" s="262"/>
      <c r="AE29" s="262"/>
      <c r="AF29" s="262"/>
    </row>
    <row r="30" spans="1:32" ht="151.5" hidden="1" customHeight="1">
      <c r="A30" s="416">
        <f t="shared" si="0"/>
        <v>24</v>
      </c>
      <c r="B30" s="273" t="s">
        <v>78</v>
      </c>
      <c r="C30" s="272" t="str">
        <f>IF(ISTEXT(B30),VLOOKUP(B30,'Listas y tablas'!$Q$3:$R$18,2,FALSE),"")</f>
        <v>Estructurar, adelantar, orientar y acompañar la gestión precontractual, contractual y post-contractual de conformidad con las disposiciones legales vigentes, con el fin de aportar al cumplimiento de la misión institucional.</v>
      </c>
      <c r="D30" s="417" t="s">
        <v>101</v>
      </c>
      <c r="E30" s="273" t="s">
        <v>102</v>
      </c>
      <c r="F30" s="273" t="s">
        <v>175</v>
      </c>
      <c r="G30" s="273" t="s">
        <v>176</v>
      </c>
      <c r="H30" s="310" t="s">
        <v>177</v>
      </c>
      <c r="I30" s="422" t="s">
        <v>106</v>
      </c>
      <c r="J30" s="422"/>
      <c r="K30" s="422"/>
      <c r="L30" s="422"/>
      <c r="M30" s="324" t="str">
        <f t="shared" si="1"/>
        <v>Gestión</v>
      </c>
      <c r="N30" s="334"/>
      <c r="O30" s="262"/>
      <c r="P30" s="262"/>
      <c r="Q30" s="262"/>
      <c r="R30" s="262"/>
      <c r="S30" s="262"/>
      <c r="T30" s="262"/>
      <c r="U30" s="262"/>
      <c r="V30" s="262"/>
      <c r="W30" s="262"/>
      <c r="X30" s="262"/>
      <c r="Y30" s="262"/>
      <c r="Z30" s="262"/>
      <c r="AA30" s="262"/>
      <c r="AB30" s="262"/>
      <c r="AC30" s="262"/>
      <c r="AD30" s="262"/>
      <c r="AE30" s="262"/>
      <c r="AF30" s="262"/>
    </row>
    <row r="31" spans="1:32" ht="151.5" hidden="1" customHeight="1">
      <c r="A31" s="416">
        <f t="shared" si="0"/>
        <v>25</v>
      </c>
      <c r="B31" s="273" t="s">
        <v>78</v>
      </c>
      <c r="C31" s="272" t="str">
        <f>IF(ISTEXT(B31),VLOOKUP(B31,'Listas y tablas'!$Q$3:$R$18,2,FALSE),"")</f>
        <v>Estructurar, adelantar, orientar y acompañar la gestión precontractual, contractual y post-contractual de conformidad con las disposiciones legales vigentes, con el fin de aportar al cumplimiento de la misión institucional.</v>
      </c>
      <c r="D31" s="417" t="s">
        <v>101</v>
      </c>
      <c r="E31" s="273" t="s">
        <v>102</v>
      </c>
      <c r="F31" s="273" t="s">
        <v>178</v>
      </c>
      <c r="G31" s="273" t="s">
        <v>179</v>
      </c>
      <c r="H31" s="310" t="s">
        <v>180</v>
      </c>
      <c r="I31" s="422" t="s">
        <v>106</v>
      </c>
      <c r="J31" s="422"/>
      <c r="K31" s="422"/>
      <c r="L31" s="422"/>
      <c r="M31" s="324" t="str">
        <f t="shared" si="1"/>
        <v>Gestión</v>
      </c>
      <c r="N31" s="334"/>
      <c r="O31" s="262"/>
      <c r="P31" s="262"/>
      <c r="Q31" s="262"/>
      <c r="R31" s="262"/>
      <c r="S31" s="262"/>
      <c r="T31" s="262"/>
      <c r="U31" s="262"/>
      <c r="V31" s="262"/>
      <c r="W31" s="262"/>
      <c r="X31" s="262"/>
      <c r="Y31" s="262"/>
      <c r="Z31" s="262"/>
      <c r="AA31" s="262"/>
      <c r="AB31" s="262"/>
      <c r="AC31" s="262"/>
      <c r="AD31" s="262"/>
      <c r="AE31" s="262"/>
      <c r="AF31" s="262"/>
    </row>
    <row r="32" spans="1:32" ht="151.5" hidden="1" customHeight="1">
      <c r="A32" s="416">
        <f t="shared" si="0"/>
        <v>26</v>
      </c>
      <c r="B32" s="273" t="s">
        <v>78</v>
      </c>
      <c r="C32" s="272" t="str">
        <f>IF(ISTEXT(B32),VLOOKUP(B32,'Listas y tablas'!$Q$3:$R$18,2,FALSE),"")</f>
        <v>Estructurar, adelantar, orientar y acompañar la gestión precontractual, contractual y post-contractual de conformidad con las disposiciones legales vigentes, con el fin de aportar al cumplimiento de la misión institucional.</v>
      </c>
      <c r="D32" s="417" t="s">
        <v>101</v>
      </c>
      <c r="E32" s="273" t="s">
        <v>102</v>
      </c>
      <c r="F32" s="273" t="s">
        <v>181</v>
      </c>
      <c r="G32" s="273" t="s">
        <v>182</v>
      </c>
      <c r="H32" s="310" t="s">
        <v>183</v>
      </c>
      <c r="I32" s="422" t="s">
        <v>106</v>
      </c>
      <c r="J32" s="422" t="s">
        <v>106</v>
      </c>
      <c r="K32" s="422" t="s">
        <v>106</v>
      </c>
      <c r="L32" s="422" t="s">
        <v>106</v>
      </c>
      <c r="M32" s="324" t="str">
        <f t="shared" si="1"/>
        <v>Corrupción</v>
      </c>
      <c r="N32" s="334"/>
      <c r="O32" s="262"/>
      <c r="P32" s="262"/>
      <c r="Q32" s="262"/>
      <c r="R32" s="262"/>
      <c r="S32" s="262"/>
      <c r="T32" s="262"/>
      <c r="U32" s="262"/>
      <c r="V32" s="262"/>
      <c r="W32" s="262"/>
      <c r="X32" s="262"/>
      <c r="Y32" s="262"/>
      <c r="Z32" s="262"/>
      <c r="AA32" s="262"/>
      <c r="AB32" s="262"/>
      <c r="AC32" s="262"/>
      <c r="AD32" s="262"/>
      <c r="AE32" s="262"/>
      <c r="AF32" s="262"/>
    </row>
    <row r="33" spans="1:32" ht="151.5" hidden="1" customHeight="1">
      <c r="A33" s="416">
        <f t="shared" si="0"/>
        <v>27</v>
      </c>
      <c r="B33" s="273" t="s">
        <v>78</v>
      </c>
      <c r="C33" s="272" t="str">
        <f>IF(ISTEXT(B33),VLOOKUP(B33,'Listas y tablas'!$Q$3:$R$18,2,FALSE),"")</f>
        <v>Estructurar, adelantar, orientar y acompañar la gestión precontractual, contractual y post-contractual de conformidad con las disposiciones legales vigentes, con el fin de aportar al cumplimiento de la misión institucional.</v>
      </c>
      <c r="D33" s="417" t="s">
        <v>101</v>
      </c>
      <c r="E33" s="273" t="s">
        <v>102</v>
      </c>
      <c r="F33" s="273" t="s">
        <v>184</v>
      </c>
      <c r="G33" s="273" t="s">
        <v>185</v>
      </c>
      <c r="H33" s="310" t="s">
        <v>186</v>
      </c>
      <c r="I33" s="422" t="s">
        <v>106</v>
      </c>
      <c r="J33" s="422"/>
      <c r="K33" s="422"/>
      <c r="L33" s="422"/>
      <c r="M33" s="324" t="str">
        <f t="shared" si="1"/>
        <v>Gestión</v>
      </c>
      <c r="N33" s="334"/>
      <c r="O33" s="262"/>
      <c r="P33" s="262"/>
      <c r="Q33" s="262"/>
      <c r="R33" s="262"/>
      <c r="S33" s="262"/>
      <c r="T33" s="262"/>
      <c r="U33" s="262"/>
      <c r="V33" s="262"/>
      <c r="W33" s="262"/>
      <c r="X33" s="262"/>
      <c r="Y33" s="262"/>
      <c r="Z33" s="262"/>
      <c r="AA33" s="262"/>
      <c r="AB33" s="262"/>
      <c r="AC33" s="262"/>
      <c r="AD33" s="262"/>
      <c r="AE33" s="262"/>
      <c r="AF33" s="262"/>
    </row>
    <row r="34" spans="1:32" ht="151.5" hidden="1" customHeight="1">
      <c r="A34" s="416">
        <f t="shared" si="0"/>
        <v>28</v>
      </c>
      <c r="B34" s="273" t="s">
        <v>80</v>
      </c>
      <c r="C34" s="272" t="str">
        <f>IF(ISTEXT(B34),VLOOKUP(B34,'Listas y tablas'!$Q$3:$R$18,2,FALSE),"")</f>
        <v>Administrar el Talento Humano del IDPC, para apalancar el logro de los objetivos institucionales definidos por la alta dirección a través de la gestión de los procesos de ingreso, permanencia y retiro de los servidores, de acuerdo con la normatividad vigente.</v>
      </c>
      <c r="D34" s="417" t="s">
        <v>101</v>
      </c>
      <c r="E34" s="273" t="s">
        <v>102</v>
      </c>
      <c r="F34" s="273" t="s">
        <v>187</v>
      </c>
      <c r="G34" s="273" t="s">
        <v>188</v>
      </c>
      <c r="H34" s="310" t="s">
        <v>189</v>
      </c>
      <c r="I34" s="422" t="s">
        <v>106</v>
      </c>
      <c r="J34" s="422" t="s">
        <v>106</v>
      </c>
      <c r="K34" s="422" t="s">
        <v>106</v>
      </c>
      <c r="L34" s="422" t="s">
        <v>106</v>
      </c>
      <c r="M34" s="324" t="str">
        <f t="shared" si="1"/>
        <v>Corrupción</v>
      </c>
      <c r="N34" s="334"/>
      <c r="O34" s="262"/>
      <c r="P34" s="262"/>
      <c r="Q34" s="262"/>
      <c r="R34" s="262"/>
      <c r="S34" s="262"/>
      <c r="T34" s="262"/>
      <c r="U34" s="262"/>
      <c r="V34" s="262"/>
      <c r="W34" s="262"/>
      <c r="X34" s="262"/>
      <c r="Y34" s="262"/>
      <c r="Z34" s="262"/>
      <c r="AA34" s="262"/>
      <c r="AB34" s="262"/>
      <c r="AC34" s="262"/>
      <c r="AD34" s="262"/>
      <c r="AE34" s="262"/>
      <c r="AF34" s="262"/>
    </row>
    <row r="35" spans="1:32" ht="151.5" hidden="1" customHeight="1">
      <c r="A35" s="416">
        <f t="shared" si="0"/>
        <v>29</v>
      </c>
      <c r="B35" s="273" t="s">
        <v>80</v>
      </c>
      <c r="C35" s="272" t="str">
        <f>IF(ISTEXT(B35),VLOOKUP(B35,'Listas y tablas'!$Q$3:$R$18,2,FALSE),"")</f>
        <v>Administrar el Talento Humano del IDPC, para apalancar el logro de los objetivos institucionales definidos por la alta dirección a través de la gestión de los procesos de ingreso, permanencia y retiro de los servidores, de acuerdo con la normatividad vigente.</v>
      </c>
      <c r="D35" s="417" t="s">
        <v>101</v>
      </c>
      <c r="E35" s="273" t="s">
        <v>102</v>
      </c>
      <c r="F35" s="273" t="s">
        <v>190</v>
      </c>
      <c r="G35" s="273" t="s">
        <v>191</v>
      </c>
      <c r="H35" s="310" t="s">
        <v>192</v>
      </c>
      <c r="I35" s="422" t="s">
        <v>106</v>
      </c>
      <c r="J35" s="422"/>
      <c r="K35" s="422"/>
      <c r="L35" s="422"/>
      <c r="M35" s="324" t="str">
        <f t="shared" si="1"/>
        <v>Gestión</v>
      </c>
      <c r="N35" s="334"/>
      <c r="O35" s="262"/>
      <c r="P35" s="262"/>
      <c r="Q35" s="262"/>
      <c r="R35" s="262"/>
      <c r="S35" s="262"/>
      <c r="T35" s="262"/>
      <c r="U35" s="262"/>
      <c r="V35" s="262"/>
      <c r="W35" s="262"/>
      <c r="X35" s="262"/>
      <c r="Y35" s="262"/>
      <c r="Z35" s="262"/>
      <c r="AA35" s="262"/>
      <c r="AB35" s="262"/>
      <c r="AC35" s="262"/>
      <c r="AD35" s="262"/>
      <c r="AE35" s="262"/>
      <c r="AF35" s="262"/>
    </row>
    <row r="36" spans="1:32" ht="151.5" hidden="1" customHeight="1">
      <c r="A36" s="416">
        <f t="shared" si="0"/>
        <v>30</v>
      </c>
      <c r="B36" s="273" t="s">
        <v>81</v>
      </c>
      <c r="C36" s="272" t="str">
        <f>IF(ISTEXT(B36),VLOOKUP(B36,'Listas y tablas'!$Q$3:$R$18,2,FALSE),"")</f>
        <v>Gestionar, implementar y orientar las actividades administrativas, técnicas y tecnológicas propias de la gestión documental a través de la administración, manejo y organización de la información con el propósito de garantizar la consulta y la conservación de la memoria institucional en la entidad</v>
      </c>
      <c r="D36" s="417" t="s">
        <v>101</v>
      </c>
      <c r="E36" s="273" t="s">
        <v>119</v>
      </c>
      <c r="F36" s="273" t="s">
        <v>193</v>
      </c>
      <c r="G36" s="273" t="s">
        <v>194</v>
      </c>
      <c r="H36" s="310" t="s">
        <v>195</v>
      </c>
      <c r="I36" s="422" t="s">
        <v>196</v>
      </c>
      <c r="J36" s="422"/>
      <c r="K36" s="422"/>
      <c r="L36" s="422"/>
      <c r="M36" s="324" t="str">
        <f t="shared" si="1"/>
        <v>Gestión</v>
      </c>
      <c r="N36" s="334"/>
      <c r="O36" s="262"/>
      <c r="P36" s="262"/>
      <c r="Q36" s="262"/>
      <c r="R36" s="262"/>
      <c r="S36" s="262"/>
      <c r="T36" s="262"/>
      <c r="U36" s="262"/>
      <c r="V36" s="262"/>
      <c r="W36" s="262"/>
      <c r="X36" s="262"/>
      <c r="Y36" s="262"/>
      <c r="Z36" s="262"/>
      <c r="AA36" s="262"/>
      <c r="AB36" s="262"/>
      <c r="AC36" s="262"/>
      <c r="AD36" s="262"/>
      <c r="AE36" s="262"/>
      <c r="AF36" s="262"/>
    </row>
    <row r="37" spans="1:32" ht="151.5" hidden="1" customHeight="1">
      <c r="A37" s="416">
        <f t="shared" si="0"/>
        <v>31</v>
      </c>
      <c r="B37" s="273" t="s">
        <v>81</v>
      </c>
      <c r="C37" s="272" t="str">
        <f>IF(ISTEXT(B37),VLOOKUP(B37,'Listas y tablas'!$Q$3:$R$18,2,FALSE),"")</f>
        <v>Gestionar, implementar y orientar las actividades administrativas, técnicas y tecnológicas propias de la gestión documental a través de la administración, manejo y organización de la información con el propósito de garantizar la consulta y la conservación de la memoria institucional en la entidad</v>
      </c>
      <c r="D37" s="417" t="s">
        <v>101</v>
      </c>
      <c r="E37" s="273" t="s">
        <v>119</v>
      </c>
      <c r="F37" s="273" t="s">
        <v>197</v>
      </c>
      <c r="G37" s="273" t="s">
        <v>198</v>
      </c>
      <c r="H37" s="310" t="s">
        <v>199</v>
      </c>
      <c r="I37" s="422" t="s">
        <v>106</v>
      </c>
      <c r="J37" s="422"/>
      <c r="K37" s="422"/>
      <c r="L37" s="422"/>
      <c r="M37" s="324" t="str">
        <f t="shared" si="1"/>
        <v>Gestión</v>
      </c>
      <c r="N37" s="334"/>
      <c r="O37" s="262"/>
      <c r="P37" s="262"/>
      <c r="Q37" s="262"/>
      <c r="R37" s="262"/>
      <c r="S37" s="262"/>
      <c r="T37" s="262"/>
      <c r="U37" s="262"/>
      <c r="V37" s="262"/>
      <c r="W37" s="262"/>
      <c r="X37" s="262"/>
      <c r="Y37" s="262"/>
      <c r="Z37" s="262"/>
      <c r="AA37" s="262"/>
      <c r="AB37" s="262"/>
      <c r="AC37" s="262"/>
      <c r="AD37" s="262"/>
      <c r="AE37" s="262"/>
      <c r="AF37" s="262"/>
    </row>
    <row r="38" spans="1:32" ht="151.5" hidden="1" customHeight="1">
      <c r="A38" s="416">
        <f t="shared" si="0"/>
        <v>32</v>
      </c>
      <c r="B38" s="273" t="s">
        <v>81</v>
      </c>
      <c r="C38" s="272" t="str">
        <f>IF(ISTEXT(B38),VLOOKUP(B38,'Listas y tablas'!$Q$3:$R$18,2,FALSE),"")</f>
        <v>Gestionar, implementar y orientar las actividades administrativas, técnicas y tecnológicas propias de la gestión documental a través de la administración, manejo y organización de la información con el propósito de garantizar la consulta y la conservación de la memoria institucional en la entidad</v>
      </c>
      <c r="D38" s="417" t="s">
        <v>101</v>
      </c>
      <c r="E38" s="273" t="s">
        <v>119</v>
      </c>
      <c r="F38" s="273" t="s">
        <v>200</v>
      </c>
      <c r="G38" s="273" t="s">
        <v>201</v>
      </c>
      <c r="H38" s="310" t="s">
        <v>202</v>
      </c>
      <c r="I38" s="422" t="s">
        <v>196</v>
      </c>
      <c r="J38" s="422" t="s">
        <v>196</v>
      </c>
      <c r="K38" s="422" t="s">
        <v>196</v>
      </c>
      <c r="L38" s="422" t="s">
        <v>196</v>
      </c>
      <c r="M38" s="324" t="str">
        <f t="shared" si="1"/>
        <v>Corrupción</v>
      </c>
      <c r="N38" s="334"/>
      <c r="O38" s="262"/>
      <c r="P38" s="262"/>
      <c r="Q38" s="262"/>
      <c r="R38" s="262"/>
      <c r="S38" s="262"/>
      <c r="T38" s="262"/>
      <c r="U38" s="262"/>
      <c r="V38" s="262"/>
      <c r="W38" s="262"/>
      <c r="X38" s="262"/>
      <c r="Y38" s="262"/>
      <c r="Z38" s="262"/>
      <c r="AA38" s="262"/>
      <c r="AB38" s="262"/>
      <c r="AC38" s="262"/>
      <c r="AD38" s="262"/>
      <c r="AE38" s="262"/>
      <c r="AF38" s="262"/>
    </row>
    <row r="39" spans="1:32" ht="151.5" hidden="1" customHeight="1">
      <c r="A39" s="416">
        <f t="shared" si="0"/>
        <v>33</v>
      </c>
      <c r="B39" s="273" t="s">
        <v>81</v>
      </c>
      <c r="C39" s="272" t="str">
        <f>IF(ISTEXT(B39),VLOOKUP(B39,'Listas y tablas'!$Q$3:$R$18,2,FALSE),"")</f>
        <v>Gestionar, implementar y orientar las actividades administrativas, técnicas y tecnológicas propias de la gestión documental a través de la administración, manejo y organización de la información con el propósito de garantizar la consulta y la conservación de la memoria institucional en la entidad</v>
      </c>
      <c r="D39" s="417" t="s">
        <v>101</v>
      </c>
      <c r="E39" s="273" t="s">
        <v>119</v>
      </c>
      <c r="F39" s="273" t="s">
        <v>203</v>
      </c>
      <c r="G39" s="273" t="s">
        <v>204</v>
      </c>
      <c r="H39" s="310" t="s">
        <v>205</v>
      </c>
      <c r="I39" s="422" t="s">
        <v>196</v>
      </c>
      <c r="J39" s="422"/>
      <c r="K39" s="422"/>
      <c r="L39" s="422"/>
      <c r="M39" s="324" t="str">
        <f t="shared" si="1"/>
        <v>Gestión</v>
      </c>
      <c r="N39" s="334"/>
      <c r="O39" s="262"/>
      <c r="P39" s="262"/>
      <c r="Q39" s="262"/>
      <c r="R39" s="262"/>
      <c r="S39" s="262"/>
      <c r="T39" s="262"/>
      <c r="U39" s="262"/>
      <c r="V39" s="262"/>
      <c r="W39" s="262"/>
      <c r="X39" s="262"/>
      <c r="Y39" s="262"/>
      <c r="Z39" s="262"/>
      <c r="AA39" s="262"/>
      <c r="AB39" s="262"/>
      <c r="AC39" s="262"/>
      <c r="AD39" s="262"/>
      <c r="AE39" s="262"/>
      <c r="AF39" s="262"/>
    </row>
    <row r="40" spans="1:32" ht="151.5" hidden="1" customHeight="1">
      <c r="A40" s="416">
        <f t="shared" si="0"/>
        <v>34</v>
      </c>
      <c r="B40" s="273" t="s">
        <v>82</v>
      </c>
      <c r="C40" s="272" t="str">
        <f>IF(ISTEXT(B40),VLOOKUP(B40,'Listas y tablas'!$Q$3:$R$18,2,FALSE),"")</f>
        <v>Administrar y controlar los recursos financieros asignados y generados por el Instituto Distrital de Patrimonio Cultural, con el fin de realizar una adecuada gestión de los recursos financieros, que permitan el cumplimiento oportuno de los objetivos misionales conforme al marco legal vigente.</v>
      </c>
      <c r="D40" s="417" t="s">
        <v>101</v>
      </c>
      <c r="E40" s="273" t="s">
        <v>119</v>
      </c>
      <c r="F40" s="273" t="s">
        <v>206</v>
      </c>
      <c r="G40" s="273" t="s">
        <v>207</v>
      </c>
      <c r="H40" s="310" t="s">
        <v>208</v>
      </c>
      <c r="I40" s="422" t="s">
        <v>106</v>
      </c>
      <c r="J40" s="422"/>
      <c r="K40" s="422"/>
      <c r="L40" s="422"/>
      <c r="M40" s="324" t="str">
        <f t="shared" si="1"/>
        <v>Gestión</v>
      </c>
      <c r="N40" s="334"/>
      <c r="O40" s="262"/>
      <c r="P40" s="262"/>
      <c r="Q40" s="262"/>
      <c r="R40" s="262"/>
      <c r="S40" s="262"/>
      <c r="T40" s="262"/>
      <c r="U40" s="262"/>
      <c r="V40" s="262"/>
      <c r="W40" s="262"/>
      <c r="X40" s="262"/>
      <c r="Y40" s="262"/>
      <c r="Z40" s="262"/>
      <c r="AA40" s="262"/>
      <c r="AB40" s="262"/>
      <c r="AC40" s="262"/>
      <c r="AD40" s="262"/>
      <c r="AE40" s="262"/>
      <c r="AF40" s="262"/>
    </row>
    <row r="41" spans="1:32" ht="151.5" hidden="1" customHeight="1">
      <c r="A41" s="416">
        <f t="shared" si="0"/>
        <v>35</v>
      </c>
      <c r="B41" s="273" t="s">
        <v>82</v>
      </c>
      <c r="C41" s="272" t="str">
        <f>IF(ISTEXT(B41),VLOOKUP(B41,'Listas y tablas'!$Q$3:$R$18,2,FALSE),"")</f>
        <v>Administrar y controlar los recursos financieros asignados y generados por el Instituto Distrital de Patrimonio Cultural, con el fin de realizar una adecuada gestión de los recursos financieros, que permitan el cumplimiento oportuno de los objetivos misionales conforme al marco legal vigente.</v>
      </c>
      <c r="D41" s="417" t="s">
        <v>101</v>
      </c>
      <c r="E41" s="273" t="s">
        <v>102</v>
      </c>
      <c r="F41" s="273" t="s">
        <v>209</v>
      </c>
      <c r="G41" s="273" t="s">
        <v>210</v>
      </c>
      <c r="H41" s="310" t="s">
        <v>211</v>
      </c>
      <c r="I41" s="422" t="s">
        <v>106</v>
      </c>
      <c r="J41" s="422"/>
      <c r="K41" s="422"/>
      <c r="L41" s="422"/>
      <c r="M41" s="324" t="str">
        <f t="shared" si="1"/>
        <v>Gestión</v>
      </c>
      <c r="N41" s="334"/>
      <c r="O41" s="262"/>
      <c r="P41" s="262"/>
      <c r="Q41" s="262"/>
      <c r="R41" s="262"/>
      <c r="S41" s="262"/>
      <c r="T41" s="262"/>
      <c r="U41" s="262"/>
      <c r="V41" s="262"/>
      <c r="W41" s="262"/>
      <c r="X41" s="262"/>
      <c r="Y41" s="262"/>
      <c r="Z41" s="262"/>
      <c r="AA41" s="262"/>
      <c r="AB41" s="262"/>
      <c r="AC41" s="262"/>
      <c r="AD41" s="262"/>
      <c r="AE41" s="262"/>
      <c r="AF41" s="262"/>
    </row>
    <row r="42" spans="1:32" ht="151.5" hidden="1" customHeight="1">
      <c r="A42" s="416">
        <f t="shared" si="0"/>
        <v>36</v>
      </c>
      <c r="B42" s="273" t="s">
        <v>82</v>
      </c>
      <c r="C42" s="272" t="str">
        <f>IF(ISTEXT(B42),VLOOKUP(B42,'Listas y tablas'!$Q$3:$R$18,2,FALSE),"")</f>
        <v>Administrar y controlar los recursos financieros asignados y generados por el Instituto Distrital de Patrimonio Cultural, con el fin de realizar una adecuada gestión de los recursos financieros, que permitan el cumplimiento oportuno de los objetivos misionales conforme al marco legal vigente.</v>
      </c>
      <c r="D42" s="417" t="s">
        <v>101</v>
      </c>
      <c r="E42" s="273" t="s">
        <v>102</v>
      </c>
      <c r="F42" s="273" t="s">
        <v>212</v>
      </c>
      <c r="G42" s="273" t="s">
        <v>213</v>
      </c>
      <c r="H42" s="310" t="s">
        <v>214</v>
      </c>
      <c r="I42" s="422" t="s">
        <v>106</v>
      </c>
      <c r="J42" s="422"/>
      <c r="K42" s="422"/>
      <c r="L42" s="422"/>
      <c r="M42" s="324" t="str">
        <f t="shared" si="1"/>
        <v>Gestión</v>
      </c>
      <c r="N42" s="334"/>
      <c r="O42" s="262"/>
      <c r="P42" s="262"/>
      <c r="Q42" s="262"/>
      <c r="R42" s="262"/>
      <c r="S42" s="262"/>
      <c r="T42" s="262"/>
      <c r="U42" s="262"/>
      <c r="V42" s="262"/>
      <c r="W42" s="262"/>
      <c r="X42" s="262"/>
      <c r="Y42" s="262"/>
      <c r="Z42" s="262"/>
      <c r="AA42" s="262"/>
      <c r="AB42" s="262"/>
      <c r="AC42" s="262"/>
      <c r="AD42" s="262"/>
      <c r="AE42" s="262"/>
      <c r="AF42" s="262"/>
    </row>
    <row r="43" spans="1:32" ht="151.5" hidden="1" customHeight="1">
      <c r="A43" s="416">
        <f t="shared" si="0"/>
        <v>37</v>
      </c>
      <c r="B43" s="273" t="s">
        <v>82</v>
      </c>
      <c r="C43" s="272" t="str">
        <f>IF(ISTEXT(B43),VLOOKUP(B43,'Listas y tablas'!$Q$3:$R$18,2,FALSE),"")</f>
        <v>Administrar y controlar los recursos financieros asignados y generados por el Instituto Distrital de Patrimonio Cultural, con el fin de realizar una adecuada gestión de los recursos financieros, que permitan el cumplimiento oportuno de los objetivos misionales conforme al marco legal vigente.</v>
      </c>
      <c r="D43" s="417" t="s">
        <v>101</v>
      </c>
      <c r="E43" s="273" t="s">
        <v>102</v>
      </c>
      <c r="F43" s="273" t="s">
        <v>215</v>
      </c>
      <c r="G43" s="273" t="s">
        <v>216</v>
      </c>
      <c r="H43" s="310" t="s">
        <v>217</v>
      </c>
      <c r="I43" s="422" t="s">
        <v>106</v>
      </c>
      <c r="J43" s="422" t="s">
        <v>106</v>
      </c>
      <c r="K43" s="422" t="s">
        <v>106</v>
      </c>
      <c r="L43" s="422" t="s">
        <v>106</v>
      </c>
      <c r="M43" s="324" t="str">
        <f t="shared" si="1"/>
        <v>Corrupción</v>
      </c>
      <c r="N43" s="334"/>
      <c r="O43" s="262"/>
      <c r="P43" s="262"/>
      <c r="Q43" s="262"/>
      <c r="R43" s="262"/>
      <c r="S43" s="262"/>
      <c r="T43" s="262"/>
      <c r="U43" s="262"/>
      <c r="V43" s="262"/>
      <c r="W43" s="262"/>
      <c r="X43" s="262"/>
      <c r="Y43" s="262"/>
      <c r="Z43" s="262"/>
      <c r="AA43" s="262"/>
      <c r="AB43" s="262"/>
      <c r="AC43" s="262"/>
      <c r="AD43" s="262"/>
      <c r="AE43" s="262"/>
      <c r="AF43" s="262"/>
    </row>
    <row r="44" spans="1:32" ht="151.5" hidden="1" customHeight="1">
      <c r="A44" s="416">
        <f t="shared" si="0"/>
        <v>38</v>
      </c>
      <c r="B44" s="273" t="s">
        <v>83</v>
      </c>
      <c r="C44" s="272" t="str">
        <f>IF(ISTEXT(B44),VLOOKUP(B44,'Listas y tablas'!$Q$3:$R$18,2,FALSE),"")</f>
        <v>Realizar asesoría Jurídica y representación Judicial a través del ejercicio de la actividad jurídica, para apoyar el desarrollo y fortalecimiento de los procesos institucionales y prevenir la ocurrencia del daño antijurídico.</v>
      </c>
      <c r="D44" s="417" t="s">
        <v>101</v>
      </c>
      <c r="E44" s="273" t="s">
        <v>102</v>
      </c>
      <c r="F44" s="273" t="s">
        <v>218</v>
      </c>
      <c r="G44" s="273" t="s">
        <v>219</v>
      </c>
      <c r="H44" s="310" t="s">
        <v>220</v>
      </c>
      <c r="I44" s="422" t="s">
        <v>106</v>
      </c>
      <c r="J44" s="422"/>
      <c r="K44" s="422"/>
      <c r="L44" s="422"/>
      <c r="M44" s="324" t="str">
        <f t="shared" si="1"/>
        <v>Gestión</v>
      </c>
      <c r="N44" s="334"/>
      <c r="O44" s="262"/>
      <c r="P44" s="262"/>
      <c r="Q44" s="262"/>
      <c r="R44" s="262"/>
      <c r="S44" s="262"/>
      <c r="T44" s="262"/>
      <c r="U44" s="262"/>
      <c r="V44" s="262"/>
      <c r="W44" s="262"/>
      <c r="X44" s="262"/>
      <c r="Y44" s="262"/>
      <c r="Z44" s="262"/>
      <c r="AA44" s="262"/>
      <c r="AB44" s="262"/>
      <c r="AC44" s="262"/>
      <c r="AD44" s="262"/>
      <c r="AE44" s="262"/>
      <c r="AF44" s="262"/>
    </row>
    <row r="45" spans="1:32" ht="151.5" hidden="1" customHeight="1">
      <c r="A45" s="416">
        <f t="shared" si="0"/>
        <v>39</v>
      </c>
      <c r="B45" s="273" t="s">
        <v>83</v>
      </c>
      <c r="C45" s="272" t="str">
        <f>IF(ISTEXT(B45),VLOOKUP(B45,'Listas y tablas'!$Q$3:$R$18,2,FALSE),"")</f>
        <v>Realizar asesoría Jurídica y representación Judicial a través del ejercicio de la actividad jurídica, para apoyar el desarrollo y fortalecimiento de los procesos institucionales y prevenir la ocurrencia del daño antijurídico.</v>
      </c>
      <c r="D45" s="417" t="s">
        <v>101</v>
      </c>
      <c r="E45" s="273" t="s">
        <v>119</v>
      </c>
      <c r="F45" s="273" t="s">
        <v>221</v>
      </c>
      <c r="G45" s="273" t="s">
        <v>222</v>
      </c>
      <c r="H45" s="310" t="s">
        <v>223</v>
      </c>
      <c r="I45" s="422" t="s">
        <v>106</v>
      </c>
      <c r="J45" s="422"/>
      <c r="K45" s="422"/>
      <c r="L45" s="422"/>
      <c r="M45" s="324" t="str">
        <f t="shared" si="1"/>
        <v>Gestión</v>
      </c>
      <c r="N45" s="334"/>
      <c r="O45" s="262"/>
      <c r="P45" s="262"/>
      <c r="Q45" s="262"/>
      <c r="R45" s="262"/>
      <c r="S45" s="262"/>
      <c r="T45" s="262"/>
      <c r="U45" s="262"/>
      <c r="V45" s="262"/>
      <c r="W45" s="262"/>
      <c r="X45" s="262"/>
      <c r="Y45" s="262"/>
      <c r="Z45" s="262"/>
      <c r="AA45" s="262"/>
      <c r="AB45" s="262"/>
      <c r="AC45" s="262"/>
      <c r="AD45" s="262"/>
      <c r="AE45" s="262"/>
      <c r="AF45" s="262"/>
    </row>
    <row r="46" spans="1:32" ht="151.5" hidden="1" customHeight="1">
      <c r="A46" s="416">
        <f t="shared" si="0"/>
        <v>40</v>
      </c>
      <c r="B46" s="273" t="s">
        <v>83</v>
      </c>
      <c r="C46" s="272" t="str">
        <f>IF(ISTEXT(B46),VLOOKUP(B46,'Listas y tablas'!$Q$3:$R$18,2,FALSE),"")</f>
        <v>Realizar asesoría Jurídica y representación Judicial a través del ejercicio de la actividad jurídica, para apoyar el desarrollo y fortalecimiento de los procesos institucionales y prevenir la ocurrencia del daño antijurídico.</v>
      </c>
      <c r="D46" s="417" t="s">
        <v>101</v>
      </c>
      <c r="E46" s="273" t="s">
        <v>102</v>
      </c>
      <c r="F46" s="273" t="s">
        <v>224</v>
      </c>
      <c r="G46" s="273" t="s">
        <v>225</v>
      </c>
      <c r="H46" s="310" t="s">
        <v>226</v>
      </c>
      <c r="I46" s="422" t="s">
        <v>196</v>
      </c>
      <c r="J46" s="422" t="s">
        <v>196</v>
      </c>
      <c r="K46" s="422" t="s">
        <v>196</v>
      </c>
      <c r="L46" s="422" t="s">
        <v>196</v>
      </c>
      <c r="M46" s="324" t="str">
        <f t="shared" si="1"/>
        <v>Corrupción</v>
      </c>
      <c r="N46" s="334"/>
      <c r="O46" s="262"/>
      <c r="P46" s="262"/>
      <c r="Q46" s="262"/>
      <c r="R46" s="262"/>
      <c r="S46" s="262"/>
      <c r="T46" s="262"/>
      <c r="U46" s="262"/>
      <c r="V46" s="262"/>
      <c r="W46" s="262"/>
      <c r="X46" s="262"/>
      <c r="Y46" s="262"/>
      <c r="Z46" s="262"/>
      <c r="AA46" s="262"/>
      <c r="AB46" s="262"/>
      <c r="AC46" s="262"/>
      <c r="AD46" s="262"/>
      <c r="AE46" s="262"/>
      <c r="AF46" s="262"/>
    </row>
    <row r="47" spans="1:32" ht="181.5" customHeight="1">
      <c r="A47" s="416">
        <f t="shared" si="0"/>
        <v>41</v>
      </c>
      <c r="B47" s="273" t="s">
        <v>84</v>
      </c>
      <c r="C47" s="272" t="str">
        <f>IF(ISTEXT(B47),VLOOKUP(B47,'Listas y tablas'!$Q$3:$R$18,2,FALSE),"")</f>
        <v>Formular, gestionar y orientar actuaciones en el territorio que permitan la protección, conservación y sostenibilidad del patrimonio cultural y natural del Distrito Capital.</v>
      </c>
      <c r="D47" s="417" t="s">
        <v>227</v>
      </c>
      <c r="E47" s="273" t="s">
        <v>119</v>
      </c>
      <c r="F47" s="273" t="s">
        <v>228</v>
      </c>
      <c r="G47" s="273" t="s">
        <v>229</v>
      </c>
      <c r="H47" s="273" t="s">
        <v>230</v>
      </c>
      <c r="I47" s="422" t="s">
        <v>106</v>
      </c>
      <c r="J47" s="422"/>
      <c r="K47" s="422"/>
      <c r="L47" s="422"/>
      <c r="M47" s="324" t="str">
        <f t="shared" si="1"/>
        <v>Gestión</v>
      </c>
      <c r="N47" s="334"/>
      <c r="O47" s="262"/>
      <c r="P47" s="262"/>
      <c r="Q47" s="262"/>
      <c r="R47" s="262"/>
      <c r="S47" s="262"/>
      <c r="T47" s="262"/>
      <c r="U47" s="262"/>
      <c r="V47" s="262"/>
      <c r="W47" s="262"/>
      <c r="X47" s="262"/>
      <c r="Y47" s="262"/>
      <c r="Z47" s="262"/>
      <c r="AA47" s="262"/>
      <c r="AB47" s="262"/>
      <c r="AC47" s="262"/>
      <c r="AD47" s="262"/>
      <c r="AE47" s="262"/>
      <c r="AF47" s="262"/>
    </row>
    <row r="48" spans="1:32" ht="21" customHeight="1">
      <c r="A48" s="416">
        <f t="shared" si="0"/>
        <v>42</v>
      </c>
      <c r="B48" s="273" t="s">
        <v>84</v>
      </c>
      <c r="C48" s="272" t="str">
        <f>IF(ISTEXT(B48),VLOOKUP(B48,'Listas y tablas'!$Q$3:$R$18,2,FALSE),"")</f>
        <v>Formular, gestionar y orientar actuaciones en el territorio que permitan la protección, conservación y sostenibilidad del patrimonio cultural y natural del Distrito Capital.</v>
      </c>
      <c r="D48" s="417" t="s">
        <v>227</v>
      </c>
      <c r="E48" s="273" t="s">
        <v>119</v>
      </c>
      <c r="F48" s="420"/>
      <c r="G48" s="420"/>
      <c r="H48" s="420"/>
      <c r="I48" s="422"/>
      <c r="J48" s="422"/>
      <c r="K48" s="422"/>
      <c r="L48" s="422"/>
      <c r="M48" s="324" t="str">
        <f t="shared" si="1"/>
        <v/>
      </c>
      <c r="N48" s="334"/>
      <c r="O48" s="262"/>
      <c r="P48" s="262"/>
      <c r="Q48" s="262"/>
      <c r="R48" s="262"/>
      <c r="S48" s="262"/>
      <c r="T48" s="262"/>
      <c r="U48" s="262"/>
      <c r="V48" s="262"/>
      <c r="W48" s="262"/>
      <c r="X48" s="262"/>
      <c r="Y48" s="262"/>
      <c r="Z48" s="262"/>
      <c r="AA48" s="262"/>
      <c r="AB48" s="262"/>
      <c r="AC48" s="262"/>
      <c r="AD48" s="262"/>
      <c r="AE48" s="262"/>
      <c r="AF48" s="262"/>
    </row>
    <row r="49" spans="1:32" ht="151.5" customHeight="1">
      <c r="A49" s="416">
        <f>+IF(ISTEXT(B49),A48+1,"")</f>
        <v>43</v>
      </c>
      <c r="B49" s="273" t="s">
        <v>84</v>
      </c>
      <c r="C49" s="272" t="str">
        <f>IF(ISTEXT(B49),VLOOKUP(B49,'Listas y tablas'!$Q$3:$R$18,2,FALSE),"")</f>
        <v>Formular, gestionar y orientar actuaciones en el territorio que permitan la protección, conservación y sostenibilidad del patrimonio cultural y natural del Distrito Capital.</v>
      </c>
      <c r="D49" s="417" t="s">
        <v>227</v>
      </c>
      <c r="E49" s="273" t="s">
        <v>119</v>
      </c>
      <c r="F49" s="273" t="s">
        <v>231</v>
      </c>
      <c r="G49" s="273" t="s">
        <v>232</v>
      </c>
      <c r="H49" s="417" t="s">
        <v>233</v>
      </c>
      <c r="I49" s="422" t="s">
        <v>106</v>
      </c>
      <c r="J49" s="422"/>
      <c r="K49" s="422"/>
      <c r="L49" s="422"/>
      <c r="M49" s="324" t="str">
        <f t="shared" si="1"/>
        <v>Gestión</v>
      </c>
      <c r="N49" s="334"/>
      <c r="O49" s="262"/>
      <c r="P49" s="262"/>
      <c r="Q49" s="262"/>
      <c r="R49" s="262"/>
      <c r="S49" s="262"/>
      <c r="T49" s="262"/>
      <c r="U49" s="262"/>
      <c r="V49" s="262"/>
      <c r="W49" s="262"/>
      <c r="X49" s="262"/>
      <c r="Y49" s="262"/>
      <c r="Z49" s="262"/>
      <c r="AA49" s="262"/>
      <c r="AB49" s="262"/>
      <c r="AC49" s="262"/>
      <c r="AD49" s="262"/>
      <c r="AE49" s="262"/>
      <c r="AF49" s="262"/>
    </row>
    <row r="50" spans="1:32" ht="151.5" customHeight="1">
      <c r="A50" s="416">
        <f t="shared" si="0"/>
        <v>44</v>
      </c>
      <c r="B50" s="273" t="s">
        <v>84</v>
      </c>
      <c r="C50" s="272" t="str">
        <f>IF(ISTEXT(B50),VLOOKUP(B50,'Listas y tablas'!$Q$3:$R$18,2,FALSE),"")</f>
        <v>Formular, gestionar y orientar actuaciones en el territorio que permitan la protección, conservación y sostenibilidad del patrimonio cultural y natural del Distrito Capital.</v>
      </c>
      <c r="D50" s="417" t="s">
        <v>227</v>
      </c>
      <c r="E50" s="273" t="s">
        <v>119</v>
      </c>
      <c r="F50" s="273" t="s">
        <v>234</v>
      </c>
      <c r="G50" s="273" t="s">
        <v>235</v>
      </c>
      <c r="H50" s="417" t="s">
        <v>236</v>
      </c>
      <c r="I50" s="422" t="s">
        <v>106</v>
      </c>
      <c r="J50" s="422"/>
      <c r="K50" s="422"/>
      <c r="L50" s="422"/>
      <c r="M50" s="324" t="str">
        <f t="shared" si="1"/>
        <v>Gestión</v>
      </c>
      <c r="N50" s="334"/>
      <c r="O50" s="262"/>
      <c r="P50" s="262"/>
      <c r="Q50" s="262"/>
      <c r="R50" s="262"/>
      <c r="S50" s="262"/>
      <c r="T50" s="262"/>
      <c r="U50" s="262"/>
      <c r="V50" s="262"/>
      <c r="W50" s="262"/>
      <c r="X50" s="262"/>
      <c r="Y50" s="262"/>
      <c r="Z50" s="262"/>
      <c r="AA50" s="262"/>
      <c r="AB50" s="262"/>
      <c r="AC50" s="262"/>
      <c r="AD50" s="262"/>
      <c r="AE50" s="262"/>
      <c r="AF50" s="262"/>
    </row>
    <row r="51" spans="1:32" ht="151.5" customHeight="1">
      <c r="A51" s="416"/>
      <c r="B51" s="273"/>
      <c r="C51" s="272"/>
      <c r="D51" s="417"/>
      <c r="E51" s="273"/>
      <c r="F51" s="310"/>
      <c r="G51" s="310"/>
      <c r="H51" s="310"/>
      <c r="I51" s="895"/>
      <c r="J51" s="895"/>
      <c r="K51" s="895"/>
      <c r="L51" s="422"/>
      <c r="M51" s="324" t="str">
        <f t="shared" si="1"/>
        <v/>
      </c>
      <c r="N51" s="334"/>
      <c r="O51" s="262"/>
      <c r="P51" s="262"/>
      <c r="Q51" s="262"/>
      <c r="R51" s="262"/>
      <c r="S51" s="262"/>
      <c r="T51" s="262"/>
      <c r="U51" s="262"/>
      <c r="V51" s="262"/>
      <c r="W51" s="262"/>
      <c r="X51" s="262"/>
      <c r="Y51" s="262"/>
      <c r="Z51" s="262"/>
      <c r="AA51" s="262"/>
      <c r="AB51" s="262"/>
      <c r="AC51" s="262"/>
      <c r="AD51" s="262"/>
      <c r="AE51" s="262"/>
      <c r="AF51" s="262"/>
    </row>
    <row r="52" spans="1:32" ht="151.5" hidden="1" customHeight="1">
      <c r="A52" s="416">
        <f t="shared" si="0"/>
        <v>1</v>
      </c>
      <c r="B52" s="273" t="s">
        <v>77</v>
      </c>
      <c r="C52" s="272" t="str">
        <f>IF(ISTEXT(B52),VLOOKUP(B52,'Listas y tablas'!$Q$3:$R$18,2,FALSE),"")</f>
        <v>Orientar, articular y coordinar la sostenibilidad y mejora continua del Sistema de Gestión y Control del IDPC, así como la implementación de nuevas políticas de gestión y desempeño bajo el referente del Modelo Integrado de Planeación y Gestión - MIPG, a través de la asesoría, acompañamiento, formulación y monitoreo de los lineamientos, metodologías y/o instrumentos de gestión aplicables a los procesos, con el propósito de fortalecer la gestión y desempeño del Instituto.</v>
      </c>
      <c r="D52" s="417" t="s">
        <v>101</v>
      </c>
      <c r="E52" s="273" t="s">
        <v>119</v>
      </c>
      <c r="F52" s="273" t="s">
        <v>237</v>
      </c>
      <c r="G52" s="273" t="s">
        <v>238</v>
      </c>
      <c r="H52" s="310" t="s">
        <v>239</v>
      </c>
      <c r="I52" s="422" t="s">
        <v>106</v>
      </c>
      <c r="J52" s="422"/>
      <c r="K52" s="422"/>
      <c r="L52" s="422"/>
      <c r="M52" s="324" t="str">
        <f t="shared" si="1"/>
        <v>Gestión</v>
      </c>
      <c r="N52" s="334"/>
      <c r="O52" s="262"/>
      <c r="P52" s="262"/>
      <c r="Q52" s="262"/>
      <c r="R52" s="262"/>
      <c r="S52" s="262"/>
      <c r="T52" s="262"/>
      <c r="U52" s="262"/>
      <c r="V52" s="262"/>
      <c r="W52" s="262"/>
      <c r="X52" s="262"/>
      <c r="Y52" s="262"/>
      <c r="Z52" s="262"/>
      <c r="AA52" s="262"/>
      <c r="AB52" s="262"/>
      <c r="AC52" s="262"/>
      <c r="AD52" s="262"/>
      <c r="AE52" s="262"/>
      <c r="AF52" s="262"/>
    </row>
    <row r="53" spans="1:32" ht="151.5" hidden="1" customHeight="1">
      <c r="A53" s="416">
        <f t="shared" si="0"/>
        <v>2</v>
      </c>
      <c r="B53" s="273" t="s">
        <v>77</v>
      </c>
      <c r="C53" s="272" t="str">
        <f>IF(ISTEXT(B53),VLOOKUP(B53,'Listas y tablas'!$Q$3:$R$18,2,FALSE),"")</f>
        <v>Orientar, articular y coordinar la sostenibilidad y mejora continua del Sistema de Gestión y Control del IDPC, así como la implementación de nuevas políticas de gestión y desempeño bajo el referente del Modelo Integrado de Planeación y Gestión - MIPG, a través de la asesoría, acompañamiento, formulación y monitoreo de los lineamientos, metodologías y/o instrumentos de gestión aplicables a los procesos, con el propósito de fortalecer la gestión y desempeño del Instituto.</v>
      </c>
      <c r="D53" s="417" t="s">
        <v>101</v>
      </c>
      <c r="E53" s="273" t="s">
        <v>119</v>
      </c>
      <c r="F53" s="273" t="s">
        <v>240</v>
      </c>
      <c r="G53" s="273" t="s">
        <v>241</v>
      </c>
      <c r="H53" s="310" t="s">
        <v>242</v>
      </c>
      <c r="I53" s="422" t="s">
        <v>106</v>
      </c>
      <c r="J53" s="422"/>
      <c r="K53" s="422"/>
      <c r="L53" s="422"/>
      <c r="M53" s="324" t="str">
        <f t="shared" si="1"/>
        <v>Gestión</v>
      </c>
      <c r="N53" s="334"/>
      <c r="O53" s="262"/>
      <c r="P53" s="262"/>
      <c r="Q53" s="262"/>
      <c r="R53" s="262"/>
      <c r="S53" s="262"/>
      <c r="T53" s="262"/>
      <c r="U53" s="262"/>
      <c r="V53" s="262"/>
      <c r="W53" s="262"/>
      <c r="X53" s="262"/>
      <c r="Y53" s="262"/>
      <c r="Z53" s="262"/>
      <c r="AA53" s="262"/>
      <c r="AB53" s="262"/>
      <c r="AC53" s="262"/>
      <c r="AD53" s="262"/>
      <c r="AE53" s="262"/>
      <c r="AF53" s="262"/>
    </row>
    <row r="54" spans="1:32" ht="151.5" hidden="1" customHeight="1">
      <c r="A54" s="416">
        <f t="shared" si="0"/>
        <v>3</v>
      </c>
      <c r="B54" s="273" t="s">
        <v>77</v>
      </c>
      <c r="C54" s="272" t="str">
        <f>IF(ISTEXT(B54),VLOOKUP(B54,'Listas y tablas'!$Q$3:$R$18,2,FALSE),"")</f>
        <v>Orientar, articular y coordinar la sostenibilidad y mejora continua del Sistema de Gestión y Control del IDPC, así como la implementación de nuevas políticas de gestión y desempeño bajo el referente del Modelo Integrado de Planeación y Gestión - MIPG, a través de la asesoría, acompañamiento, formulación y monitoreo de los lineamientos, metodologías y/o instrumentos de gestión aplicables a los procesos, con el propósito de fortalecer la gestión y desempeño del Instituto.</v>
      </c>
      <c r="D54" s="417" t="s">
        <v>101</v>
      </c>
      <c r="E54" s="273" t="s">
        <v>102</v>
      </c>
      <c r="F54" s="273" t="s">
        <v>243</v>
      </c>
      <c r="G54" s="273" t="s">
        <v>244</v>
      </c>
      <c r="H54" s="310" t="s">
        <v>245</v>
      </c>
      <c r="I54" s="422" t="s">
        <v>106</v>
      </c>
      <c r="J54" s="422"/>
      <c r="K54" s="422"/>
      <c r="L54" s="422"/>
      <c r="M54" s="324" t="str">
        <f t="shared" si="1"/>
        <v>Gestión</v>
      </c>
      <c r="N54" s="334"/>
      <c r="O54" s="262"/>
      <c r="P54" s="262"/>
      <c r="Q54" s="262"/>
      <c r="R54" s="262"/>
      <c r="S54" s="262"/>
      <c r="T54" s="262"/>
      <c r="U54" s="262"/>
      <c r="V54" s="262"/>
      <c r="W54" s="262"/>
      <c r="X54" s="262"/>
      <c r="Y54" s="262"/>
      <c r="Z54" s="262"/>
      <c r="AA54" s="262"/>
      <c r="AB54" s="262"/>
      <c r="AC54" s="262"/>
      <c r="AD54" s="262"/>
      <c r="AE54" s="262"/>
      <c r="AF54" s="262"/>
    </row>
    <row r="55" spans="1:32" ht="151.5" hidden="1" customHeight="1">
      <c r="A55" s="416">
        <f t="shared" si="0"/>
        <v>4</v>
      </c>
      <c r="B55" s="273" t="s">
        <v>77</v>
      </c>
      <c r="C55" s="272" t="str">
        <f>IF(ISTEXT(B55),VLOOKUP(B55,'Listas y tablas'!$Q$3:$R$18,2,FALSE),"")</f>
        <v>Orientar, articular y coordinar la sostenibilidad y mejora continua del Sistema de Gestión y Control del IDPC, así como la implementación de nuevas políticas de gestión y desempeño bajo el referente del Modelo Integrado de Planeación y Gestión - MIPG, a través de la asesoría, acompañamiento, formulación y monitoreo de los lineamientos, metodologías y/o instrumentos de gestión aplicables a los procesos, con el propósito de fortalecer la gestión y desempeño del Instituto.</v>
      </c>
      <c r="D55" s="417" t="s">
        <v>101</v>
      </c>
      <c r="E55" s="273" t="s">
        <v>102</v>
      </c>
      <c r="F55" s="273" t="s">
        <v>246</v>
      </c>
      <c r="G55" s="273" t="s">
        <v>247</v>
      </c>
      <c r="H55" s="310" t="s">
        <v>248</v>
      </c>
      <c r="I55" s="422" t="s">
        <v>106</v>
      </c>
      <c r="J55" s="422"/>
      <c r="K55" s="422"/>
      <c r="L55" s="422"/>
      <c r="M55" s="324" t="str">
        <f t="shared" si="1"/>
        <v>Gestión</v>
      </c>
      <c r="N55" s="334"/>
      <c r="O55" s="262"/>
      <c r="P55" s="262"/>
      <c r="Q55" s="262"/>
      <c r="R55" s="262"/>
      <c r="S55" s="262"/>
      <c r="T55" s="262"/>
      <c r="U55" s="262"/>
      <c r="V55" s="262"/>
      <c r="W55" s="262"/>
      <c r="X55" s="262"/>
      <c r="Y55" s="262"/>
      <c r="Z55" s="262"/>
      <c r="AA55" s="262"/>
      <c r="AB55" s="262"/>
      <c r="AC55" s="262"/>
      <c r="AD55" s="262"/>
      <c r="AE55" s="262"/>
      <c r="AF55" s="262"/>
    </row>
    <row r="56" spans="1:32" ht="151.5" hidden="1" customHeight="1">
      <c r="A56" s="416">
        <f t="shared" si="0"/>
        <v>5</v>
      </c>
      <c r="B56" s="273" t="s">
        <v>77</v>
      </c>
      <c r="C56" s="272" t="str">
        <f>IF(ISTEXT(B56),VLOOKUP(B56,'Listas y tablas'!$Q$3:$R$18,2,FALSE),"")</f>
        <v>Orientar, articular y coordinar la sostenibilidad y mejora continua del Sistema de Gestión y Control del IDPC, así como la implementación de nuevas políticas de gestión y desempeño bajo el referente del Modelo Integrado de Planeación y Gestión - MIPG, a través de la asesoría, acompañamiento, formulación y monitoreo de los lineamientos, metodologías y/o instrumentos de gestión aplicables a los procesos, con el propósito de fortalecer la gestión y desempeño del Instituto.</v>
      </c>
      <c r="D56" s="417" t="s">
        <v>101</v>
      </c>
      <c r="E56" s="273" t="s">
        <v>102</v>
      </c>
      <c r="F56" s="273" t="s">
        <v>249</v>
      </c>
      <c r="G56" s="273" t="s">
        <v>250</v>
      </c>
      <c r="H56" s="310" t="s">
        <v>251</v>
      </c>
      <c r="I56" s="422" t="s">
        <v>106</v>
      </c>
      <c r="J56" s="422"/>
      <c r="K56" s="422"/>
      <c r="L56" s="422"/>
      <c r="M56" s="324" t="str">
        <f t="shared" si="1"/>
        <v>Gestión</v>
      </c>
      <c r="N56" s="334"/>
      <c r="O56" s="262"/>
      <c r="P56" s="262"/>
      <c r="Q56" s="262"/>
      <c r="R56" s="262"/>
      <c r="S56" s="262"/>
      <c r="T56" s="262"/>
      <c r="U56" s="262"/>
      <c r="V56" s="262"/>
      <c r="W56" s="262"/>
      <c r="X56" s="262"/>
      <c r="Y56" s="262"/>
      <c r="Z56" s="262"/>
      <c r="AA56" s="262"/>
      <c r="AB56" s="262"/>
      <c r="AC56" s="262"/>
      <c r="AD56" s="262"/>
      <c r="AE56" s="262"/>
      <c r="AF56" s="262"/>
    </row>
    <row r="57" spans="1:32" ht="151.5" hidden="1" customHeight="1">
      <c r="A57" s="416">
        <f t="shared" si="0"/>
        <v>6</v>
      </c>
      <c r="B57" s="273" t="s">
        <v>85</v>
      </c>
      <c r="C57" s="272" t="str">
        <f>IF(ISTEXT(B57),VLOOKUP(B57,'Listas y tablas'!$Q$3:$R$18,2,FALSE),"")</f>
        <v>Realizar acciones de protección, conservación, recuperación de los Bienes de interés cultural a través de la evaluación técnica de los proyectos de intervención a cargo del Instituto Distrital del Patrimonio Cultural o terceros, la intervenciones directas a los BIC, el estudio de valores patrimoniales de los inmuebles del ámbito Distrital, el control urbano, la promoción de declaratorias de BIC de acuerdo con la normatividad vigente</v>
      </c>
      <c r="D57" s="417" t="s">
        <v>252</v>
      </c>
      <c r="E57" s="273" t="s">
        <v>119</v>
      </c>
      <c r="F57" s="273" t="s">
        <v>253</v>
      </c>
      <c r="G57" s="273" t="s">
        <v>254</v>
      </c>
      <c r="H57" s="310" t="s">
        <v>255</v>
      </c>
      <c r="I57" s="422" t="s">
        <v>106</v>
      </c>
      <c r="J57" s="422"/>
      <c r="K57" s="422"/>
      <c r="L57" s="422"/>
      <c r="M57" s="324" t="str">
        <f t="shared" si="1"/>
        <v>Gestión</v>
      </c>
      <c r="N57" s="334"/>
      <c r="O57" s="262"/>
      <c r="P57" s="262"/>
      <c r="Q57" s="262"/>
      <c r="R57" s="262"/>
      <c r="S57" s="262"/>
      <c r="T57" s="262"/>
      <c r="U57" s="262"/>
      <c r="V57" s="262"/>
      <c r="W57" s="262"/>
      <c r="X57" s="262"/>
      <c r="Y57" s="262"/>
      <c r="Z57" s="262"/>
      <c r="AA57" s="262"/>
      <c r="AB57" s="262"/>
      <c r="AC57" s="262"/>
      <c r="AD57" s="262"/>
      <c r="AE57" s="262"/>
      <c r="AF57" s="262"/>
    </row>
    <row r="58" spans="1:32" ht="151.5" hidden="1" customHeight="1">
      <c r="A58" s="416">
        <f t="shared" si="0"/>
        <v>7</v>
      </c>
      <c r="B58" s="273" t="s">
        <v>85</v>
      </c>
      <c r="C58" s="272" t="str">
        <f>IF(ISTEXT(B58),VLOOKUP(B58,'Listas y tablas'!$Q$3:$R$18,2,FALSE),"")</f>
        <v>Realizar acciones de protección, conservación, recuperación de los Bienes de interés cultural a través de la evaluación técnica de los proyectos de intervención a cargo del Instituto Distrital del Patrimonio Cultural o terceros, la intervenciones directas a los BIC, el estudio de valores patrimoniales de los inmuebles del ámbito Distrital, el control urbano, la promoción de declaratorias de BIC de acuerdo con la normatividad vigente</v>
      </c>
      <c r="D58" s="417" t="s">
        <v>252</v>
      </c>
      <c r="E58" s="273" t="s">
        <v>119</v>
      </c>
      <c r="F58" s="273" t="s">
        <v>256</v>
      </c>
      <c r="G58" s="273" t="s">
        <v>257</v>
      </c>
      <c r="H58" s="310" t="s">
        <v>258</v>
      </c>
      <c r="I58" s="422" t="s">
        <v>106</v>
      </c>
      <c r="J58" s="422"/>
      <c r="K58" s="422"/>
      <c r="L58" s="422"/>
      <c r="M58" s="324" t="str">
        <f t="shared" si="1"/>
        <v>Gestión</v>
      </c>
      <c r="N58" s="334"/>
      <c r="O58" s="262"/>
      <c r="P58" s="262"/>
      <c r="Q58" s="262"/>
      <c r="R58" s="262"/>
      <c r="S58" s="262"/>
      <c r="T58" s="262"/>
      <c r="U58" s="262"/>
      <c r="V58" s="262"/>
      <c r="W58" s="262"/>
      <c r="X58" s="262"/>
      <c r="Y58" s="262"/>
      <c r="Z58" s="262"/>
      <c r="AA58" s="262"/>
      <c r="AB58" s="262"/>
      <c r="AC58" s="262"/>
      <c r="AD58" s="262"/>
      <c r="AE58" s="262"/>
      <c r="AF58" s="262"/>
    </row>
    <row r="59" spans="1:32" ht="151.5" hidden="1" customHeight="1">
      <c r="A59" s="416">
        <f t="shared" si="0"/>
        <v>8</v>
      </c>
      <c r="B59" s="273" t="s">
        <v>85</v>
      </c>
      <c r="C59" s="272" t="str">
        <f>IF(ISTEXT(B59),VLOOKUP(B59,'Listas y tablas'!$Q$3:$R$18,2,FALSE),"")</f>
        <v>Realizar acciones de protección, conservación, recuperación de los Bienes de interés cultural a través de la evaluación técnica de los proyectos de intervención a cargo del Instituto Distrital del Patrimonio Cultural o terceros, la intervenciones directas a los BIC, el estudio de valores patrimoniales de los inmuebles del ámbito Distrital, el control urbano, la promoción de declaratorias de BIC de acuerdo con la normatividad vigente</v>
      </c>
      <c r="D59" s="417" t="s">
        <v>252</v>
      </c>
      <c r="E59" s="273" t="s">
        <v>119</v>
      </c>
      <c r="F59" s="273" t="s">
        <v>259</v>
      </c>
      <c r="G59" s="273" t="s">
        <v>260</v>
      </c>
      <c r="H59" s="310" t="s">
        <v>261</v>
      </c>
      <c r="I59" s="422" t="s">
        <v>106</v>
      </c>
      <c r="J59" s="422"/>
      <c r="K59" s="422"/>
      <c r="L59" s="422"/>
      <c r="M59" s="324" t="str">
        <f t="shared" si="1"/>
        <v>Gestión</v>
      </c>
      <c r="N59" s="334"/>
      <c r="O59" s="262"/>
      <c r="P59" s="262"/>
      <c r="Q59" s="262"/>
      <c r="R59" s="262"/>
      <c r="S59" s="262"/>
      <c r="T59" s="262"/>
      <c r="U59" s="262"/>
      <c r="V59" s="262"/>
      <c r="W59" s="262"/>
      <c r="X59" s="262"/>
      <c r="Y59" s="262"/>
      <c r="Z59" s="262"/>
      <c r="AA59" s="262"/>
      <c r="AB59" s="262"/>
      <c r="AC59" s="262"/>
      <c r="AD59" s="262"/>
      <c r="AE59" s="262"/>
      <c r="AF59" s="262"/>
    </row>
    <row r="60" spans="1:32" ht="151.5" hidden="1" customHeight="1">
      <c r="A60" s="416">
        <f t="shared" si="0"/>
        <v>9</v>
      </c>
      <c r="B60" s="273" t="s">
        <v>85</v>
      </c>
      <c r="C60" s="272" t="str">
        <f>IF(ISTEXT(B60),VLOOKUP(B60,'Listas y tablas'!$Q$3:$R$18,2,FALSE),"")</f>
        <v>Realizar acciones de protección, conservación, recuperación de los Bienes de interés cultural a través de la evaluación técnica de los proyectos de intervención a cargo del Instituto Distrital del Patrimonio Cultural o terceros, la intervenciones directas a los BIC, el estudio de valores patrimoniales de los inmuebles del ámbito Distrital, el control urbano, la promoción de declaratorias de BIC de acuerdo con la normatividad vigente</v>
      </c>
      <c r="D60" s="417" t="s">
        <v>252</v>
      </c>
      <c r="E60" s="273" t="s">
        <v>119</v>
      </c>
      <c r="F60" s="273" t="s">
        <v>262</v>
      </c>
      <c r="G60" s="273" t="s">
        <v>263</v>
      </c>
      <c r="H60" s="310" t="s">
        <v>264</v>
      </c>
      <c r="I60" s="284" t="s">
        <v>106</v>
      </c>
      <c r="J60" s="284"/>
      <c r="K60" s="284"/>
      <c r="L60" s="284"/>
      <c r="M60" s="324" t="str">
        <f t="shared" si="1"/>
        <v>Gestión</v>
      </c>
    </row>
    <row r="61" spans="1:32" ht="151.5" hidden="1" customHeight="1">
      <c r="A61" s="416">
        <f t="shared" si="0"/>
        <v>10</v>
      </c>
      <c r="B61" s="273" t="s">
        <v>85</v>
      </c>
      <c r="C61" s="272" t="str">
        <f>IF(ISTEXT(B61),VLOOKUP(B61,'Listas y tablas'!$Q$3:$R$18,2,FALSE),"")</f>
        <v>Realizar acciones de protección, conservación, recuperación de los Bienes de interés cultural a través de la evaluación técnica de los proyectos de intervención a cargo del Instituto Distrital del Patrimonio Cultural o terceros, la intervenciones directas a los BIC, el estudio de valores patrimoniales de los inmuebles del ámbito Distrital, el control urbano, la promoción de declaratorias de BIC de acuerdo con la normatividad vigente</v>
      </c>
      <c r="D61" s="417" t="s">
        <v>252</v>
      </c>
      <c r="E61" s="273" t="s">
        <v>102</v>
      </c>
      <c r="F61" s="273" t="s">
        <v>265</v>
      </c>
      <c r="G61" s="273" t="s">
        <v>266</v>
      </c>
      <c r="H61" s="310" t="s">
        <v>267</v>
      </c>
      <c r="I61" s="284" t="s">
        <v>106</v>
      </c>
      <c r="J61" s="284"/>
      <c r="K61" s="284"/>
      <c r="L61" s="284"/>
      <c r="M61" s="324" t="str">
        <f t="shared" si="1"/>
        <v>Gestión</v>
      </c>
    </row>
    <row r="62" spans="1:32" ht="151.5" hidden="1" customHeight="1">
      <c r="A62" s="416">
        <f t="shared" si="0"/>
        <v>11</v>
      </c>
      <c r="B62" s="273" t="s">
        <v>85</v>
      </c>
      <c r="C62" s="272" t="str">
        <f>IF(ISTEXT(B62),VLOOKUP(B62,'Listas y tablas'!$Q$3:$R$18,2,FALSE),"")</f>
        <v>Realizar acciones de protección, conservación, recuperación de los Bienes de interés cultural a través de la evaluación técnica de los proyectos de intervención a cargo del Instituto Distrital del Patrimonio Cultural o terceros, la intervenciones directas a los BIC, el estudio de valores patrimoniales de los inmuebles del ámbito Distrital, el control urbano, la promoción de declaratorias de BIC de acuerdo con la normatividad vigente</v>
      </c>
      <c r="D62" s="417" t="s">
        <v>252</v>
      </c>
      <c r="E62" s="273" t="s">
        <v>102</v>
      </c>
      <c r="F62" s="273" t="s">
        <v>268</v>
      </c>
      <c r="G62" s="273" t="s">
        <v>269</v>
      </c>
      <c r="H62" s="310" t="s">
        <v>270</v>
      </c>
      <c r="I62" s="284" t="s">
        <v>106</v>
      </c>
      <c r="J62" s="284" t="s">
        <v>106</v>
      </c>
      <c r="K62" s="284" t="s">
        <v>106</v>
      </c>
      <c r="L62" s="284" t="s">
        <v>106</v>
      </c>
      <c r="M62" s="324" t="str">
        <f t="shared" si="1"/>
        <v>Corrupción</v>
      </c>
    </row>
    <row r="63" spans="1:32" ht="151.5" hidden="1" customHeight="1">
      <c r="A63" s="416">
        <f t="shared" si="0"/>
        <v>12</v>
      </c>
      <c r="B63" s="273" t="s">
        <v>85</v>
      </c>
      <c r="C63" s="272" t="str">
        <f>IF(ISTEXT(B63),VLOOKUP(B63,'Listas y tablas'!$Q$3:$R$18,2,FALSE),"")</f>
        <v>Realizar acciones de protección, conservación, recuperación de los Bienes de interés cultural a través de la evaluación técnica de los proyectos de intervención a cargo del Instituto Distrital del Patrimonio Cultural o terceros, la intervenciones directas a los BIC, el estudio de valores patrimoniales de los inmuebles del ámbito Distrital, el control urbano, la promoción de declaratorias de BIC de acuerdo con la normatividad vigente</v>
      </c>
      <c r="D63" s="417" t="s">
        <v>252</v>
      </c>
      <c r="E63" s="273" t="s">
        <v>119</v>
      </c>
      <c r="F63" s="273" t="s">
        <v>268</v>
      </c>
      <c r="G63" s="273" t="s">
        <v>269</v>
      </c>
      <c r="H63" s="310" t="s">
        <v>271</v>
      </c>
      <c r="I63" s="284" t="s">
        <v>106</v>
      </c>
      <c r="J63" s="284" t="s">
        <v>106</v>
      </c>
      <c r="K63" s="284" t="s">
        <v>106</v>
      </c>
      <c r="L63" s="284" t="s">
        <v>106</v>
      </c>
      <c r="M63" s="324" t="str">
        <f t="shared" si="1"/>
        <v>Corrupción</v>
      </c>
    </row>
    <row r="64" spans="1:32" ht="151.5" hidden="1" customHeight="1">
      <c r="A64" s="416">
        <f t="shared" si="0"/>
        <v>13</v>
      </c>
      <c r="B64" s="273" t="s">
        <v>85</v>
      </c>
      <c r="C64" s="272" t="str">
        <f>IF(ISTEXT(B64),VLOOKUP(B64,'Listas y tablas'!$Q$3:$R$18,2,FALSE),"")</f>
        <v>Realizar acciones de protección, conservación, recuperación de los Bienes de interés cultural a través de la evaluación técnica de los proyectos de intervención a cargo del Instituto Distrital del Patrimonio Cultural o terceros, la intervenciones directas a los BIC, el estudio de valores patrimoniales de los inmuebles del ámbito Distrital, el control urbano, la promoción de declaratorias de BIC de acuerdo con la normatividad vigente</v>
      </c>
      <c r="D64" s="417" t="s">
        <v>252</v>
      </c>
      <c r="E64" s="273" t="s">
        <v>119</v>
      </c>
      <c r="F64" s="273" t="s">
        <v>268</v>
      </c>
      <c r="G64" s="273" t="s">
        <v>269</v>
      </c>
      <c r="H64" s="310" t="s">
        <v>272</v>
      </c>
      <c r="I64" s="284" t="s">
        <v>106</v>
      </c>
      <c r="J64" s="284" t="s">
        <v>106</v>
      </c>
      <c r="K64" s="284" t="s">
        <v>106</v>
      </c>
      <c r="L64" s="284" t="s">
        <v>106</v>
      </c>
      <c r="M64" s="324" t="str">
        <f t="shared" ref="M64:M84" si="2">+IF(OR(ISTEXT(I64),ISTEXT(J64),ISTEXT(K64),ISTEXT(L64)),IF(AND(I64="X",J64="X",K64="X",L64="X"),"Corrupción","Gestión"),"")</f>
        <v>Corrupción</v>
      </c>
    </row>
    <row r="65" spans="1:13" ht="151.5" hidden="1" customHeight="1">
      <c r="A65" s="416">
        <f t="shared" si="0"/>
        <v>14</v>
      </c>
      <c r="B65" s="273" t="s">
        <v>85</v>
      </c>
      <c r="C65" s="272" t="str">
        <f>IF(ISTEXT(B65),VLOOKUP(B65,'Listas y tablas'!$Q$3:$R$18,2,FALSE),"")</f>
        <v>Realizar acciones de protección, conservación, recuperación de los Bienes de interés cultural a través de la evaluación técnica de los proyectos de intervención a cargo del Instituto Distrital del Patrimonio Cultural o terceros, la intervenciones directas a los BIC, el estudio de valores patrimoniales de los inmuebles del ámbito Distrital, el control urbano, la promoción de declaratorias de BIC de acuerdo con la normatividad vigente</v>
      </c>
      <c r="D65" s="417" t="s">
        <v>252</v>
      </c>
      <c r="E65" s="273" t="s">
        <v>119</v>
      </c>
      <c r="F65" s="273" t="s">
        <v>268</v>
      </c>
      <c r="G65" s="273" t="s">
        <v>269</v>
      </c>
      <c r="H65" s="310" t="s">
        <v>273</v>
      </c>
      <c r="I65" s="284" t="s">
        <v>106</v>
      </c>
      <c r="J65" s="284" t="s">
        <v>106</v>
      </c>
      <c r="K65" s="284" t="s">
        <v>106</v>
      </c>
      <c r="L65" s="284" t="s">
        <v>106</v>
      </c>
      <c r="M65" s="324" t="str">
        <f t="shared" si="2"/>
        <v>Corrupción</v>
      </c>
    </row>
    <row r="66" spans="1:13" ht="151.5" hidden="1" customHeight="1">
      <c r="A66" s="416">
        <f t="shared" si="0"/>
        <v>15</v>
      </c>
      <c r="B66" s="273" t="s">
        <v>85</v>
      </c>
      <c r="C66" s="272" t="str">
        <f>IF(ISTEXT(B66),VLOOKUP(B66,'Listas y tablas'!$Q$3:$R$18,2,FALSE),"")</f>
        <v>Realizar acciones de protección, conservación, recuperación de los Bienes de interés cultural a través de la evaluación técnica de los proyectos de intervención a cargo del Instituto Distrital del Patrimonio Cultural o terceros, la intervenciones directas a los BIC, el estudio de valores patrimoniales de los inmuebles del ámbito Distrital, el control urbano, la promoción de declaratorias de BIC de acuerdo con la normatividad vigente</v>
      </c>
      <c r="D66" s="417" t="s">
        <v>252</v>
      </c>
      <c r="E66" s="273" t="s">
        <v>119</v>
      </c>
      <c r="F66" s="273" t="s">
        <v>268</v>
      </c>
      <c r="G66" s="273" t="s">
        <v>269</v>
      </c>
      <c r="H66" s="310" t="s">
        <v>274</v>
      </c>
      <c r="I66" s="284" t="s">
        <v>106</v>
      </c>
      <c r="J66" s="284" t="s">
        <v>106</v>
      </c>
      <c r="K66" s="284" t="s">
        <v>106</v>
      </c>
      <c r="L66" s="284" t="s">
        <v>106</v>
      </c>
      <c r="M66" s="324" t="str">
        <f t="shared" si="2"/>
        <v>Corrupción</v>
      </c>
    </row>
    <row r="67" spans="1:13" ht="151.5" hidden="1" customHeight="1">
      <c r="A67" s="416">
        <f t="shared" si="0"/>
        <v>16</v>
      </c>
      <c r="B67" s="273" t="s">
        <v>86</v>
      </c>
      <c r="C67" s="272" t="str">
        <f>IF(ISTEXT(B67),VLOOKUP(B67,'Listas y tablas'!$Q$3:$R$18,2,FALSE),"")</f>
        <v>Realizar seguimiento y evaluar la gestión de la entidad y la efectividad del Sistema de Control Interno generando recomendaciones y alertas que contribuyen al mejoramiento del desempeño institucional y al fortalecimiento del control en la entidad.</v>
      </c>
      <c r="D67" s="417" t="s">
        <v>101</v>
      </c>
      <c r="E67" s="273" t="s">
        <v>102</v>
      </c>
      <c r="F67" s="273" t="s">
        <v>275</v>
      </c>
      <c r="G67" s="273" t="s">
        <v>276</v>
      </c>
      <c r="H67" s="310" t="s">
        <v>277</v>
      </c>
      <c r="I67" s="284" t="s">
        <v>106</v>
      </c>
      <c r="J67" s="284"/>
      <c r="K67" s="284"/>
      <c r="L67" s="284"/>
      <c r="M67" s="324" t="str">
        <f t="shared" si="2"/>
        <v>Gestión</v>
      </c>
    </row>
    <row r="68" spans="1:13" ht="151.5" hidden="1" customHeight="1">
      <c r="A68" s="416">
        <f t="shared" si="0"/>
        <v>17</v>
      </c>
      <c r="B68" s="273" t="s">
        <v>86</v>
      </c>
      <c r="C68" s="272" t="str">
        <f>IF(ISTEXT(B68),VLOOKUP(B68,'Listas y tablas'!$Q$3:$R$18,2,FALSE),"")</f>
        <v>Realizar seguimiento y evaluar la gestión de la entidad y la efectividad del Sistema de Control Interno generando recomendaciones y alertas que contribuyen al mejoramiento del desempeño institucional y al fortalecimiento del control en la entidad.</v>
      </c>
      <c r="D68" s="417" t="s">
        <v>101</v>
      </c>
      <c r="E68" s="273" t="s">
        <v>102</v>
      </c>
      <c r="F68" s="273" t="s">
        <v>278</v>
      </c>
      <c r="G68" s="273" t="s">
        <v>279</v>
      </c>
      <c r="H68" s="310" t="s">
        <v>280</v>
      </c>
      <c r="I68" s="284" t="s">
        <v>106</v>
      </c>
      <c r="J68" s="284" t="s">
        <v>106</v>
      </c>
      <c r="K68" s="284" t="s">
        <v>106</v>
      </c>
      <c r="L68" s="284" t="s">
        <v>106</v>
      </c>
      <c r="M68" s="324" t="str">
        <f t="shared" si="2"/>
        <v>Corrupción</v>
      </c>
    </row>
    <row r="69" spans="1:13" ht="151.5" hidden="1" customHeight="1">
      <c r="A69" s="416">
        <f t="shared" si="0"/>
        <v>18</v>
      </c>
      <c r="B69" s="273" t="s">
        <v>86</v>
      </c>
      <c r="C69" s="272" t="str">
        <f>IF(ISTEXT(B69),VLOOKUP(B69,'Listas y tablas'!$Q$3:$R$18,2,FALSE),"")</f>
        <v>Realizar seguimiento y evaluar la gestión de la entidad y la efectividad del Sistema de Control Interno generando recomendaciones y alertas que contribuyen al mejoramiento del desempeño institucional y al fortalecimiento del control en la entidad.</v>
      </c>
      <c r="D69" s="417" t="s">
        <v>101</v>
      </c>
      <c r="E69" s="273" t="s">
        <v>119</v>
      </c>
      <c r="F69" s="273" t="s">
        <v>281</v>
      </c>
      <c r="G69" s="273" t="s">
        <v>282</v>
      </c>
      <c r="H69" s="310" t="s">
        <v>283</v>
      </c>
      <c r="I69" s="284" t="s">
        <v>106</v>
      </c>
      <c r="J69" s="284"/>
      <c r="K69" s="284"/>
      <c r="L69" s="284"/>
      <c r="M69" s="324" t="str">
        <f t="shared" si="2"/>
        <v>Gestión</v>
      </c>
    </row>
    <row r="70" spans="1:13" ht="151.5" hidden="1" customHeight="1">
      <c r="A70" s="416" t="str">
        <f t="shared" si="0"/>
        <v/>
      </c>
      <c r="B70" s="273"/>
      <c r="C70" s="272" t="str">
        <f>IF(ISTEXT(B70),VLOOKUP(B70,'Listas y tablas'!$Q$3:$R$18,2,FALSE),"")</f>
        <v/>
      </c>
      <c r="D70" s="417"/>
      <c r="E70" s="273"/>
      <c r="F70" s="273"/>
      <c r="G70" s="273"/>
      <c r="H70" s="310"/>
      <c r="I70" s="284"/>
      <c r="J70" s="284"/>
      <c r="K70" s="284"/>
      <c r="L70" s="284"/>
      <c r="M70" s="324" t="str">
        <f t="shared" si="2"/>
        <v/>
      </c>
    </row>
    <row r="71" spans="1:13" ht="151.5" hidden="1" customHeight="1">
      <c r="A71" s="416" t="str">
        <f t="shared" si="0"/>
        <v/>
      </c>
      <c r="B71" s="273"/>
      <c r="C71" s="272" t="str">
        <f>IF(ISTEXT(B71),VLOOKUP(B71,'Listas y tablas'!$Q$3:$R$18,2,FALSE),"")</f>
        <v/>
      </c>
      <c r="D71" s="417"/>
      <c r="E71" s="273"/>
      <c r="F71" s="273"/>
      <c r="G71" s="273"/>
      <c r="H71" s="310"/>
      <c r="I71" s="284"/>
      <c r="J71" s="284"/>
      <c r="K71" s="284"/>
      <c r="L71" s="284"/>
      <c r="M71" s="324" t="str">
        <f t="shared" si="2"/>
        <v/>
      </c>
    </row>
    <row r="72" spans="1:13" ht="151.5" hidden="1" customHeight="1">
      <c r="A72" s="416" t="str">
        <f t="shared" si="0"/>
        <v/>
      </c>
      <c r="B72" s="273"/>
      <c r="C72" s="272" t="str">
        <f>IF(ISTEXT(B72),VLOOKUP(B72,'Listas y tablas'!$Q$3:$R$18,2,FALSE),"")</f>
        <v/>
      </c>
      <c r="D72" s="417"/>
      <c r="E72" s="273"/>
      <c r="F72" s="273"/>
      <c r="G72" s="273"/>
      <c r="H72" s="310"/>
      <c r="I72" s="284"/>
      <c r="J72" s="284"/>
      <c r="K72" s="284"/>
      <c r="L72" s="284"/>
      <c r="M72" s="324" t="str">
        <f t="shared" si="2"/>
        <v/>
      </c>
    </row>
    <row r="73" spans="1:13" ht="151.5" hidden="1" customHeight="1">
      <c r="A73" s="416" t="str">
        <f t="shared" ref="A73:A75" si="3">+IF(ISTEXT(B73),A72+1,"")</f>
        <v/>
      </c>
      <c r="B73" s="273"/>
      <c r="C73" s="272" t="str">
        <f>IF(ISTEXT(B73),VLOOKUP(B73,'Listas y tablas'!$Q$3:$R$18,2,FALSE),"")</f>
        <v/>
      </c>
      <c r="D73" s="417"/>
      <c r="E73" s="273"/>
      <c r="F73" s="273"/>
      <c r="G73" s="273"/>
      <c r="H73" s="310"/>
      <c r="I73" s="284"/>
      <c r="J73" s="284"/>
      <c r="K73" s="284"/>
      <c r="L73" s="284"/>
      <c r="M73" s="324" t="str">
        <f t="shared" si="2"/>
        <v/>
      </c>
    </row>
    <row r="74" spans="1:13" ht="151.5" hidden="1" customHeight="1">
      <c r="A74" s="416" t="str">
        <f t="shared" si="3"/>
        <v/>
      </c>
      <c r="B74" s="273"/>
      <c r="C74" s="272" t="str">
        <f>IF(ISTEXT(B74),VLOOKUP(B74,'Listas y tablas'!$Q$3:$R$18,2,FALSE),"")</f>
        <v/>
      </c>
      <c r="D74" s="417"/>
      <c r="E74" s="273"/>
      <c r="F74" s="273"/>
      <c r="G74" s="273"/>
      <c r="H74" s="310"/>
      <c r="I74" s="284"/>
      <c r="J74" s="284"/>
      <c r="K74" s="284"/>
      <c r="L74" s="284"/>
      <c r="M74" s="324" t="str">
        <f t="shared" si="2"/>
        <v/>
      </c>
    </row>
    <row r="75" spans="1:13" ht="151.5" hidden="1" customHeight="1">
      <c r="A75" s="416" t="str">
        <f t="shared" si="3"/>
        <v/>
      </c>
      <c r="B75" s="273"/>
      <c r="C75" s="272" t="str">
        <f>IF(ISTEXT(B75),VLOOKUP(B75,'Listas y tablas'!$Q$3:$R$18,2,FALSE),"")</f>
        <v/>
      </c>
      <c r="D75" s="417"/>
      <c r="E75" s="273"/>
      <c r="F75" s="273"/>
      <c r="G75" s="273"/>
      <c r="H75" s="310"/>
      <c r="I75" s="284"/>
      <c r="J75" s="284"/>
      <c r="K75" s="284"/>
      <c r="L75" s="284"/>
      <c r="M75" s="324" t="str">
        <f t="shared" si="2"/>
        <v/>
      </c>
    </row>
    <row r="76" spans="1:13" ht="151.5" hidden="1" customHeight="1">
      <c r="A76" s="416" t="str">
        <f t="shared" ref="A76:A84" si="4">+IF(ISTEXT(B76),A75+1,"")</f>
        <v/>
      </c>
      <c r="B76" s="273"/>
      <c r="C76" s="272" t="str">
        <f>IF(ISTEXT(B76),VLOOKUP(B76,'Listas y tablas'!$Q$3:$R$18,2,FALSE),"")</f>
        <v/>
      </c>
      <c r="D76" s="417"/>
      <c r="E76" s="273"/>
      <c r="F76" s="273"/>
      <c r="G76" s="273"/>
      <c r="H76" s="310"/>
      <c r="I76" s="284"/>
      <c r="J76" s="284"/>
      <c r="K76" s="284"/>
      <c r="L76" s="284"/>
      <c r="M76" s="324" t="str">
        <f t="shared" si="2"/>
        <v/>
      </c>
    </row>
    <row r="77" spans="1:13" ht="151.5" hidden="1" customHeight="1">
      <c r="A77" s="416" t="str">
        <f t="shared" si="4"/>
        <v/>
      </c>
      <c r="B77" s="273"/>
      <c r="C77" s="272" t="str">
        <f>IF(ISTEXT(B77),VLOOKUP(B77,'Listas y tablas'!$Q$3:$R$18,2,FALSE),"")</f>
        <v/>
      </c>
      <c r="D77" s="417"/>
      <c r="E77" s="273"/>
      <c r="F77" s="273"/>
      <c r="G77" s="273"/>
      <c r="H77" s="310"/>
      <c r="I77" s="284"/>
      <c r="J77" s="284"/>
      <c r="K77" s="284"/>
      <c r="L77" s="284"/>
      <c r="M77" s="324" t="str">
        <f t="shared" si="2"/>
        <v/>
      </c>
    </row>
    <row r="78" spans="1:13" ht="151.5" hidden="1" customHeight="1">
      <c r="A78" s="416" t="str">
        <f t="shared" si="4"/>
        <v/>
      </c>
      <c r="B78" s="273"/>
      <c r="C78" s="272" t="str">
        <f>IF(ISTEXT(B78),VLOOKUP(B78,'Listas y tablas'!$Q$3:$R$18,2,FALSE),"")</f>
        <v/>
      </c>
      <c r="D78" s="417"/>
      <c r="E78" s="273"/>
      <c r="F78" s="273"/>
      <c r="G78" s="273"/>
      <c r="H78" s="310"/>
      <c r="I78" s="284"/>
      <c r="J78" s="284"/>
      <c r="K78" s="284"/>
      <c r="L78" s="284"/>
      <c r="M78" s="324" t="str">
        <f t="shared" si="2"/>
        <v/>
      </c>
    </row>
    <row r="79" spans="1:13" ht="151.5" hidden="1" customHeight="1">
      <c r="A79" s="416" t="str">
        <f t="shared" si="4"/>
        <v/>
      </c>
      <c r="B79" s="273"/>
      <c r="C79" s="272" t="str">
        <f>IF(ISTEXT(B79),VLOOKUP(B79,'Listas y tablas'!$Q$3:$R$18,2,FALSE),"")</f>
        <v/>
      </c>
      <c r="D79" s="417"/>
      <c r="E79" s="273"/>
      <c r="F79" s="273"/>
      <c r="G79" s="273"/>
      <c r="H79" s="310"/>
      <c r="I79" s="284"/>
      <c r="J79" s="284"/>
      <c r="K79" s="284"/>
      <c r="L79" s="284"/>
      <c r="M79" s="324" t="str">
        <f t="shared" si="2"/>
        <v/>
      </c>
    </row>
    <row r="80" spans="1:13" ht="151.5" hidden="1" customHeight="1">
      <c r="A80" s="416" t="str">
        <f t="shared" si="4"/>
        <v/>
      </c>
      <c r="B80" s="273"/>
      <c r="C80" s="272" t="str">
        <f>IF(ISTEXT(B80),VLOOKUP(B80,'Listas y tablas'!$Q$3:$R$18,2,FALSE),"")</f>
        <v/>
      </c>
      <c r="D80" s="417"/>
      <c r="E80" s="273"/>
      <c r="F80" s="273"/>
      <c r="G80" s="273"/>
      <c r="H80" s="310"/>
      <c r="I80" s="284"/>
      <c r="J80" s="284"/>
      <c r="K80" s="284"/>
      <c r="L80" s="284"/>
      <c r="M80" s="324" t="str">
        <f t="shared" si="2"/>
        <v/>
      </c>
    </row>
    <row r="81" spans="1:13" ht="151.5" hidden="1" customHeight="1">
      <c r="A81" s="416" t="str">
        <f t="shared" si="4"/>
        <v/>
      </c>
      <c r="B81" s="273"/>
      <c r="C81" s="272" t="str">
        <f>IF(ISTEXT(B81),VLOOKUP(B81,'Listas y tablas'!$Q$3:$R$18,2,FALSE),"")</f>
        <v/>
      </c>
      <c r="D81" s="417"/>
      <c r="E81" s="273"/>
      <c r="F81" s="273"/>
      <c r="G81" s="273"/>
      <c r="H81" s="310"/>
      <c r="I81" s="284"/>
      <c r="J81" s="284"/>
      <c r="K81" s="284"/>
      <c r="L81" s="284"/>
      <c r="M81" s="324" t="str">
        <f t="shared" si="2"/>
        <v/>
      </c>
    </row>
    <row r="82" spans="1:13" ht="151.5" hidden="1" customHeight="1">
      <c r="A82" s="416" t="str">
        <f t="shared" si="4"/>
        <v/>
      </c>
      <c r="B82" s="273"/>
      <c r="C82" s="272" t="str">
        <f>IF(ISTEXT(B82),VLOOKUP(B82,'Listas y tablas'!$Q$3:$R$18,2,FALSE),"")</f>
        <v/>
      </c>
      <c r="D82" s="417"/>
      <c r="E82" s="273"/>
      <c r="F82" s="273"/>
      <c r="G82" s="273"/>
      <c r="H82" s="310"/>
      <c r="I82" s="284"/>
      <c r="J82" s="284"/>
      <c r="K82" s="284"/>
      <c r="L82" s="284"/>
      <c r="M82" s="324" t="str">
        <f t="shared" si="2"/>
        <v/>
      </c>
    </row>
    <row r="83" spans="1:13" ht="151.5" hidden="1" customHeight="1">
      <c r="A83" s="416" t="str">
        <f t="shared" si="4"/>
        <v/>
      </c>
      <c r="B83" s="273"/>
      <c r="C83" s="272" t="str">
        <f>IF(ISTEXT(B83),VLOOKUP(B83,'Listas y tablas'!$Q$3:$R$18,2,FALSE),"")</f>
        <v/>
      </c>
      <c r="D83" s="417"/>
      <c r="E83" s="273"/>
      <c r="F83" s="273"/>
      <c r="G83" s="273"/>
      <c r="H83" s="310"/>
      <c r="I83" s="284"/>
      <c r="J83" s="284"/>
      <c r="K83" s="284"/>
      <c r="L83" s="284"/>
      <c r="M83" s="324" t="str">
        <f t="shared" si="2"/>
        <v/>
      </c>
    </row>
    <row r="84" spans="1:13" ht="151.5" hidden="1" customHeight="1">
      <c r="A84" s="416" t="str">
        <f t="shared" si="4"/>
        <v/>
      </c>
      <c r="B84" s="273"/>
      <c r="C84" s="272" t="str">
        <f>IF(ISTEXT(B84),VLOOKUP(B84,'Listas y tablas'!$Q$3:$R$18,2,FALSE),"")</f>
        <v/>
      </c>
      <c r="D84" s="417"/>
      <c r="E84" s="273"/>
      <c r="F84" s="273"/>
      <c r="G84" s="273"/>
      <c r="H84" s="310"/>
      <c r="I84" s="284"/>
      <c r="J84" s="284"/>
      <c r="K84" s="284"/>
      <c r="L84" s="284"/>
      <c r="M84" s="324" t="str">
        <f t="shared" si="2"/>
        <v/>
      </c>
    </row>
    <row r="85" spans="1:13" ht="49.5" hidden="1" customHeight="1">
      <c r="A85" s="317"/>
      <c r="B85" s="426"/>
      <c r="C85" s="426"/>
      <c r="D85" s="426"/>
      <c r="E85" s="427" t="s">
        <v>284</v>
      </c>
      <c r="F85" s="428"/>
      <c r="G85" s="428"/>
      <c r="H85" s="418"/>
    </row>
    <row r="87" spans="1:13" ht="198">
      <c r="B87" s="256"/>
      <c r="C87" s="256"/>
      <c r="D87" s="256"/>
      <c r="E87" s="429" t="s">
        <v>285</v>
      </c>
      <c r="F87" s="256"/>
      <c r="G87" s="256"/>
    </row>
  </sheetData>
  <autoFilter ref="A6:AF85">
    <filterColumn colId="1">
      <filters>
        <filter val="Gestión Territorial del Patrimonio"/>
      </filters>
    </filterColumn>
  </autoFilter>
  <mergeCells count="3">
    <mergeCell ref="A4:M4"/>
    <mergeCell ref="I5:M5"/>
    <mergeCell ref="A1:M2"/>
  </mergeCells>
  <pageMargins left="0.70866141732283505" right="0.70866141732283505" top="0.74803149606299202" bottom="0.74803149606299202" header="0.31496062992126" footer="0.31496062992126"/>
  <pageSetup scale="55" orientation="portrait"/>
  <headerFooter>
    <oddFooter>&amp;LVersión 3  02/05/2022</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'Listas y tablas'!$Q$3:$Q$18</xm:f>
          </x14:formula1>
          <xm:sqref>B7:B84</xm:sqref>
        </x14:dataValidation>
        <x14:dataValidation type="list" allowBlank="1" showInputMessage="1" showErrorMessage="1">
          <x14:formula1>
            <xm:f>'Listas y tablas'!$AK$3:$AK$8</xm:f>
          </x14:formula1>
          <xm:sqref>D7:D84</xm:sqref>
        </x14:dataValidation>
        <x14:dataValidation type="list" allowBlank="1" showInputMessage="1" showErrorMessage="1">
          <x14:formula1>
            <xm:f>'Opciones Tratamiento'!$E$2:$E$3</xm:f>
          </x14:formula1>
          <xm:sqref>E7:E84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002060"/>
  </sheetPr>
  <dimension ref="A1:CX96"/>
  <sheetViews>
    <sheetView workbookViewId="0">
      <pane ySplit="61" topLeftCell="A62" activePane="bottomLeft" state="frozen"/>
      <selection pane="bottomLeft" sqref="A1:AE2"/>
    </sheetView>
  </sheetViews>
  <sheetFormatPr baseColWidth="10" defaultColWidth="11.42578125" defaultRowHeight="16.5"/>
  <cols>
    <col min="1" max="1" width="4" style="257" customWidth="1"/>
    <col min="2" max="2" width="25.28515625" style="257" customWidth="1"/>
    <col min="3" max="3" width="29.5703125" style="257" customWidth="1"/>
    <col min="4" max="4" width="49.28515625" style="256" customWidth="1"/>
    <col min="5" max="5" width="17.42578125" style="256" hidden="1" customWidth="1"/>
    <col min="6" max="6" width="17.7109375" style="256" hidden="1" customWidth="1"/>
    <col min="7" max="7" width="12.42578125" style="256" hidden="1" customWidth="1"/>
    <col min="8" max="8" width="16.5703125" style="256" hidden="1" customWidth="1"/>
    <col min="9" max="10" width="25.7109375" style="256" hidden="1" customWidth="1"/>
    <col min="11" max="11" width="10.42578125" style="256" hidden="1" customWidth="1"/>
    <col min="12" max="12" width="8.7109375" style="256" hidden="1" customWidth="1"/>
    <col min="13" max="13" width="10.140625" style="256" hidden="1" customWidth="1"/>
    <col min="14" max="14" width="4" style="256" hidden="1" customWidth="1"/>
    <col min="15" max="15" width="10.5703125" style="256" hidden="1" customWidth="1"/>
    <col min="16" max="16" width="10.7109375" style="256" hidden="1" customWidth="1"/>
    <col min="17" max="17" width="39.42578125" style="256" customWidth="1"/>
    <col min="18" max="18" width="15.140625" style="256" hidden="1" customWidth="1"/>
    <col min="19" max="19" width="6.85546875" style="256" hidden="1" customWidth="1"/>
    <col min="20" max="20" width="5" style="256" hidden="1" customWidth="1"/>
    <col min="21" max="21" width="5.5703125" style="256" hidden="1" customWidth="1"/>
    <col min="22" max="22" width="7.140625" style="256" hidden="1" customWidth="1"/>
    <col min="23" max="23" width="6.7109375" style="256" hidden="1" customWidth="1"/>
    <col min="24" max="24" width="7.5703125" style="256" hidden="1" customWidth="1"/>
    <col min="25" max="25" width="13" style="256" hidden="1" customWidth="1"/>
    <col min="26" max="26" width="8.7109375" style="256" hidden="1" customWidth="1"/>
    <col min="27" max="27" width="10.42578125" style="256" hidden="1" customWidth="1"/>
    <col min="28" max="28" width="9.28515625" style="256" hidden="1" customWidth="1"/>
    <col min="29" max="29" width="11.28515625" style="256" hidden="1" customWidth="1"/>
    <col min="30" max="30" width="8.42578125" style="256" hidden="1" customWidth="1"/>
    <col min="31" max="31" width="7.28515625" style="256" hidden="1" customWidth="1"/>
    <col min="32" max="32" width="44.85546875" style="256" customWidth="1"/>
    <col min="33" max="33" width="23" style="256" customWidth="1"/>
    <col min="34" max="34" width="28" style="256" customWidth="1"/>
    <col min="35" max="35" width="48.28515625" style="256" customWidth="1"/>
    <col min="36" max="36" width="32.7109375" style="256" customWidth="1"/>
    <col min="37" max="37" width="23" style="256" customWidth="1"/>
    <col min="38" max="39" width="14.7109375" style="333" customWidth="1"/>
    <col min="40" max="40" width="42.7109375" style="256" hidden="1" customWidth="1"/>
    <col min="41" max="41" width="25.140625" style="256" hidden="1" customWidth="1"/>
    <col min="42" max="42" width="18.7109375" style="256" hidden="1" customWidth="1"/>
    <col min="43" max="43" width="34.7109375" style="256" hidden="1" customWidth="1"/>
    <col min="44" max="44" width="30.42578125" style="256" hidden="1" customWidth="1"/>
    <col min="45" max="45" width="18.7109375" style="256" hidden="1" customWidth="1"/>
    <col min="46" max="46" width="69.28515625" style="256" customWidth="1"/>
    <col min="47" max="47" width="35.7109375" style="256" customWidth="1"/>
    <col min="48" max="48" width="19.5703125" style="256" customWidth="1"/>
    <col min="49" max="49" width="19.28515625" style="256" customWidth="1"/>
    <col min="50" max="50" width="46" style="256" customWidth="1"/>
    <col min="51" max="51" width="35.7109375" style="256" customWidth="1"/>
    <col min="52" max="52" width="43.5703125" style="256" customWidth="1"/>
    <col min="53" max="53" width="37.140625" style="256" customWidth="1"/>
    <col min="54" max="54" width="48.28515625" style="256" customWidth="1"/>
    <col min="55" max="55" width="44.140625" style="256" customWidth="1"/>
    <col min="56" max="56" width="16.7109375" style="256" customWidth="1"/>
    <col min="57" max="57" width="47.140625" style="256" customWidth="1"/>
    <col min="58" max="61" width="16.7109375" style="256" customWidth="1"/>
    <col min="62" max="62" width="51.140625" style="256" customWidth="1"/>
    <col min="63" max="63" width="17.28515625" style="256" customWidth="1"/>
    <col min="64" max="64" width="15.7109375" style="256" customWidth="1"/>
    <col min="65" max="65" width="56.7109375" style="256" customWidth="1"/>
    <col min="66" max="66" width="35.7109375" style="256" customWidth="1"/>
    <col min="67" max="68" width="11.42578125" style="256"/>
    <col min="69" max="69" width="49" style="256" customWidth="1"/>
    <col min="70" max="70" width="35.7109375" style="256" customWidth="1"/>
    <col min="71" max="71" width="33.85546875" style="256" customWidth="1"/>
    <col min="72" max="72" width="33.7109375" style="256" customWidth="1"/>
    <col min="73" max="73" width="29.7109375" style="256" customWidth="1"/>
    <col min="74" max="74" width="35.7109375" style="256" customWidth="1"/>
    <col min="75" max="75" width="16.7109375" style="256" customWidth="1"/>
    <col min="76" max="76" width="35.7109375" style="256" customWidth="1"/>
    <col min="77" max="80" width="16.7109375" style="256" customWidth="1"/>
    <col min="81" max="81" width="35.7109375" style="256" customWidth="1"/>
    <col min="82" max="83" width="16.7109375" style="256" customWidth="1"/>
    <col min="84" max="85" width="35.7109375" style="256" customWidth="1"/>
    <col min="86" max="87" width="11.42578125" style="256"/>
    <col min="88" max="88" width="35.7109375" style="256" customWidth="1"/>
    <col min="89" max="89" width="19.85546875" style="256" customWidth="1"/>
    <col min="90" max="92" width="16.7109375" style="256" customWidth="1"/>
    <col min="93" max="93" width="35.7109375" style="256" customWidth="1"/>
    <col min="94" max="94" width="16.7109375" style="256" customWidth="1"/>
    <col min="95" max="95" width="35.7109375" style="256" customWidth="1"/>
    <col min="96" max="99" width="16.7109375" style="256" customWidth="1"/>
    <col min="100" max="100" width="35.7109375" style="256" customWidth="1"/>
    <col min="101" max="102" width="16.7109375" style="256" customWidth="1"/>
    <col min="103" max="16384" width="11.42578125" style="256"/>
  </cols>
  <sheetData>
    <row r="1" spans="1:102" ht="23.25" customHeight="1">
      <c r="A1" s="652" t="s">
        <v>286</v>
      </c>
      <c r="B1" s="653"/>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c r="AE1" s="653"/>
      <c r="AF1" s="334"/>
      <c r="AG1" s="334"/>
      <c r="AH1" s="334"/>
    </row>
    <row r="2" spans="1:102" ht="17.25" customHeight="1">
      <c r="A2" s="654"/>
      <c r="B2" s="655"/>
      <c r="C2" s="655"/>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334"/>
      <c r="AG2" s="334"/>
      <c r="AH2" s="334"/>
    </row>
    <row r="3" spans="1:102" ht="33" customHeight="1">
      <c r="A3" s="513" t="s">
        <v>88</v>
      </c>
      <c r="B3" s="513"/>
      <c r="C3" s="513"/>
      <c r="D3" s="513"/>
      <c r="E3" s="511" t="s">
        <v>287</v>
      </c>
      <c r="F3" s="512"/>
      <c r="G3" s="512"/>
      <c r="H3" s="512"/>
      <c r="I3" s="512"/>
      <c r="J3" s="512"/>
      <c r="K3" s="512"/>
      <c r="L3" s="512"/>
      <c r="M3" s="516"/>
      <c r="N3" s="275"/>
      <c r="O3" s="513" t="s">
        <v>288</v>
      </c>
      <c r="P3" s="513"/>
      <c r="Q3" s="513"/>
      <c r="R3" s="513"/>
      <c r="S3" s="513"/>
      <c r="T3" s="513"/>
      <c r="U3" s="513"/>
      <c r="V3" s="513"/>
      <c r="W3" s="513"/>
      <c r="X3" s="513"/>
      <c r="Y3" s="656" t="s">
        <v>289</v>
      </c>
      <c r="Z3" s="657"/>
      <c r="AA3" s="657"/>
      <c r="AB3" s="657"/>
      <c r="AC3" s="657"/>
      <c r="AD3" s="657"/>
      <c r="AE3" s="658"/>
      <c r="AF3" s="662" t="s">
        <v>290</v>
      </c>
      <c r="AG3" s="663"/>
      <c r="AH3" s="664"/>
      <c r="AI3" s="656" t="s">
        <v>291</v>
      </c>
      <c r="AJ3" s="657"/>
      <c r="AK3" s="657"/>
      <c r="AL3" s="657"/>
      <c r="AM3" s="658"/>
      <c r="AN3" s="650" t="s">
        <v>292</v>
      </c>
      <c r="AO3" s="651"/>
      <c r="AP3" s="651"/>
      <c r="AQ3" s="651"/>
      <c r="AR3" s="651"/>
      <c r="AS3" s="651"/>
      <c r="AT3" s="517" t="s">
        <v>293</v>
      </c>
      <c r="AU3" s="518"/>
      <c r="AV3" s="518"/>
      <c r="AW3" s="518"/>
      <c r="AX3" s="518"/>
      <c r="AY3" s="518"/>
      <c r="AZ3" s="518"/>
      <c r="BA3" s="518"/>
      <c r="BB3" s="518"/>
      <c r="BC3" s="518"/>
      <c r="BD3" s="518"/>
      <c r="BE3" s="518"/>
      <c r="BF3" s="518"/>
      <c r="BG3" s="518"/>
      <c r="BH3" s="518"/>
      <c r="BI3" s="518"/>
      <c r="BJ3" s="518"/>
      <c r="BK3" s="519"/>
      <c r="BL3" s="520"/>
      <c r="BM3" s="521" t="s">
        <v>294</v>
      </c>
      <c r="BN3" s="521"/>
      <c r="BO3" s="521"/>
      <c r="BP3" s="521"/>
      <c r="BQ3" s="521"/>
      <c r="BR3" s="521"/>
      <c r="BS3" s="521"/>
      <c r="BT3" s="521"/>
      <c r="BU3" s="521"/>
      <c r="BV3" s="521"/>
      <c r="BW3" s="521"/>
      <c r="BX3" s="521"/>
      <c r="BY3" s="521"/>
      <c r="BZ3" s="521"/>
      <c r="CA3" s="521"/>
      <c r="CB3" s="521"/>
      <c r="CC3" s="521"/>
      <c r="CD3" s="521"/>
      <c r="CE3" s="522"/>
      <c r="CF3" s="523" t="s">
        <v>295</v>
      </c>
      <c r="CG3" s="524"/>
      <c r="CH3" s="524"/>
      <c r="CI3" s="524"/>
      <c r="CJ3" s="524"/>
      <c r="CK3" s="524"/>
      <c r="CL3" s="524"/>
      <c r="CM3" s="524"/>
      <c r="CN3" s="524"/>
      <c r="CO3" s="524"/>
      <c r="CP3" s="524"/>
      <c r="CQ3" s="524"/>
      <c r="CR3" s="524"/>
      <c r="CS3" s="524"/>
      <c r="CT3" s="524"/>
      <c r="CU3" s="524"/>
      <c r="CV3" s="524"/>
      <c r="CW3" s="525"/>
      <c r="CX3" s="526"/>
    </row>
    <row r="4" spans="1:102" ht="33.75" customHeight="1">
      <c r="A4" s="264"/>
      <c r="B4" s="265"/>
      <c r="C4" s="266"/>
      <c r="D4" s="266"/>
      <c r="E4" s="266"/>
      <c r="F4" s="266"/>
      <c r="G4" s="266"/>
      <c r="H4" s="266"/>
      <c r="I4" s="266"/>
      <c r="J4" s="266"/>
      <c r="K4" s="266"/>
      <c r="L4" s="266"/>
      <c r="M4" s="266"/>
      <c r="N4" s="266"/>
      <c r="O4" s="276"/>
      <c r="P4" s="276"/>
      <c r="Q4" s="266"/>
      <c r="R4" s="266"/>
      <c r="S4" s="513" t="s">
        <v>296</v>
      </c>
      <c r="T4" s="513"/>
      <c r="U4" s="513"/>
      <c r="V4" s="513"/>
      <c r="W4" s="513"/>
      <c r="X4" s="513"/>
      <c r="Y4" s="659"/>
      <c r="Z4" s="660"/>
      <c r="AA4" s="660"/>
      <c r="AB4" s="660"/>
      <c r="AC4" s="660"/>
      <c r="AD4" s="660"/>
      <c r="AE4" s="661"/>
      <c r="AF4" s="665"/>
      <c r="AG4" s="666"/>
      <c r="AH4" s="667"/>
      <c r="AI4" s="550"/>
      <c r="AJ4" s="551"/>
      <c r="AK4" s="551"/>
      <c r="AL4" s="551"/>
      <c r="AM4" s="556"/>
      <c r="AN4" s="651"/>
      <c r="AO4" s="651"/>
      <c r="AP4" s="651"/>
      <c r="AQ4" s="651"/>
      <c r="AR4" s="651"/>
      <c r="AS4" s="651"/>
      <c r="AT4" s="527" t="s">
        <v>297</v>
      </c>
      <c r="AU4" s="528"/>
      <c r="AV4" s="528"/>
      <c r="AW4" s="528"/>
      <c r="AX4" s="528"/>
      <c r="AY4" s="528"/>
      <c r="AZ4" s="528"/>
      <c r="BA4" s="528"/>
      <c r="BB4" s="529"/>
      <c r="BC4" s="530" t="s">
        <v>298</v>
      </c>
      <c r="BD4" s="531"/>
      <c r="BE4" s="531"/>
      <c r="BF4" s="531"/>
      <c r="BG4" s="531"/>
      <c r="BH4" s="531"/>
      <c r="BI4" s="532"/>
      <c r="BJ4" s="533" t="s">
        <v>299</v>
      </c>
      <c r="BK4" s="534"/>
      <c r="BL4" s="535"/>
      <c r="BM4" s="521" t="s">
        <v>297</v>
      </c>
      <c r="BN4" s="521"/>
      <c r="BO4" s="521"/>
      <c r="BP4" s="521"/>
      <c r="BQ4" s="521"/>
      <c r="BR4" s="521"/>
      <c r="BS4" s="521"/>
      <c r="BT4" s="521"/>
      <c r="BU4" s="522"/>
      <c r="BV4" s="536" t="s">
        <v>298</v>
      </c>
      <c r="BW4" s="537"/>
      <c r="BX4" s="537"/>
      <c r="BY4" s="537"/>
      <c r="BZ4" s="537"/>
      <c r="CA4" s="537"/>
      <c r="CB4" s="538"/>
      <c r="CC4" s="539" t="s">
        <v>299</v>
      </c>
      <c r="CD4" s="540"/>
      <c r="CE4" s="541"/>
      <c r="CF4" s="542" t="s">
        <v>297</v>
      </c>
      <c r="CG4" s="542"/>
      <c r="CH4" s="542"/>
      <c r="CI4" s="542"/>
      <c r="CJ4" s="542"/>
      <c r="CK4" s="542"/>
      <c r="CL4" s="542"/>
      <c r="CM4" s="542"/>
      <c r="CN4" s="543"/>
      <c r="CO4" s="544" t="s">
        <v>298</v>
      </c>
      <c r="CP4" s="542"/>
      <c r="CQ4" s="542"/>
      <c r="CR4" s="542"/>
      <c r="CS4" s="542"/>
      <c r="CT4" s="542"/>
      <c r="CU4" s="543"/>
      <c r="CV4" s="545" t="s">
        <v>299</v>
      </c>
      <c r="CW4" s="546"/>
      <c r="CX4" s="547"/>
    </row>
    <row r="5" spans="1:102" ht="25.5" customHeight="1">
      <c r="A5" s="267"/>
      <c r="B5" s="268"/>
      <c r="C5" s="176"/>
      <c r="D5" s="176"/>
      <c r="E5" s="176"/>
      <c r="F5" s="176"/>
      <c r="G5" s="176"/>
      <c r="H5" s="176"/>
      <c r="I5" s="176"/>
      <c r="J5" s="176"/>
      <c r="K5" s="176"/>
      <c r="L5" s="176"/>
      <c r="M5" s="176"/>
      <c r="N5" s="176"/>
      <c r="O5" s="277"/>
      <c r="P5" s="277"/>
      <c r="Q5" s="176"/>
      <c r="R5" s="176"/>
      <c r="S5" s="266"/>
      <c r="T5" s="266"/>
      <c r="U5" s="266"/>
      <c r="V5" s="266"/>
      <c r="W5" s="266"/>
      <c r="X5" s="266"/>
      <c r="Y5" s="550"/>
      <c r="Z5" s="551"/>
      <c r="AA5" s="551"/>
      <c r="AB5" s="551"/>
      <c r="AC5" s="551"/>
      <c r="AD5" s="551"/>
      <c r="AE5" s="556"/>
      <c r="AF5" s="668"/>
      <c r="AG5" s="669"/>
      <c r="AH5" s="670"/>
      <c r="AI5" s="296"/>
      <c r="AJ5" s="176"/>
      <c r="AK5" s="296"/>
      <c r="AL5" s="354"/>
      <c r="AM5" s="354"/>
      <c r="AN5" s="297"/>
      <c r="AO5" s="297"/>
      <c r="AP5" s="297"/>
      <c r="AQ5" s="297"/>
      <c r="AR5" s="297"/>
      <c r="AS5" s="297"/>
      <c r="AT5" s="548" t="s">
        <v>290</v>
      </c>
      <c r="AU5" s="549"/>
      <c r="AV5" s="550" t="s">
        <v>291</v>
      </c>
      <c r="AW5" s="551"/>
      <c r="AX5" s="551"/>
      <c r="AY5" s="552"/>
      <c r="AZ5" s="166" t="s">
        <v>300</v>
      </c>
      <c r="BA5" s="553" t="s">
        <v>292</v>
      </c>
      <c r="BB5" s="554"/>
      <c r="BC5" s="555" t="s">
        <v>290</v>
      </c>
      <c r="BD5" s="556"/>
      <c r="BE5" s="557" t="s">
        <v>291</v>
      </c>
      <c r="BF5" s="558"/>
      <c r="BG5" s="175" t="s">
        <v>300</v>
      </c>
      <c r="BH5" s="559" t="s">
        <v>292</v>
      </c>
      <c r="BI5" s="560"/>
      <c r="BJ5" s="635" t="s">
        <v>301</v>
      </c>
      <c r="BK5" s="637" t="s">
        <v>302</v>
      </c>
      <c r="BL5" s="639" t="s">
        <v>303</v>
      </c>
      <c r="BM5" s="561" t="s">
        <v>290</v>
      </c>
      <c r="BN5" s="562"/>
      <c r="BO5" s="563" t="s">
        <v>291</v>
      </c>
      <c r="BP5" s="563"/>
      <c r="BQ5" s="563"/>
      <c r="BR5" s="563"/>
      <c r="BS5" s="188" t="s">
        <v>300</v>
      </c>
      <c r="BT5" s="564" t="s">
        <v>292</v>
      </c>
      <c r="BU5" s="565"/>
      <c r="BV5" s="566" t="s">
        <v>290</v>
      </c>
      <c r="BW5" s="567"/>
      <c r="BX5" s="568" t="s">
        <v>291</v>
      </c>
      <c r="BY5" s="568"/>
      <c r="BZ5" s="196" t="s">
        <v>300</v>
      </c>
      <c r="CA5" s="569" t="s">
        <v>292</v>
      </c>
      <c r="CB5" s="570"/>
      <c r="CC5" s="644" t="s">
        <v>304</v>
      </c>
      <c r="CD5" s="567" t="s">
        <v>305</v>
      </c>
      <c r="CE5" s="647" t="s">
        <v>306</v>
      </c>
      <c r="CF5" s="571" t="s">
        <v>290</v>
      </c>
      <c r="CG5" s="572"/>
      <c r="CH5" s="573" t="s">
        <v>291</v>
      </c>
      <c r="CI5" s="573"/>
      <c r="CJ5" s="573"/>
      <c r="CK5" s="573"/>
      <c r="CL5" s="219" t="s">
        <v>300</v>
      </c>
      <c r="CM5" s="574" t="s">
        <v>292</v>
      </c>
      <c r="CN5" s="575"/>
      <c r="CO5" s="576" t="s">
        <v>290</v>
      </c>
      <c r="CP5" s="577"/>
      <c r="CQ5" s="578" t="s">
        <v>291</v>
      </c>
      <c r="CR5" s="578"/>
      <c r="CS5" s="231" t="s">
        <v>300</v>
      </c>
      <c r="CT5" s="579" t="s">
        <v>292</v>
      </c>
      <c r="CU5" s="580"/>
      <c r="CV5" s="576" t="s">
        <v>307</v>
      </c>
      <c r="CW5" s="577" t="s">
        <v>308</v>
      </c>
      <c r="CX5" s="649" t="s">
        <v>309</v>
      </c>
    </row>
    <row r="6" spans="1:102" s="255" customFormat="1" ht="85.5" customHeight="1">
      <c r="A6" s="269" t="s">
        <v>13</v>
      </c>
      <c r="B6" s="144" t="s">
        <v>7</v>
      </c>
      <c r="C6" s="144" t="s">
        <v>94</v>
      </c>
      <c r="D6" s="144" t="s">
        <v>95</v>
      </c>
      <c r="E6" s="144" t="s">
        <v>23</v>
      </c>
      <c r="F6" s="144" t="s">
        <v>310</v>
      </c>
      <c r="G6" s="144" t="s">
        <v>311</v>
      </c>
      <c r="H6" s="144" t="s">
        <v>312</v>
      </c>
      <c r="I6" s="144" t="s">
        <v>313</v>
      </c>
      <c r="J6" s="144" t="s">
        <v>314</v>
      </c>
      <c r="K6" s="144" t="s">
        <v>315</v>
      </c>
      <c r="L6" s="144" t="s">
        <v>316</v>
      </c>
      <c r="M6" s="144" t="s">
        <v>29</v>
      </c>
      <c r="N6" s="278" t="s">
        <v>317</v>
      </c>
      <c r="O6" s="278" t="s">
        <v>318</v>
      </c>
      <c r="P6" s="278" t="s">
        <v>319</v>
      </c>
      <c r="Q6" s="144" t="s">
        <v>31</v>
      </c>
      <c r="R6" s="144" t="s">
        <v>33</v>
      </c>
      <c r="S6" s="278" t="s">
        <v>320</v>
      </c>
      <c r="T6" s="278" t="s">
        <v>321</v>
      </c>
      <c r="U6" s="278" t="s">
        <v>322</v>
      </c>
      <c r="V6" s="278" t="s">
        <v>323</v>
      </c>
      <c r="W6" s="278" t="s">
        <v>324</v>
      </c>
      <c r="X6" s="278" t="s">
        <v>325</v>
      </c>
      <c r="Y6" s="278" t="s">
        <v>326</v>
      </c>
      <c r="Z6" s="278" t="s">
        <v>327</v>
      </c>
      <c r="AA6" s="278" t="s">
        <v>328</v>
      </c>
      <c r="AB6" s="278" t="s">
        <v>329</v>
      </c>
      <c r="AC6" s="278" t="s">
        <v>328</v>
      </c>
      <c r="AD6" s="278" t="s">
        <v>330</v>
      </c>
      <c r="AE6" s="278" t="s">
        <v>49</v>
      </c>
      <c r="AF6" s="298" t="s">
        <v>331</v>
      </c>
      <c r="AG6" s="298" t="s">
        <v>332</v>
      </c>
      <c r="AH6" s="298" t="s">
        <v>333</v>
      </c>
      <c r="AI6" s="144" t="s">
        <v>334</v>
      </c>
      <c r="AJ6" s="298" t="s">
        <v>335</v>
      </c>
      <c r="AK6" s="144" t="s">
        <v>336</v>
      </c>
      <c r="AL6" s="355" t="s">
        <v>337</v>
      </c>
      <c r="AM6" s="355" t="s">
        <v>338</v>
      </c>
      <c r="AN6" s="158" t="s">
        <v>339</v>
      </c>
      <c r="AO6" s="158" t="s">
        <v>340</v>
      </c>
      <c r="AP6" s="158" t="s">
        <v>336</v>
      </c>
      <c r="AQ6" s="158" t="s">
        <v>341</v>
      </c>
      <c r="AR6" s="158" t="s">
        <v>342</v>
      </c>
      <c r="AS6" s="158" t="s">
        <v>343</v>
      </c>
      <c r="AT6" s="160" t="s">
        <v>344</v>
      </c>
      <c r="AU6" s="161" t="s">
        <v>345</v>
      </c>
      <c r="AV6" s="167" t="s">
        <v>346</v>
      </c>
      <c r="AW6" s="167" t="s">
        <v>347</v>
      </c>
      <c r="AX6" s="167" t="s">
        <v>348</v>
      </c>
      <c r="AY6" s="167" t="s">
        <v>349</v>
      </c>
      <c r="AZ6" s="168" t="s">
        <v>350</v>
      </c>
      <c r="BA6" s="169" t="s">
        <v>351</v>
      </c>
      <c r="BB6" s="170" t="s">
        <v>352</v>
      </c>
      <c r="BC6" s="143" t="s">
        <v>353</v>
      </c>
      <c r="BD6" s="144" t="s">
        <v>354</v>
      </c>
      <c r="BE6" s="177" t="s">
        <v>355</v>
      </c>
      <c r="BF6" s="174" t="s">
        <v>356</v>
      </c>
      <c r="BG6" s="178" t="s">
        <v>357</v>
      </c>
      <c r="BH6" s="179" t="s">
        <v>351</v>
      </c>
      <c r="BI6" s="180" t="s">
        <v>352</v>
      </c>
      <c r="BJ6" s="636"/>
      <c r="BK6" s="638"/>
      <c r="BL6" s="640"/>
      <c r="BM6" s="189" t="s">
        <v>358</v>
      </c>
      <c r="BN6" s="189" t="s">
        <v>359</v>
      </c>
      <c r="BO6" s="190" t="s">
        <v>346</v>
      </c>
      <c r="BP6" s="190" t="s">
        <v>347</v>
      </c>
      <c r="BQ6" s="190" t="s">
        <v>360</v>
      </c>
      <c r="BR6" s="190" t="s">
        <v>361</v>
      </c>
      <c r="BS6" s="191" t="s">
        <v>350</v>
      </c>
      <c r="BT6" s="197" t="s">
        <v>362</v>
      </c>
      <c r="BU6" s="198" t="s">
        <v>363</v>
      </c>
      <c r="BV6" s="199" t="s">
        <v>364</v>
      </c>
      <c r="BW6" s="200" t="s">
        <v>365</v>
      </c>
      <c r="BX6" s="201" t="s">
        <v>366</v>
      </c>
      <c r="BY6" s="201" t="s">
        <v>367</v>
      </c>
      <c r="BZ6" s="202" t="s">
        <v>357</v>
      </c>
      <c r="CA6" s="203" t="s">
        <v>362</v>
      </c>
      <c r="CB6" s="211" t="s">
        <v>363</v>
      </c>
      <c r="CC6" s="645"/>
      <c r="CD6" s="646"/>
      <c r="CE6" s="648"/>
      <c r="CF6" s="212" t="s">
        <v>368</v>
      </c>
      <c r="CG6" s="212" t="s">
        <v>369</v>
      </c>
      <c r="CH6" s="210" t="s">
        <v>346</v>
      </c>
      <c r="CI6" s="210" t="s">
        <v>347</v>
      </c>
      <c r="CJ6" s="210" t="s">
        <v>370</v>
      </c>
      <c r="CK6" s="210" t="s">
        <v>371</v>
      </c>
      <c r="CL6" s="219" t="s">
        <v>350</v>
      </c>
      <c r="CM6" s="220" t="s">
        <v>372</v>
      </c>
      <c r="CN6" s="221" t="s">
        <v>373</v>
      </c>
      <c r="CO6" s="222" t="s">
        <v>374</v>
      </c>
      <c r="CP6" s="223" t="s">
        <v>375</v>
      </c>
      <c r="CQ6" s="224" t="s">
        <v>376</v>
      </c>
      <c r="CR6" s="224" t="s">
        <v>377</v>
      </c>
      <c r="CS6" s="231" t="s">
        <v>357</v>
      </c>
      <c r="CT6" s="232" t="s">
        <v>372</v>
      </c>
      <c r="CU6" s="233" t="s">
        <v>373</v>
      </c>
      <c r="CV6" s="576"/>
      <c r="CW6" s="577"/>
      <c r="CX6" s="649"/>
    </row>
    <row r="7" spans="1:102" ht="115.5" hidden="1">
      <c r="A7" s="581">
        <v>1</v>
      </c>
      <c r="B7" s="584" t="str">
        <f>IFERROR(VLOOKUP($A7,Riesgos!$A$7:$H$84,2,FALSE),"")</f>
        <v>Administración de Bienes e Infraestructura</v>
      </c>
      <c r="C7" s="584" t="str">
        <f>IFERROR(VLOOKUP($A7,Riesgos!$A$7:$H$84,7,FALSE),"")</f>
        <v>Debido a la falta de mantenimiento, condiciones de seguridad deficientes, uso incorrecto o inadecuado, intención de causar daño y causas naturales.</v>
      </c>
      <c r="D7" s="584" t="str">
        <f>IFERROR(VLOOKUP($A7,Riesgos!$A$7:$H$84,8,FALSE),"")</f>
        <v>Posibilidad de afectación económica por deterioro o siniestro de los bienes muebles e inmuebles debido a la falta de mantenimiento, condiciones de seguridad deficientes, uso incorrecto o inadecuado, intención de causar daño y fenómenos naturales.</v>
      </c>
      <c r="E7" s="589" t="s">
        <v>378</v>
      </c>
      <c r="F7" s="592">
        <v>3389</v>
      </c>
      <c r="G7" s="594" t="str">
        <f>IF(F7&lt;=0,"",IF(F7&lt;='Listas y tablas'!$B$3,"Muy Baja",IF(F7&lt;='Listas y tablas'!$B$4,"Baja",IF(F7&lt;='Listas y tablas'!$B$5,"Media",IF(F7&lt;='Listas y tablas'!$B$6,"Alta","Muy Alta")))))</f>
        <v>Alta</v>
      </c>
      <c r="H7" s="597">
        <f>IF(G7="","",IF(G7="Muy Baja",'Listas y tablas'!$C$3,IF(G7="Baja",'Listas y tablas'!$C$4,IF(G7="Media",'Listas y tablas'!$C$5,IF(G7="Alta",'Listas y tablas'!$C$6,IF(G7="Muy Alta",'Listas y tablas'!$C$7,))))))</f>
        <v>0.8</v>
      </c>
      <c r="I7" s="600" t="s">
        <v>379</v>
      </c>
      <c r="J7" s="597" t="str">
        <f>IF(NOT(ISERROR(MATCH(I7,'Tabla Impacto'!$B$221:$B$223,0))),'Tabla Impacto'!$F$223&amp;"Por favor no seleccionar los criterios de impacto(Afectación Económica o presupuestal y Pérdida Reputacional)",I7)</f>
        <v xml:space="preserve">     Afectación menor a 10 SMLMV .</v>
      </c>
      <c r="K7" s="594" t="str">
        <f>IF(OR(J7='Tabla Impacto'!$C$11,J7='Tabla Impacto'!$D$11),"Leve",IF(OR(J7='Tabla Impacto'!$C$12,J7='Tabla Impacto'!$D$12),"Menor",IF(OR(J7='Tabla Impacto'!$C$13,J7='Tabla Impacto'!$D$13),"Moderado",IF(OR(J7='Tabla Impacto'!$C$14,J7='Tabla Impacto'!$D$14),"Mayor",IF(OR(J7='Tabla Impacto'!$C$15,J7='Tabla Impacto'!$D$15),"Catastrófico","")))))</f>
        <v>Leve</v>
      </c>
      <c r="L7" s="597">
        <f>IF(K7="","",IF(K7="Leve",'Listas y tablas'!$F$3,IF(K7="Menor",'Listas y tablas'!$F$4,IF(K7="Moderado",'Listas y tablas'!$F$5,IF(K7="Mayor",'Listas y tablas'!$F$6,IF(K7="Catastrófico",'Listas y tablas'!$F$7,))))))</f>
        <v>0.2</v>
      </c>
      <c r="M7" s="594" t="str">
        <f>IF(OR(AND(G7="Muy Baja",K7="Leve"),AND(G7="Muy Baja",K7="Menor"),AND(G7="Baja",K7="Leve")),"Bajo",IF(OR(AND(G7="Muy baja",K7="Moderado"),AND(G7="Baja",K7="Menor"),AND(G7="Baja",K7="Moderado"),AND(G7="Media",K7="Leve"),AND(G7="Media",K7="Menor"),AND(G7="Media",K7="Moderado"),AND(G7="Alta",K7="Leve"),AND(G7="Alta",K7="Menor")),"Moderado",IF(OR(AND(G7="Muy Baja",K7="Mayor"),AND(G7="Baja",K7="Mayor"),AND(G7="Media",K7="Mayor"),AND(G7="Alta",K7="Moderado"),AND(G7="Alta",K7="Mayor"),AND(G7="Muy Alta",K7="Leve"),AND(G7="Muy Alta",K7="Menor"),AND(G7="Muy Alta",K7="Moderado"),AND(G7="Muy Alta",K7="Mayor")),"Alto",IF(OR(AND(G7="Muy Baja",K7="Catastrófico"),AND(G7="Baja",K7="Catastrófico"),AND(G7="Media",K7="Catastrófico"),AND(G7="Alta",K7="Catastrófico"),AND(G7="Muy Alta",K7="Catastrófico")),"Extremo",""))))</f>
        <v>Moderado</v>
      </c>
      <c r="N7" s="335" t="str">
        <f>+IF(ISTEXT(D7),"G","")</f>
        <v>G</v>
      </c>
      <c r="O7" s="337">
        <f>IF(ISTEXT(D7),1,"")</f>
        <v>1</v>
      </c>
      <c r="P7" s="337" t="str">
        <f>IF(ISTEXT(D7),CONCATENATE(N7,O7),"")</f>
        <v>G1</v>
      </c>
      <c r="Q7" s="286" t="s">
        <v>380</v>
      </c>
      <c r="R7" s="337" t="str">
        <f>IF(OR(S7="Preventivo",S7="Detectivo"),"Probabilidad",IF(S7="Correctivo","Impacto",""))</f>
        <v>Probabilidad</v>
      </c>
      <c r="S7" s="299" t="s">
        <v>381</v>
      </c>
      <c r="T7" s="299" t="s">
        <v>382</v>
      </c>
      <c r="U7" s="339" t="str">
        <f>IF(AND(S7="Preventivo",T7="Automático"),"50%",IF(AND(S7="Preventivo",T7="Manual"),"40%",IF(AND(S7="Detectivo",T7="Automático"),"40%",IF(AND(S7="Detectivo",T7="Manual"),"30%",IF(AND(S7="Correctivo",T7="Automático"),"35%",IF(AND(S7="Correctivo",T7="Manual"),"25%",""))))))</f>
        <v>40%</v>
      </c>
      <c r="V7" s="299" t="s">
        <v>383</v>
      </c>
      <c r="W7" s="299" t="s">
        <v>384</v>
      </c>
      <c r="X7" s="299" t="s">
        <v>385</v>
      </c>
      <c r="Y7" s="612">
        <f>IFERROR(IF(R7="Probabilidad",(H7-(+H7*U7)),IF(R7="Impacto",H7,"")),"")</f>
        <v>0.48</v>
      </c>
      <c r="Z7" s="617" t="str">
        <f>IFERROR(IF(Y7="","",IF(Y7&lt;='Listas y tablas'!$L$3,"Muy Baja",IF(Y7&lt;='Listas y tablas'!$L$4,"Baja",IF(Y7&lt;='Listas y tablas'!$L$5,"Media",IF(Y7&lt;='Listas y tablas'!$L$6,"Alta","Muy Alta"))))),"")</f>
        <v>Media</v>
      </c>
      <c r="AA7" s="597">
        <f>+Y7</f>
        <v>0.48</v>
      </c>
      <c r="AB7" s="617" t="str">
        <f>IFERROR(IF(AC7="","",IF(AC7&lt;='Listas y tablas'!$O$3,"Leve",IF(AC7&lt;='Listas y tablas'!$O$4,"Menor",IF(AC7&lt;='Listas y tablas'!$O$5,"Moderado",IF(AC7&lt;='Listas y tablas'!$O$6,"Mayor","Catastrófico"))))),"")</f>
        <v>Leve</v>
      </c>
      <c r="AC7" s="597">
        <f>IFERROR(IF(R7="Impacto",(K7-(+K7*U7)),IF(R7="Probabilidad",L7,"")),"")</f>
        <v>0.2</v>
      </c>
      <c r="AD7" s="617" t="str">
        <f>IFERROR(IF(OR(AND(Z7="Muy Baja",AB7="Leve"),AND(Z7="Muy Baja",AB7="Menor"),AND(Z7="Baja",AB7="Leve")),"Bajo",IF(OR(AND(Z7="Muy baja",AB7="Moderado"),AND(Z7="Baja",AB7="Menor"),AND(Z7="Baja",AB7="Moderado"),AND(Z7="Media",AB7="Leve"),AND(Z7="Media",AB7="Menor"),AND(Z7="Media",AB7="Moderado"),AND(Z7="Alta",AB7="Leve"),AND(Z7="Alta",AB7="Menor")),"Moderado",IF(OR(AND(Z7="Muy Baja",AB7="Mayor"),AND(Z7="Baja",AB7="Mayor"),AND(Z7="Media",AB7="Mayor"),AND(Z7="Alta",AB7="Moderado"),AND(Z7="Alta",AB7="Mayor"),AND(Z7="Muy Alta",AB7="Leve"),AND(Z7="Muy Alta",AB7="Menor"),AND(Z7="Muy Alta",AB7="Moderado"),AND(Z7="Muy Alta",AB7="Mayor")),"Alto",IF(OR(AND(Z7="Muy Baja",AB7="Catastrófico"),AND(Z7="Baja",AB7="Catastrófico"),AND(Z7="Media",AB7="Catastrófico"),AND(Z7="Alta",AB7="Catastrófico"),AND(Z7="Muy Alta",AB7="Catastrófico")),"Extremo","")))),"")</f>
        <v>Moderado</v>
      </c>
      <c r="AE7" s="609" t="s">
        <v>386</v>
      </c>
      <c r="AF7" s="300" t="s">
        <v>387</v>
      </c>
      <c r="AG7" s="300" t="s">
        <v>388</v>
      </c>
      <c r="AH7" s="300" t="s">
        <v>389</v>
      </c>
      <c r="AI7" s="273" t="s">
        <v>390</v>
      </c>
      <c r="AJ7" s="273" t="s">
        <v>391</v>
      </c>
      <c r="AK7" s="273" t="s">
        <v>389</v>
      </c>
      <c r="AL7" s="304">
        <v>45047</v>
      </c>
      <c r="AM7" s="304">
        <v>45107</v>
      </c>
      <c r="AN7" s="273" t="s">
        <v>392</v>
      </c>
      <c r="AO7" s="273" t="s">
        <v>393</v>
      </c>
      <c r="AP7" s="273" t="s">
        <v>394</v>
      </c>
      <c r="AQ7" s="273" t="s">
        <v>395</v>
      </c>
      <c r="AR7" s="273" t="s">
        <v>396</v>
      </c>
      <c r="AS7" s="273" t="s">
        <v>397</v>
      </c>
      <c r="AT7" s="312" t="s">
        <v>398</v>
      </c>
      <c r="AU7" s="313" t="s">
        <v>399</v>
      </c>
      <c r="AV7" s="313">
        <v>0</v>
      </c>
      <c r="AW7" s="313">
        <v>0</v>
      </c>
      <c r="AX7" s="313" t="s">
        <v>400</v>
      </c>
      <c r="AY7" s="313" t="s">
        <v>401</v>
      </c>
      <c r="AZ7" s="163" t="s">
        <v>402</v>
      </c>
      <c r="BA7" s="163" t="s">
        <v>402</v>
      </c>
      <c r="BB7" s="171"/>
      <c r="BC7" s="323" t="s">
        <v>403</v>
      </c>
      <c r="BD7" s="324" t="s">
        <v>404</v>
      </c>
      <c r="BE7" s="324" t="s">
        <v>405</v>
      </c>
      <c r="BF7" s="329" t="s">
        <v>406</v>
      </c>
      <c r="BG7" s="181" t="s">
        <v>402</v>
      </c>
      <c r="BH7" s="181" t="s">
        <v>402</v>
      </c>
      <c r="BI7" s="183" t="s">
        <v>401</v>
      </c>
      <c r="BJ7" s="323" t="s">
        <v>407</v>
      </c>
      <c r="BK7" s="327" t="s">
        <v>408</v>
      </c>
      <c r="BL7" s="641" t="s">
        <v>402</v>
      </c>
      <c r="BM7" s="193"/>
      <c r="BN7" s="194"/>
      <c r="BO7" s="194"/>
      <c r="BP7" s="194"/>
      <c r="BQ7" s="194"/>
      <c r="BR7" s="194"/>
      <c r="BS7" s="194"/>
      <c r="BT7" s="194"/>
      <c r="BU7" s="204"/>
      <c r="BV7" s="205"/>
      <c r="BW7" s="206"/>
      <c r="BX7" s="206"/>
      <c r="BY7" s="206"/>
      <c r="BZ7" s="206"/>
      <c r="CA7" s="206"/>
      <c r="CB7" s="213"/>
      <c r="CC7" s="214"/>
      <c r="CD7" s="206"/>
      <c r="CE7" s="213"/>
      <c r="CF7" s="215"/>
      <c r="CG7" s="216"/>
      <c r="CH7" s="216"/>
      <c r="CI7" s="216"/>
      <c r="CJ7" s="216"/>
      <c r="CK7" s="216"/>
      <c r="CL7" s="216"/>
      <c r="CM7" s="216"/>
      <c r="CN7" s="225"/>
      <c r="CO7" s="226"/>
      <c r="CP7" s="227"/>
      <c r="CQ7" s="227"/>
      <c r="CR7" s="227"/>
      <c r="CS7" s="227"/>
      <c r="CT7" s="227"/>
      <c r="CU7" s="234"/>
      <c r="CV7" s="226"/>
      <c r="CW7" s="227"/>
      <c r="CX7" s="234"/>
    </row>
    <row r="8" spans="1:102" ht="66" hidden="1">
      <c r="A8" s="582"/>
      <c r="B8" s="585"/>
      <c r="C8" s="585"/>
      <c r="D8" s="585"/>
      <c r="E8" s="590"/>
      <c r="F8" s="593"/>
      <c r="G8" s="595"/>
      <c r="H8" s="598"/>
      <c r="I8" s="601"/>
      <c r="J8" s="598"/>
      <c r="K8" s="595"/>
      <c r="L8" s="598"/>
      <c r="M8" s="595"/>
      <c r="N8" s="335" t="str">
        <f>+IF(ISTEXT(D7),"G","")</f>
        <v>G</v>
      </c>
      <c r="O8" s="337">
        <f>IF(ISTEXT(D7),1+O7,"")</f>
        <v>2</v>
      </c>
      <c r="P8" s="337" t="str">
        <f>IF(ISTEXT(D7),CONCATENATE(N8,O8),"")</f>
        <v>G2</v>
      </c>
      <c r="Q8" s="286" t="s">
        <v>409</v>
      </c>
      <c r="R8" s="337" t="str">
        <f>IF(OR(S8="Preventivo",S8="Detectivo"),"Probabilidad",IF(S8="Correctivo","Impacto",""))</f>
        <v>Probabilidad</v>
      </c>
      <c r="S8" s="299" t="s">
        <v>381</v>
      </c>
      <c r="T8" s="299" t="s">
        <v>382</v>
      </c>
      <c r="U8" s="339" t="str">
        <f t="shared" ref="U8:U13" si="0">IF(AND(S8="Preventivo",T8="Automático"),"50%",IF(AND(S8="Preventivo",T8="Manual"),"40%",IF(AND(S8="Detectivo",T8="Automático"),"40%",IF(AND(S8="Detectivo",T8="Manual"),"30%",IF(AND(S8="Correctivo",T8="Automático"),"35%",IF(AND(S8="Correctivo",T8="Manual"),"25%",""))))))</f>
        <v>40%</v>
      </c>
      <c r="V8" s="299" t="s">
        <v>383</v>
      </c>
      <c r="W8" s="299" t="s">
        <v>384</v>
      </c>
      <c r="X8" s="299" t="s">
        <v>385</v>
      </c>
      <c r="Y8" s="613"/>
      <c r="Z8" s="618"/>
      <c r="AA8" s="598"/>
      <c r="AB8" s="618"/>
      <c r="AC8" s="598"/>
      <c r="AD8" s="618"/>
      <c r="AE8" s="611"/>
      <c r="AF8" s="300" t="s">
        <v>410</v>
      </c>
      <c r="AG8" s="300" t="s">
        <v>411</v>
      </c>
      <c r="AH8" s="300" t="s">
        <v>389</v>
      </c>
      <c r="AI8" s="273"/>
      <c r="AJ8" s="273"/>
      <c r="AK8" s="273"/>
      <c r="AL8" s="304"/>
      <c r="AM8" s="304"/>
      <c r="AN8" s="273"/>
      <c r="AO8" s="273"/>
      <c r="AP8" s="273"/>
      <c r="AQ8" s="273"/>
      <c r="AR8" s="273"/>
      <c r="AS8" s="273"/>
      <c r="AT8" s="312" t="s">
        <v>412</v>
      </c>
      <c r="AU8" s="313" t="s">
        <v>401</v>
      </c>
      <c r="AV8" s="163"/>
      <c r="AW8" s="163"/>
      <c r="AX8" s="163"/>
      <c r="AY8" s="163"/>
      <c r="AZ8" s="163" t="s">
        <v>402</v>
      </c>
      <c r="BA8" s="163" t="s">
        <v>402</v>
      </c>
      <c r="BB8" s="171"/>
      <c r="BC8" s="323" t="s">
        <v>413</v>
      </c>
      <c r="BD8" s="324" t="s">
        <v>414</v>
      </c>
      <c r="BE8" s="324"/>
      <c r="BF8" s="329"/>
      <c r="BG8" s="181" t="s">
        <v>402</v>
      </c>
      <c r="BH8" s="181" t="s">
        <v>402</v>
      </c>
      <c r="BI8" s="183" t="s">
        <v>401</v>
      </c>
      <c r="BJ8" s="323" t="s">
        <v>415</v>
      </c>
      <c r="BK8" s="327" t="s">
        <v>408</v>
      </c>
      <c r="BL8" s="642"/>
      <c r="BM8" s="193"/>
      <c r="BN8" s="194"/>
      <c r="BO8" s="194"/>
      <c r="BP8" s="194"/>
      <c r="BQ8" s="194"/>
      <c r="BR8" s="194"/>
      <c r="BS8" s="194"/>
      <c r="BT8" s="194"/>
      <c r="BU8" s="204"/>
      <c r="BV8" s="205"/>
      <c r="BW8" s="206"/>
      <c r="BX8" s="206"/>
      <c r="BY8" s="206"/>
      <c r="BZ8" s="206"/>
      <c r="CA8" s="206"/>
      <c r="CB8" s="213"/>
      <c r="CC8" s="214"/>
      <c r="CD8" s="206"/>
      <c r="CE8" s="213"/>
      <c r="CF8" s="215"/>
      <c r="CG8" s="216"/>
      <c r="CH8" s="216"/>
      <c r="CI8" s="216"/>
      <c r="CJ8" s="216"/>
      <c r="CK8" s="216"/>
      <c r="CL8" s="216"/>
      <c r="CM8" s="216"/>
      <c r="CN8" s="225"/>
      <c r="CO8" s="226"/>
      <c r="CP8" s="227"/>
      <c r="CQ8" s="227"/>
      <c r="CR8" s="227"/>
      <c r="CS8" s="227"/>
      <c r="CT8" s="227"/>
      <c r="CU8" s="234"/>
      <c r="CV8" s="226"/>
      <c r="CW8" s="227"/>
      <c r="CX8" s="234"/>
    </row>
    <row r="9" spans="1:102" ht="82.5" hidden="1">
      <c r="A9" s="271">
        <v>2</v>
      </c>
      <c r="B9" s="272" t="str">
        <f>IFERROR(VLOOKUP($A9,Riesgos!$A$7:$H$84,2,FALSE),"")</f>
        <v>Administración de Bienes e Infraestructura</v>
      </c>
      <c r="C9" s="272" t="str">
        <f>IFERROR(VLOOKUP($A9,Riesgos!$A$7:$H$84,7,FALSE),"")</f>
        <v>Debido a la falta de control en existencia, fechas de caducidad y condiciones de almacenamiento</v>
      </c>
      <c r="D9" s="272" t="str">
        <f>IFERROR(VLOOKUP($A9,Riesgos!$A$7:$H$84,8,FALSE),"")</f>
        <v>Posibilidad de afectación económico / presupuestal por pérdida, vencimiento o merma de bienes debido a la falta de control en existencia, fechas de caducidad y condiciones de almacenamiento.</v>
      </c>
      <c r="E9" s="273" t="s">
        <v>378</v>
      </c>
      <c r="F9" s="273">
        <v>4</v>
      </c>
      <c r="G9" s="335" t="str">
        <f>IF(F9&lt;=0,"",IF(F9&lt;='Listas y tablas'!$B$3,"Muy Baja",IF(F9&lt;='Listas y tablas'!$B$4,"Baja",IF(F9&lt;='Listas y tablas'!$B$5,"Media",IF(F9&lt;='Listas y tablas'!$B$6,"Alta","Muy Alta")))))</f>
        <v>Baja</v>
      </c>
      <c r="H9" s="336">
        <f>IF(G9="","",IF(G9="Muy Baja",'Listas y tablas'!$C$3,IF(G9="Baja",'Listas y tablas'!$C$4,IF(G9="Media",'Listas y tablas'!$C$5,IF(G9="Alta",'Listas y tablas'!$C$6,IF(G9="Muy Alta",'Listas y tablas'!$C$7,))))))</f>
        <v>0.4</v>
      </c>
      <c r="I9" s="338" t="s">
        <v>379</v>
      </c>
      <c r="J9" s="336" t="str">
        <f>IF(NOT(ISERROR(MATCH(I9,'Tabla Impacto'!$B$221:$B$223,0))),'Tabla Impacto'!$F$223&amp;"Por favor no seleccionar los criterios de impacto(Afectación Económica o presupuestal y Pérdida Reputacional)",I9)</f>
        <v xml:space="preserve">     Afectación menor a 10 SMLMV .</v>
      </c>
      <c r="K9" s="335" t="str">
        <f>IF(OR(J9='Tabla Impacto'!$C$11,J9='Tabla Impacto'!$D$11),"Leve",IF(OR(J9='Tabla Impacto'!$C$12,J9='Tabla Impacto'!$D$12),"Menor",IF(OR(J9='Tabla Impacto'!$C$13,J9='Tabla Impacto'!$D$13),"Moderado",IF(OR(J9='Tabla Impacto'!$C$14,J9='Tabla Impacto'!$D$14),"Mayor",IF(OR(J9='Tabla Impacto'!$C$15,J9='Tabla Impacto'!$D$15),"Catastrófico","")))))</f>
        <v>Leve</v>
      </c>
      <c r="L9" s="336">
        <f>IF(K9="","",IF(K9="Leve",'Listas y tablas'!$F$3,IF(K9="Menor",'Listas y tablas'!$F$4,IF(K9="Moderado",'Listas y tablas'!$F$5,IF(K9="Mayor",'Listas y tablas'!$F$6,IF(K9="Catastrófico",'Listas y tablas'!$F$7,))))))</f>
        <v>0.2</v>
      </c>
      <c r="M9" s="335" t="str">
        <f t="shared" ref="M9:M48" si="1">IF(OR(AND(G9="Muy Baja",K9="Leve"),AND(G9="Muy Baja",K9="Menor"),AND(G9="Baja",K9="Leve")),"Bajo",IF(OR(AND(G9="Muy baja",K9="Moderado"),AND(G9="Baja",K9="Menor"),AND(G9="Baja",K9="Moderado"),AND(G9="Media",K9="Leve"),AND(G9="Media",K9="Menor"),AND(G9="Media",K9="Moderado"),AND(G9="Alta",K9="Leve"),AND(G9="Alta",K9="Menor")),"Moderado",IF(OR(AND(G9="Muy Baja",K9="Mayor"),AND(G9="Baja",K9="Mayor"),AND(G9="Media",K9="Mayor"),AND(G9="Alta",K9="Moderado"),AND(G9="Alta",K9="Mayor"),AND(G9="Muy Alta",K9="Leve"),AND(G9="Muy Alta",K9="Menor"),AND(G9="Muy Alta",K9="Moderado"),AND(G9="Muy Alta",K9="Mayor")),"Alto",IF(OR(AND(G9="Muy Baja",K9="Catastrófico"),AND(G9="Baja",K9="Catastrófico"),AND(G9="Media",K9="Catastrófico"),AND(G9="Alta",K9="Catastrófico"),AND(G9="Muy Alta",K9="Catastrófico")),"Extremo",""))))</f>
        <v>Bajo</v>
      </c>
      <c r="N9" s="335" t="str">
        <f t="shared" ref="N9:N48" si="2">+IF(ISTEXT(D9),"G","")</f>
        <v>G</v>
      </c>
      <c r="O9" s="337">
        <f t="shared" ref="O9:O37" si="3">IF(ISTEXT(D9),1+O8,"")</f>
        <v>3</v>
      </c>
      <c r="P9" s="337" t="str">
        <f t="shared" ref="P9:P48" si="4">IF(ISTEXT(D9),CONCATENATE(N9,O9),"")</f>
        <v>G3</v>
      </c>
      <c r="Q9" s="286" t="s">
        <v>416</v>
      </c>
      <c r="R9" s="337" t="str">
        <f>IF(OR(S9="Preventivo",S9="Detectivo"),"Probabilidad",IF(S9="Correctivo","Impacto",""))</f>
        <v>Probabilidad</v>
      </c>
      <c r="S9" s="299" t="s">
        <v>417</v>
      </c>
      <c r="T9" s="299" t="s">
        <v>382</v>
      </c>
      <c r="U9" s="339" t="str">
        <f t="shared" si="0"/>
        <v>30%</v>
      </c>
      <c r="V9" s="299" t="s">
        <v>383</v>
      </c>
      <c r="W9" s="299" t="s">
        <v>384</v>
      </c>
      <c r="X9" s="299" t="s">
        <v>385</v>
      </c>
      <c r="Y9" s="346">
        <f t="shared" ref="Y9:Y48" si="5">IF(A8=A9,IFERROR(IF(AND(R8="Probabilidad",R9="Probabilidad"),(AA8-(+AA8*U9)),IF(R9="Probabilidad",(H8-(+H8*U9)),IF(R9="Impacto",AA8,""))),""),IFERROR(IF(R9="Probabilidad",(H9-(+H9*U9)),IF(R9="Impacto",K9,"")),""))</f>
        <v>0.28000000000000003</v>
      </c>
      <c r="Z9" s="154" t="str">
        <f>IFERROR(IF(Y9="","",IF(Y9&lt;='Listas y tablas'!$L$3,"Muy Baja",IF(Y9&lt;='Listas y tablas'!$L$4,"Baja",IF(Y9&lt;='Listas y tablas'!$L$5,"Media",IF(Y9&lt;='Listas y tablas'!$L$6,"Alta","Muy Alta"))))),"")</f>
        <v>Baja</v>
      </c>
      <c r="AA9" s="339">
        <f t="shared" ref="AA9:AA48" si="6">+Y9</f>
        <v>0.28000000000000003</v>
      </c>
      <c r="AB9" s="154" t="str">
        <f>IFERROR(IF(AC9="","",IF(AC9&lt;='Listas y tablas'!$O$3,"Leve",IF(AC9&lt;='Listas y tablas'!$O$4,"Menor",IF(AC9&lt;='Listas y tablas'!$O$5,"Moderado",IF(AC9&lt;='Listas y tablas'!$O$6,"Mayor","Catastrófico"))))),"")</f>
        <v>Catastrófico</v>
      </c>
      <c r="AC9" s="347">
        <f>IF(A8=A9,IFERROR(IF(AND(R8="Impacto",R9="Impacto"),(AC8-(+AC8*U9)),IF(R9="Impacto",($F8-(+$F8*U9)),IF(R9="Probabilidad",AC8,""))),""),IFERROR(IF(R9="Impacto",(F9-(+F9*U9)),IF(R9="Probabilidad",F9,"")),""))</f>
        <v>4</v>
      </c>
      <c r="AD9" s="154" t="str">
        <f t="shared" ref="AD9" si="7">IFERROR(IF(OR(AND(Z9="Muy Baja",AB9="Leve"),AND(Z9="Muy Baja",AB9="Menor"),AND(Z9="Baja",AB9="Leve")),"Bajo",IF(OR(AND(Z9="Muy baja",AB9="Moderado"),AND(Z9="Baja",AB9="Menor"),AND(Z9="Baja",AB9="Moderado"),AND(Z9="Media",AB9="Leve"),AND(Z9="Media",AB9="Menor"),AND(Z9="Media",AB9="Moderado"),AND(Z9="Alta",AB9="Leve"),AND(Z9="Alta",AB9="Menor")),"Moderado",IF(OR(AND(Z9="Muy Baja",AB9="Mayor"),AND(Z9="Baja",AB9="Mayor"),AND(Z9="Media",AB9="Mayor"),AND(Z9="Alta",AB9="Moderado"),AND(Z9="Alta",AB9="Mayor"),AND(Z9="Muy Alta",AB9="Leve"),AND(Z9="Muy Alta",AB9="Menor"),AND(Z9="Muy Alta",AB9="Moderado"),AND(Z9="Muy Alta",AB9="Mayor")),"Alto",IF(OR(AND(Z9="Muy Baja",AB9="Catastrófico"),AND(Z9="Baja",AB9="Catastrófico"),AND(Z9="Media",AB9="Catastrófico"),AND(Z9="Alta",AB9="Catastrófico"),AND(Z9="Muy Alta",AB9="Catastrófico")),"Extremo","")))),"")</f>
        <v>Extremo</v>
      </c>
      <c r="AE9" s="299" t="s">
        <v>386</v>
      </c>
      <c r="AF9" s="348" t="s">
        <v>418</v>
      </c>
      <c r="AG9" s="300" t="s">
        <v>411</v>
      </c>
      <c r="AH9" s="300" t="s">
        <v>389</v>
      </c>
      <c r="AI9" s="356" t="s">
        <v>419</v>
      </c>
      <c r="AJ9" s="356" t="s">
        <v>389</v>
      </c>
      <c r="AK9" s="357">
        <v>45108</v>
      </c>
      <c r="AL9" s="357">
        <v>45138</v>
      </c>
      <c r="AM9" s="304"/>
      <c r="AN9" s="273"/>
      <c r="AO9" s="273"/>
      <c r="AP9" s="273"/>
      <c r="AQ9" s="273"/>
      <c r="AR9" s="273"/>
      <c r="AS9" s="273"/>
      <c r="AT9" s="312" t="s">
        <v>412</v>
      </c>
      <c r="AU9" s="313" t="s">
        <v>401</v>
      </c>
      <c r="AV9" s="313">
        <v>0</v>
      </c>
      <c r="AW9" s="313">
        <v>0</v>
      </c>
      <c r="AX9" s="313" t="s">
        <v>400</v>
      </c>
      <c r="AY9" s="313" t="s">
        <v>401</v>
      </c>
      <c r="AZ9" s="163" t="s">
        <v>402</v>
      </c>
      <c r="BA9" s="163" t="s">
        <v>402</v>
      </c>
      <c r="BB9" s="171"/>
      <c r="BC9" s="323" t="s">
        <v>413</v>
      </c>
      <c r="BD9" s="324" t="s">
        <v>414</v>
      </c>
      <c r="BE9" s="324" t="s">
        <v>420</v>
      </c>
      <c r="BF9" s="329" t="s">
        <v>406</v>
      </c>
      <c r="BG9" s="181" t="s">
        <v>402</v>
      </c>
      <c r="BH9" s="181" t="s">
        <v>402</v>
      </c>
      <c r="BI9" s="183" t="s">
        <v>401</v>
      </c>
      <c r="BJ9" s="323" t="s">
        <v>421</v>
      </c>
      <c r="BK9" s="327" t="s">
        <v>408</v>
      </c>
      <c r="BL9" s="328" t="s">
        <v>422</v>
      </c>
      <c r="BM9" s="193"/>
      <c r="BN9" s="194"/>
      <c r="BO9" s="194"/>
      <c r="BP9" s="194"/>
      <c r="BQ9" s="194"/>
      <c r="BR9" s="194"/>
      <c r="BS9" s="194"/>
      <c r="BT9" s="194"/>
      <c r="BU9" s="204"/>
      <c r="BV9" s="205"/>
      <c r="BW9" s="206"/>
      <c r="BX9" s="206"/>
      <c r="BY9" s="206"/>
      <c r="BZ9" s="206"/>
      <c r="CA9" s="206"/>
      <c r="CB9" s="213"/>
      <c r="CC9" s="214"/>
      <c r="CD9" s="206"/>
      <c r="CE9" s="213"/>
      <c r="CF9" s="215"/>
      <c r="CG9" s="216"/>
      <c r="CH9" s="216"/>
      <c r="CI9" s="216"/>
      <c r="CJ9" s="216"/>
      <c r="CK9" s="216"/>
      <c r="CL9" s="216"/>
      <c r="CM9" s="216"/>
      <c r="CN9" s="225"/>
      <c r="CO9" s="226"/>
      <c r="CP9" s="227"/>
      <c r="CQ9" s="227"/>
      <c r="CR9" s="227"/>
      <c r="CS9" s="227"/>
      <c r="CT9" s="227"/>
      <c r="CU9" s="234"/>
      <c r="CV9" s="226"/>
      <c r="CW9" s="227"/>
      <c r="CX9" s="234"/>
    </row>
    <row r="10" spans="1:102" ht="151.5" hidden="1" customHeight="1">
      <c r="A10" s="271">
        <v>4</v>
      </c>
      <c r="B10" s="272" t="str">
        <f>IFERROR(VLOOKUP($A10,Riesgos!$A$7:$H$84,2,FALSE),"")</f>
        <v>Administración de Bienes e Infraestructura</v>
      </c>
      <c r="C10" s="272" t="str">
        <f>IFERROR(VLOOKUP($A10,Riesgos!$A$7:$H$84,7,FALSE),"")</f>
        <v>Deficiencia y faltantes de información de los datos básicos de identificación de las piezas de la colección en la base de datos Colecciones Colombianas.</v>
      </c>
      <c r="D10" s="272" t="str">
        <f>IFERROR(VLOOKUP($A10,Riesgos!$A$7:$H$84,8,FALSE),"")</f>
        <v>Posibilidad de afectación económica  por la pérdida de piezas de la colección del Museo de Bogotá debido a la inconsistencia del inventario físico en relación al reporte emitido por el software de Colecciones Colombianas</v>
      </c>
      <c r="E10" s="273" t="s">
        <v>378</v>
      </c>
      <c r="F10" s="273">
        <v>200</v>
      </c>
      <c r="G10" s="335" t="str">
        <f>IF(F10&lt;=0,"",IF(F10&lt;='Listas y tablas'!$B$3,"Muy Baja",IF(F10&lt;='Listas y tablas'!$B$4,"Baja",IF(F10&lt;='Listas y tablas'!$B$5,"Media",IF(F10&lt;='Listas y tablas'!$B$6,"Alta","Muy Alta")))))</f>
        <v>Media</v>
      </c>
      <c r="H10" s="336">
        <f>IF(G10="","",IF(G10="Muy Baja",'Listas y tablas'!$C$3,IF(G10="Baja",'Listas y tablas'!$C$4,IF(G10="Media",'Listas y tablas'!$C$5,IF(G10="Alta",'Listas y tablas'!$C$6,IF(G10="Muy Alta",'Listas y tablas'!$C$7,))))))</f>
        <v>0.6</v>
      </c>
      <c r="I10" s="338" t="s">
        <v>423</v>
      </c>
      <c r="J10" s="336" t="str">
        <f>IF(NOT(ISERROR(MATCH(I10,'Tabla Impacto'!$B$221:$B$223,0))),'Tabla Impacto'!$F$223&amp;"Por favor no seleccionar los criterios de impacto(Afectación Económica o presupuestal y Pérdida Reputacional)",I10)</f>
        <v xml:space="preserve">     El riesgo afecta la imagen de la entidad con algunos usuarios de relevancia frente al logro de los objetivos</v>
      </c>
      <c r="K10" s="335" t="str">
        <f>IF(OR(J10='Tabla Impacto'!$C$11,J10='Tabla Impacto'!$D$11),"Leve",IF(OR(J10='Tabla Impacto'!$C$12,J10='Tabla Impacto'!$D$12),"Menor",IF(OR(J10='Tabla Impacto'!$C$13,J10='Tabla Impacto'!$D$13),"Moderado",IF(OR(J10='Tabla Impacto'!$C$14,J10='Tabla Impacto'!$D$14),"Mayor",IF(OR(J10='Tabla Impacto'!$C$15,J10='Tabla Impacto'!$D$15),"Catastrófico","")))))</f>
        <v>Moderado</v>
      </c>
      <c r="L10" s="336">
        <f>IF(K10="","",IF(K10="Leve",'Listas y tablas'!$F$3,IF(K10="Menor",'Listas y tablas'!$F$4,IF(K10="Moderado",'Listas y tablas'!$F$5,IF(K10="Mayor",'Listas y tablas'!$F$6,IF(K10="Catastrófico",'Listas y tablas'!$F$7,))))))</f>
        <v>0.6</v>
      </c>
      <c r="M10" s="335" t="str">
        <f t="shared" si="1"/>
        <v>Moderado</v>
      </c>
      <c r="N10" s="335" t="str">
        <f t="shared" si="2"/>
        <v>G</v>
      </c>
      <c r="O10" s="337">
        <f t="shared" si="3"/>
        <v>4</v>
      </c>
      <c r="P10" s="337" t="str">
        <f t="shared" si="4"/>
        <v>G4</v>
      </c>
      <c r="Q10" s="340" t="s">
        <v>424</v>
      </c>
      <c r="R10" s="337" t="str">
        <f t="shared" ref="R10:R15" si="8">IF(OR(S10="Preventivo",S10="Detectivo"),"Probabilidad",IF(S10="Correctivo","Impacto",""))</f>
        <v>Probabilidad</v>
      </c>
      <c r="S10" s="299" t="s">
        <v>381</v>
      </c>
      <c r="T10" s="299" t="s">
        <v>382</v>
      </c>
      <c r="U10" s="339" t="str">
        <f t="shared" si="0"/>
        <v>40%</v>
      </c>
      <c r="V10" s="299" t="s">
        <v>383</v>
      </c>
      <c r="W10" s="299" t="s">
        <v>384</v>
      </c>
      <c r="X10" s="299" t="s">
        <v>385</v>
      </c>
      <c r="Y10" s="346">
        <f t="shared" si="5"/>
        <v>0.36</v>
      </c>
      <c r="Z10" s="154" t="str">
        <f>IFERROR(IF(Y10="","",IF(Y10&lt;='Listas y tablas'!$L$3,"Muy Baja",IF(Y10&lt;='Listas y tablas'!$L$4,"Baja",IF(Y10&lt;='Listas y tablas'!$L$5,"Media",IF(Y10&lt;='Listas y tablas'!$L$6,"Alta","Muy Alta"))))),"")</f>
        <v>Baja</v>
      </c>
      <c r="AA10" s="339">
        <f t="shared" si="6"/>
        <v>0.36</v>
      </c>
      <c r="AB10" s="154" t="str">
        <f>IFERROR(IF(AC10="","",IF(AC10&lt;='Listas y tablas'!$O$3,"Leve",IF(AC10&lt;='Listas y tablas'!$O$4,"Menor",IF(AC10&lt;='Listas y tablas'!$O$5,"Moderado",IF(AC10&lt;='Listas y tablas'!$O$6,"Mayor","Catastrófico"))))),"")</f>
        <v>Catastrófico</v>
      </c>
      <c r="AC10" s="339">
        <f>IF(A9=A10,IFERROR(IF(AND(R9="Impacto",R10="Impacto"),(AC9-(+AC9*U10)),IF(R10="Impacto",($F9-(+$F9*U10)),IF(R10="Probabilidad",AC9,""))),""),IFERROR(IF(R10="Impacto",(F10-(+F10*U10)),IF(R10="Probabilidad",F10,"")),""))</f>
        <v>200</v>
      </c>
      <c r="AD10" s="154" t="str">
        <f t="shared" ref="AD10:AD48" si="9">IFERROR(IF(OR(AND(Z10="Muy Baja",AB10="Leve"),AND(Z10="Muy Baja",AB10="Menor"),AND(Z10="Baja",AB10="Leve")),"Bajo",IF(OR(AND(Z10="Muy baja",AB10="Moderado"),AND(Z10="Baja",AB10="Menor"),AND(Z10="Baja",AB10="Moderado"),AND(Z10="Media",AB10="Leve"),AND(Z10="Media",AB10="Menor"),AND(Z10="Media",AB10="Moderado"),AND(Z10="Alta",AB10="Leve"),AND(Z10="Alta",AB10="Menor")),"Moderado",IF(OR(AND(Z10="Muy Baja",AB10="Mayor"),AND(Z10="Baja",AB10="Mayor"),AND(Z10="Media",AB10="Mayor"),AND(Z10="Alta",AB10="Moderado"),AND(Z10="Alta",AB10="Mayor"),AND(Z10="Muy Alta",AB10="Leve"),AND(Z10="Muy Alta",AB10="Menor"),AND(Z10="Muy Alta",AB10="Moderado"),AND(Z10="Muy Alta",AB10="Mayor")),"Alto",IF(OR(AND(Z10="Muy Baja",AB10="Catastrófico"),AND(Z10="Baja",AB10="Catastrófico"),AND(Z10="Media",AB10="Catastrófico"),AND(Z10="Alta",AB10="Catastrófico"),AND(Z10="Muy Alta",AB10="Catastrófico")),"Extremo","")))),"")</f>
        <v>Extremo</v>
      </c>
      <c r="AE10" s="299" t="s">
        <v>425</v>
      </c>
      <c r="AF10" s="349" t="s">
        <v>426</v>
      </c>
      <c r="AG10" s="300" t="s">
        <v>388</v>
      </c>
      <c r="AH10" s="350" t="s">
        <v>427</v>
      </c>
      <c r="AI10" s="349" t="s">
        <v>428</v>
      </c>
      <c r="AJ10" s="349" t="s">
        <v>429</v>
      </c>
      <c r="AK10" s="350" t="s">
        <v>427</v>
      </c>
      <c r="AL10" s="358">
        <v>45108</v>
      </c>
      <c r="AM10" s="358">
        <v>45275</v>
      </c>
      <c r="AN10" s="273"/>
      <c r="AO10" s="273"/>
      <c r="AP10" s="273"/>
      <c r="AQ10" s="273"/>
      <c r="AR10" s="273"/>
      <c r="AS10" s="273"/>
      <c r="AT10" s="312" t="s">
        <v>430</v>
      </c>
      <c r="AU10" s="313" t="s">
        <v>426</v>
      </c>
      <c r="AV10" s="313">
        <v>0</v>
      </c>
      <c r="AW10" s="313">
        <v>1</v>
      </c>
      <c r="AX10" s="313" t="s">
        <v>431</v>
      </c>
      <c r="AY10" s="313" t="s">
        <v>429</v>
      </c>
      <c r="AZ10" s="163" t="s">
        <v>402</v>
      </c>
      <c r="BA10" s="163" t="s">
        <v>402</v>
      </c>
      <c r="BB10" s="171"/>
      <c r="BC10" s="323" t="s">
        <v>432</v>
      </c>
      <c r="BD10" s="324" t="s">
        <v>404</v>
      </c>
      <c r="BE10" s="324" t="s">
        <v>433</v>
      </c>
      <c r="BF10" s="329" t="s">
        <v>434</v>
      </c>
      <c r="BG10" s="181" t="s">
        <v>402</v>
      </c>
      <c r="BH10" s="181" t="s">
        <v>402</v>
      </c>
      <c r="BI10" s="183" t="s">
        <v>401</v>
      </c>
      <c r="BJ10" s="323" t="s">
        <v>435</v>
      </c>
      <c r="BK10" s="327" t="s">
        <v>408</v>
      </c>
      <c r="BL10" s="328" t="s">
        <v>402</v>
      </c>
      <c r="BM10" s="193"/>
      <c r="BN10" s="194"/>
      <c r="BO10" s="194"/>
      <c r="BP10" s="194"/>
      <c r="BQ10" s="194"/>
      <c r="BR10" s="194"/>
      <c r="BS10" s="194"/>
      <c r="BT10" s="194"/>
      <c r="BU10" s="204"/>
      <c r="BV10" s="205"/>
      <c r="BW10" s="206"/>
      <c r="BX10" s="206"/>
      <c r="BY10" s="206"/>
      <c r="BZ10" s="206"/>
      <c r="CA10" s="206"/>
      <c r="CB10" s="213"/>
      <c r="CC10" s="214"/>
      <c r="CD10" s="206"/>
      <c r="CE10" s="213"/>
      <c r="CF10" s="215"/>
      <c r="CG10" s="216"/>
      <c r="CH10" s="216"/>
      <c r="CI10" s="216"/>
      <c r="CJ10" s="216"/>
      <c r="CK10" s="216"/>
      <c r="CL10" s="216"/>
      <c r="CM10" s="216"/>
      <c r="CN10" s="225"/>
      <c r="CO10" s="226"/>
      <c r="CP10" s="227"/>
      <c r="CQ10" s="227"/>
      <c r="CR10" s="227"/>
      <c r="CS10" s="227"/>
      <c r="CT10" s="227"/>
      <c r="CU10" s="234"/>
      <c r="CV10" s="226"/>
      <c r="CW10" s="227"/>
      <c r="CX10" s="234"/>
    </row>
    <row r="11" spans="1:102" ht="261.75" hidden="1" customHeight="1">
      <c r="A11" s="581">
        <v>5</v>
      </c>
      <c r="B11" s="584" t="str">
        <f>IFERROR(VLOOKUP($A11,Riesgos!$A$7:$H$84,2,FALSE),"")</f>
        <v>Administración de Bienes e Infraestructura</v>
      </c>
      <c r="C11" s="584" t="str">
        <f>IFERROR(VLOOKUP($A11,Riesgos!$A$7:$H$84,7,FALSE),"")</f>
        <v>Condiciones inadecuadas de humedad y temperatura en las salas de exhibición</v>
      </c>
      <c r="D11" s="584" t="str">
        <f>IFERROR(VLOOKUP($A11,Riesgos!$A$7:$H$84,8,FALSE),"")</f>
        <v>Posibilidad de afectación reputacional por daños de piezas de la colección debido a fallas en los equipos de medición ambiental que no se encuentran con la calibración apropiadas</v>
      </c>
      <c r="E11" s="273" t="s">
        <v>436</v>
      </c>
      <c r="F11" s="273">
        <v>48</v>
      </c>
      <c r="G11" s="594" t="str">
        <f>IF(F11&lt;=0,"",IF(F11&lt;='Listas y tablas'!$B$3,"Muy Baja",IF(F11&lt;='Listas y tablas'!$B$4,"Baja",IF(F11&lt;='Listas y tablas'!$B$5,"Media",IF(F11&lt;='Listas y tablas'!$B$6,"Alta","Muy Alta")))))</f>
        <v>Media</v>
      </c>
      <c r="H11" s="597">
        <f>IF(G11="","",IF(G11="Muy Baja",'Listas y tablas'!$C$3,IF(G11="Baja",'Listas y tablas'!$C$4,IF(G11="Media",'Listas y tablas'!$C$5,IF(G11="Alta",'Listas y tablas'!$C$6,IF(G11="Muy Alta",'Listas y tablas'!$C$7,))))))</f>
        <v>0.6</v>
      </c>
      <c r="I11" s="600" t="s">
        <v>423</v>
      </c>
      <c r="J11" s="597" t="str">
        <f>IF(NOT(ISERROR(MATCH(I11,'Tabla Impacto'!$B$221:$B$223,0))),'Tabla Impacto'!$F$223&amp;"Por favor no seleccionar los criterios de impacto(Afectación Económica o presupuestal y Pérdida Reputacional)",I11)</f>
        <v xml:space="preserve">     El riesgo afecta la imagen de la entidad con algunos usuarios de relevancia frente al logro de los objetivos</v>
      </c>
      <c r="K11" s="594" t="str">
        <f>IF(OR(J11='Tabla Impacto'!$C$11,J11='Tabla Impacto'!$D$11),"Leve",IF(OR(J11='Tabla Impacto'!$C$12,J11='Tabla Impacto'!$D$12),"Menor",IF(OR(J11='Tabla Impacto'!$C$13,J11='Tabla Impacto'!$D$13),"Moderado",IF(OR(J11='Tabla Impacto'!$C$14,J11='Tabla Impacto'!$D$14),"Mayor",IF(OR(J11='Tabla Impacto'!$C$15,J11='Tabla Impacto'!$D$15),"Catastrófico","")))))</f>
        <v>Moderado</v>
      </c>
      <c r="L11" s="597">
        <f>IF(K11="","",IF(K11="Leve",'Listas y tablas'!$F$3,IF(K11="Menor",'Listas y tablas'!$F$4,IF(K11="Moderado",'Listas y tablas'!$F$5,IF(K11="Mayor",'Listas y tablas'!$F$6,IF(K11="Catastrófico",'Listas y tablas'!$F$7,))))))</f>
        <v>0.6</v>
      </c>
      <c r="M11" s="594" t="str">
        <f t="shared" si="1"/>
        <v>Moderado</v>
      </c>
      <c r="N11" s="335" t="str">
        <f t="shared" si="2"/>
        <v>G</v>
      </c>
      <c r="O11" s="337">
        <f t="shared" si="3"/>
        <v>5</v>
      </c>
      <c r="P11" s="337" t="str">
        <f t="shared" si="4"/>
        <v>G5</v>
      </c>
      <c r="Q11" s="340" t="s">
        <v>437</v>
      </c>
      <c r="R11" s="337" t="str">
        <f t="shared" si="8"/>
        <v>Probabilidad</v>
      </c>
      <c r="S11" s="299" t="s">
        <v>381</v>
      </c>
      <c r="T11" s="299" t="s">
        <v>382</v>
      </c>
      <c r="U11" s="339" t="str">
        <f t="shared" si="0"/>
        <v>40%</v>
      </c>
      <c r="V11" s="299" t="s">
        <v>383</v>
      </c>
      <c r="W11" s="299" t="s">
        <v>384</v>
      </c>
      <c r="X11" s="299" t="s">
        <v>385</v>
      </c>
      <c r="Y11" s="612">
        <f t="shared" si="5"/>
        <v>0.36</v>
      </c>
      <c r="Z11" s="617" t="str">
        <f>IFERROR(IF(Y11="","",IF(Y11&lt;='Listas y tablas'!$L$3,"Muy Baja",IF(Y11&lt;='Listas y tablas'!$L$4,"Baja",IF(Y11&lt;='Listas y tablas'!$L$5,"Media",IF(Y11&lt;='Listas y tablas'!$L$6,"Alta","Muy Alta"))))),"")</f>
        <v>Baja</v>
      </c>
      <c r="AA11" s="597">
        <f t="shared" si="6"/>
        <v>0.36</v>
      </c>
      <c r="AB11" s="617" t="str">
        <f>IFERROR(IF(AC11="","",IF(AC11&lt;='Listas y tablas'!$O$3,"Leve",IF(AC11&lt;='Listas y tablas'!$O$4,"Menor",IF(AC11&lt;='Listas y tablas'!$O$5,"Moderado",IF(AC11&lt;='Listas y tablas'!$O$6,"Mayor","Catastrófico"))))),"")</f>
        <v>Catastrófico</v>
      </c>
      <c r="AC11" s="597">
        <f t="shared" ref="AC11:AC48" si="10">IF(A10=A11,IFERROR(IF(AND(R10="Impacto",R11="Impacto"),(AC10-(+AC10*U11)),IF(R11="Impacto",($F10-(+$F10*U11)),IF(R11="Probabilidad",AC10,""))),""),IFERROR(IF(R11="Impacto",(F11-(+F11*U11)),IF(R11="Probabilidad",F11,"")),""))</f>
        <v>48</v>
      </c>
      <c r="AD11" s="617" t="str">
        <f t="shared" si="9"/>
        <v>Extremo</v>
      </c>
      <c r="AE11" s="609" t="s">
        <v>386</v>
      </c>
      <c r="AF11" s="350" t="s">
        <v>438</v>
      </c>
      <c r="AG11" s="300" t="s">
        <v>439</v>
      </c>
      <c r="AH11" s="350" t="s">
        <v>427</v>
      </c>
      <c r="AI11" s="350" t="s">
        <v>440</v>
      </c>
      <c r="AJ11" s="350" t="s">
        <v>441</v>
      </c>
      <c r="AK11" s="350" t="s">
        <v>427</v>
      </c>
      <c r="AL11" s="359">
        <v>45047</v>
      </c>
      <c r="AM11" s="359">
        <v>45275</v>
      </c>
      <c r="AN11" s="273"/>
      <c r="AO11" s="273"/>
      <c r="AP11" s="273"/>
      <c r="AQ11" s="273"/>
      <c r="AR11" s="273"/>
      <c r="AS11" s="273"/>
      <c r="AT11" s="312" t="s">
        <v>442</v>
      </c>
      <c r="AU11" s="313" t="s">
        <v>438</v>
      </c>
      <c r="AV11" s="313">
        <v>0</v>
      </c>
      <c r="AW11" s="313">
        <v>1</v>
      </c>
      <c r="AX11" s="313" t="s">
        <v>443</v>
      </c>
      <c r="AY11" s="313" t="s">
        <v>441</v>
      </c>
      <c r="AZ11" s="163" t="s">
        <v>402</v>
      </c>
      <c r="BA11" s="163" t="s">
        <v>402</v>
      </c>
      <c r="BB11" s="171"/>
      <c r="BC11" s="323" t="s">
        <v>444</v>
      </c>
      <c r="BD11" s="324" t="s">
        <v>404</v>
      </c>
      <c r="BE11" s="324" t="s">
        <v>445</v>
      </c>
      <c r="BF11" s="329" t="s">
        <v>434</v>
      </c>
      <c r="BG11" s="181" t="s">
        <v>402</v>
      </c>
      <c r="BH11" s="181" t="s">
        <v>402</v>
      </c>
      <c r="BI11" s="183" t="s">
        <v>401</v>
      </c>
      <c r="BJ11" s="323" t="s">
        <v>446</v>
      </c>
      <c r="BK11" s="327" t="s">
        <v>408</v>
      </c>
      <c r="BL11" s="641" t="s">
        <v>402</v>
      </c>
      <c r="BM11" s="193"/>
      <c r="BN11" s="194"/>
      <c r="BO11" s="194"/>
      <c r="BP11" s="194"/>
      <c r="BQ11" s="194"/>
      <c r="BR11" s="194"/>
      <c r="BS11" s="194"/>
      <c r="BT11" s="194"/>
      <c r="BU11" s="204"/>
      <c r="BV11" s="205"/>
      <c r="BW11" s="206"/>
      <c r="BX11" s="206"/>
      <c r="BY11" s="206"/>
      <c r="BZ11" s="206"/>
      <c r="CA11" s="206"/>
      <c r="CB11" s="213"/>
      <c r="CC11" s="214"/>
      <c r="CD11" s="206"/>
      <c r="CE11" s="213"/>
      <c r="CF11" s="215"/>
      <c r="CG11" s="216"/>
      <c r="CH11" s="216"/>
      <c r="CI11" s="216"/>
      <c r="CJ11" s="216"/>
      <c r="CK11" s="216"/>
      <c r="CL11" s="216"/>
      <c r="CM11" s="216"/>
      <c r="CN11" s="225"/>
      <c r="CO11" s="226"/>
      <c r="CP11" s="227"/>
      <c r="CQ11" s="227"/>
      <c r="CR11" s="227"/>
      <c r="CS11" s="227"/>
      <c r="CT11" s="227"/>
      <c r="CU11" s="234"/>
      <c r="CV11" s="226"/>
      <c r="CW11" s="227"/>
      <c r="CX11" s="234"/>
    </row>
    <row r="12" spans="1:102" ht="151.5" hidden="1" customHeight="1">
      <c r="A12" s="582"/>
      <c r="B12" s="585"/>
      <c r="C12" s="585"/>
      <c r="D12" s="585"/>
      <c r="E12" s="273" t="s">
        <v>436</v>
      </c>
      <c r="F12" s="273">
        <v>48</v>
      </c>
      <c r="G12" s="595"/>
      <c r="H12" s="598"/>
      <c r="I12" s="601"/>
      <c r="J12" s="598"/>
      <c r="K12" s="595"/>
      <c r="L12" s="598"/>
      <c r="M12" s="595"/>
      <c r="N12" s="335" t="str">
        <f>+IF(ISTEXT(D11),"G","")</f>
        <v>G</v>
      </c>
      <c r="O12" s="337">
        <f>IF(ISTEXT(D11),1+O11,"")</f>
        <v>6</v>
      </c>
      <c r="P12" s="337" t="str">
        <f>IF(ISTEXT(D11),CONCATENATE(N12,O12),"")</f>
        <v>G6</v>
      </c>
      <c r="Q12" s="340" t="s">
        <v>447</v>
      </c>
      <c r="R12" s="337" t="str">
        <f t="shared" si="8"/>
        <v>Probabilidad</v>
      </c>
      <c r="S12" s="299" t="s">
        <v>381</v>
      </c>
      <c r="T12" s="299" t="s">
        <v>382</v>
      </c>
      <c r="U12" s="339" t="str">
        <f t="shared" si="0"/>
        <v>40%</v>
      </c>
      <c r="V12" s="299" t="s">
        <v>383</v>
      </c>
      <c r="W12" s="299" t="s">
        <v>384</v>
      </c>
      <c r="X12" s="299" t="s">
        <v>385</v>
      </c>
      <c r="Y12" s="613"/>
      <c r="Z12" s="618"/>
      <c r="AA12" s="598"/>
      <c r="AB12" s="618"/>
      <c r="AC12" s="598"/>
      <c r="AD12" s="618"/>
      <c r="AE12" s="611"/>
      <c r="AF12" s="350" t="s">
        <v>448</v>
      </c>
      <c r="AG12" s="300"/>
      <c r="AH12" s="300"/>
      <c r="AI12" s="273"/>
      <c r="AJ12" s="273"/>
      <c r="AK12" s="273"/>
      <c r="AL12" s="304"/>
      <c r="AM12" s="304"/>
      <c r="AN12" s="273"/>
      <c r="AO12" s="273"/>
      <c r="AP12" s="273"/>
      <c r="AQ12" s="273"/>
      <c r="AR12" s="273"/>
      <c r="AS12" s="273"/>
      <c r="AT12" s="367" t="s">
        <v>449</v>
      </c>
      <c r="AU12" s="313" t="s">
        <v>450</v>
      </c>
      <c r="AV12" s="163"/>
      <c r="AW12" s="163"/>
      <c r="AX12" s="163"/>
      <c r="AY12" s="163"/>
      <c r="AZ12" s="163" t="s">
        <v>402</v>
      </c>
      <c r="BA12" s="163" t="s">
        <v>402</v>
      </c>
      <c r="BB12" s="171"/>
      <c r="BC12" s="323" t="s">
        <v>451</v>
      </c>
      <c r="BD12" s="324" t="s">
        <v>404</v>
      </c>
      <c r="BE12" s="324"/>
      <c r="BF12" s="329"/>
      <c r="BG12" s="181" t="s">
        <v>402</v>
      </c>
      <c r="BH12" s="181" t="s">
        <v>402</v>
      </c>
      <c r="BI12" s="183" t="s">
        <v>401</v>
      </c>
      <c r="BJ12" s="323" t="s">
        <v>452</v>
      </c>
      <c r="BK12" s="327" t="s">
        <v>408</v>
      </c>
      <c r="BL12" s="642"/>
      <c r="BM12" s="193"/>
      <c r="BN12" s="194"/>
      <c r="BO12" s="194"/>
      <c r="BP12" s="194"/>
      <c r="BQ12" s="194"/>
      <c r="BR12" s="194"/>
      <c r="BS12" s="194"/>
      <c r="BT12" s="194"/>
      <c r="BU12" s="204"/>
      <c r="BV12" s="205"/>
      <c r="BW12" s="206"/>
      <c r="BX12" s="206"/>
      <c r="BY12" s="206"/>
      <c r="BZ12" s="206"/>
      <c r="CA12" s="206"/>
      <c r="CB12" s="213"/>
      <c r="CC12" s="214"/>
      <c r="CD12" s="206"/>
      <c r="CE12" s="213"/>
      <c r="CF12" s="215"/>
      <c r="CG12" s="216"/>
      <c r="CH12" s="216"/>
      <c r="CI12" s="216"/>
      <c r="CJ12" s="216"/>
      <c r="CK12" s="216"/>
      <c r="CL12" s="216"/>
      <c r="CM12" s="216"/>
      <c r="CN12" s="225"/>
      <c r="CO12" s="226"/>
      <c r="CP12" s="227"/>
      <c r="CQ12" s="227"/>
      <c r="CR12" s="227"/>
      <c r="CS12" s="227"/>
      <c r="CT12" s="227"/>
      <c r="CU12" s="234"/>
      <c r="CV12" s="226"/>
      <c r="CW12" s="227"/>
      <c r="CX12" s="234"/>
    </row>
    <row r="13" spans="1:102" ht="210" hidden="1" customHeight="1">
      <c r="A13" s="271">
        <v>6</v>
      </c>
      <c r="B13" s="272" t="str">
        <f>IFERROR(VLOOKUP($A13,Riesgos!$A$7:$H$84,2,FALSE),"")</f>
        <v>Atención a la Ciudadanía</v>
      </c>
      <c r="C13" s="272" t="str">
        <f>IFERROR(VLOOKUP($A13,Riesgos!$A$7:$H$84,7,FALSE),"")</f>
        <v xml:space="preserve">Desconocimiento del procedimiento interno para el trámite de los requerimientos presentados por la ciudadanía. </v>
      </c>
      <c r="D13" s="272" t="str">
        <f>IFERROR(VLOOKUP($A13,Riesgos!$A$7:$H$84,8,FALSE),"")</f>
        <v xml:space="preserve">Posibilidad de afectación reputacional por la entrega fuera de términos de las respuestas a los requerimientos de la Ciudadanía debido al desconocimiento del procedimiento interno para el trámite de los requerimientos presentados por la Ciudadanía. </v>
      </c>
      <c r="E13" s="273" t="s">
        <v>453</v>
      </c>
      <c r="F13" s="273" t="s">
        <v>454</v>
      </c>
      <c r="G13" s="335" t="str">
        <f>IF(F13&lt;=0,"",IF(F13&lt;='Listas y tablas'!$B$3,"Muy Baja",IF(F13&lt;='Listas y tablas'!$B$4,"Baja",IF(F13&lt;='Listas y tablas'!$B$5,"Media",IF(F13&lt;='Listas y tablas'!$B$6,"Alta","Muy Alta")))))</f>
        <v>Muy Alta</v>
      </c>
      <c r="H13" s="336">
        <f>IF(G13="","",IF(G13="Muy Baja",'Listas y tablas'!$C$3,IF(G13="Baja",'Listas y tablas'!$C$4,IF(G13="Media",'Listas y tablas'!$C$5,IF(G13="Alta",'Listas y tablas'!$C$6,IF(G13="Muy Alta",'Listas y tablas'!$C$7,))))))</f>
        <v>1</v>
      </c>
      <c r="I13" s="338" t="s">
        <v>423</v>
      </c>
      <c r="J13" s="336" t="str">
        <f>IF(NOT(ISERROR(MATCH(I13,'Tabla Impacto'!$B$221:$B$223,0))),'Tabla Impacto'!$F$223&amp;"Por favor no seleccionar los criterios de impacto(Afectación Económica o presupuestal y Pérdida Reputacional)",I13)</f>
        <v xml:space="preserve">     El riesgo afecta la imagen de la entidad con algunos usuarios de relevancia frente al logro de los objetivos</v>
      </c>
      <c r="K13" s="335" t="str">
        <f>IF(OR(J13='Tabla Impacto'!$C$11,J13='Tabla Impacto'!$D$11),"Leve",IF(OR(J13='Tabla Impacto'!$C$12,J13='Tabla Impacto'!$D$12),"Menor",IF(OR(J13='Tabla Impacto'!$C$13,J13='Tabla Impacto'!$D$13),"Moderado",IF(OR(J13='Tabla Impacto'!$C$14,J13='Tabla Impacto'!$D$14),"Mayor",IF(OR(J13='Tabla Impacto'!$C$15,J13='Tabla Impacto'!$D$15),"Catastrófico","")))))</f>
        <v>Moderado</v>
      </c>
      <c r="L13" s="336">
        <f>IF(K13="","",IF(K13="Leve",'Listas y tablas'!$F$3,IF(K13="Menor",'Listas y tablas'!$F$4,IF(K13="Moderado",'Listas y tablas'!$F$5,IF(K13="Mayor",'Listas y tablas'!$F$6,IF(K13="Catastrófico",'Listas y tablas'!$F$7,))))))</f>
        <v>0.6</v>
      </c>
      <c r="M13" s="335" t="str">
        <f t="shared" si="1"/>
        <v>Alto</v>
      </c>
      <c r="N13" s="335" t="str">
        <f t="shared" si="2"/>
        <v>G</v>
      </c>
      <c r="O13" s="337">
        <f t="shared" si="3"/>
        <v>7</v>
      </c>
      <c r="P13" s="337" t="str">
        <f t="shared" si="4"/>
        <v>G7</v>
      </c>
      <c r="Q13" s="286" t="s">
        <v>455</v>
      </c>
      <c r="R13" s="337" t="str">
        <f t="shared" si="8"/>
        <v>Probabilidad</v>
      </c>
      <c r="S13" s="299" t="s">
        <v>381</v>
      </c>
      <c r="T13" s="299" t="s">
        <v>382</v>
      </c>
      <c r="U13" s="339" t="str">
        <f t="shared" si="0"/>
        <v>40%</v>
      </c>
      <c r="V13" s="299" t="s">
        <v>383</v>
      </c>
      <c r="W13" s="299" t="s">
        <v>384</v>
      </c>
      <c r="X13" s="299" t="s">
        <v>385</v>
      </c>
      <c r="Y13" s="346">
        <f t="shared" si="5"/>
        <v>0.6</v>
      </c>
      <c r="Z13" s="154" t="str">
        <f>IFERROR(IF(Y13="","",IF(Y13&lt;='Listas y tablas'!$L$3,"Muy Baja",IF(Y13&lt;='Listas y tablas'!$L$4,"Baja",IF(Y13&lt;='Listas y tablas'!$L$5,"Media",IF(Y13&lt;='Listas y tablas'!$L$6,"Alta","Muy Alta"))))),"")</f>
        <v>Media</v>
      </c>
      <c r="AA13" s="339">
        <f t="shared" si="6"/>
        <v>0.6</v>
      </c>
      <c r="AB13" s="154" t="str">
        <f>IFERROR(IF(AC13="","",IF(AC13&lt;='Listas y tablas'!$O$3,"Leve",IF(AC13&lt;='Listas y tablas'!$O$4,"Menor",IF(AC13&lt;='Listas y tablas'!$O$5,"Moderado",IF(AC13&lt;='Listas y tablas'!$O$6,"Mayor","Catastrófico"))))),"")</f>
        <v>Catastrófico</v>
      </c>
      <c r="AC13" s="339" t="str">
        <f t="shared" si="10"/>
        <v xml:space="preserve">Diaria </v>
      </c>
      <c r="AD13" s="154" t="str">
        <f t="shared" si="9"/>
        <v>Extremo</v>
      </c>
      <c r="AE13" s="299" t="s">
        <v>386</v>
      </c>
      <c r="AF13" s="300" t="s">
        <v>456</v>
      </c>
      <c r="AG13" s="300" t="s">
        <v>457</v>
      </c>
      <c r="AH13" s="300" t="s">
        <v>458</v>
      </c>
      <c r="AI13" s="273" t="s">
        <v>459</v>
      </c>
      <c r="AJ13" s="273" t="s">
        <v>460</v>
      </c>
      <c r="AK13" s="273" t="s">
        <v>461</v>
      </c>
      <c r="AL13" s="304">
        <v>44958</v>
      </c>
      <c r="AM13" s="304">
        <v>45291</v>
      </c>
      <c r="AN13" s="273" t="s">
        <v>462</v>
      </c>
      <c r="AO13" s="273" t="s">
        <v>463</v>
      </c>
      <c r="AP13" s="273" t="s">
        <v>464</v>
      </c>
      <c r="AQ13" s="273" t="s">
        <v>465</v>
      </c>
      <c r="AR13" s="273"/>
      <c r="AS13" s="273" t="s">
        <v>466</v>
      </c>
      <c r="AT13" s="319" t="s">
        <v>467</v>
      </c>
      <c r="AU13" s="313" t="s">
        <v>468</v>
      </c>
      <c r="AV13" s="163"/>
      <c r="AW13" s="163"/>
      <c r="AX13" s="313" t="s">
        <v>469</v>
      </c>
      <c r="AY13" s="163" t="s">
        <v>470</v>
      </c>
      <c r="AZ13" s="163" t="s">
        <v>422</v>
      </c>
      <c r="BA13" s="163" t="s">
        <v>422</v>
      </c>
      <c r="BB13" s="383" t="s">
        <v>471</v>
      </c>
      <c r="BC13" s="323" t="s">
        <v>472</v>
      </c>
      <c r="BD13" s="324" t="s">
        <v>404</v>
      </c>
      <c r="BE13" s="324" t="s">
        <v>473</v>
      </c>
      <c r="BF13" s="329" t="s">
        <v>474</v>
      </c>
      <c r="BG13" s="181" t="s">
        <v>422</v>
      </c>
      <c r="BH13" s="181" t="s">
        <v>422</v>
      </c>
      <c r="BI13" s="395" t="s">
        <v>475</v>
      </c>
      <c r="BJ13" s="323" t="s">
        <v>476</v>
      </c>
      <c r="BK13" s="327" t="s">
        <v>408</v>
      </c>
      <c r="BL13" s="328" t="s">
        <v>422</v>
      </c>
      <c r="BM13" s="193"/>
      <c r="BN13" s="194"/>
      <c r="BO13" s="194"/>
      <c r="BP13" s="194"/>
      <c r="BQ13" s="194"/>
      <c r="BR13" s="194"/>
      <c r="BS13" s="194"/>
      <c r="BT13" s="194"/>
      <c r="BU13" s="204"/>
      <c r="BV13" s="205"/>
      <c r="BW13" s="206"/>
      <c r="BX13" s="206"/>
      <c r="BY13" s="206"/>
      <c r="BZ13" s="206"/>
      <c r="CA13" s="206"/>
      <c r="CB13" s="213"/>
      <c r="CC13" s="214"/>
      <c r="CD13" s="206"/>
      <c r="CE13" s="213"/>
      <c r="CF13" s="215"/>
      <c r="CG13" s="216"/>
      <c r="CH13" s="216"/>
      <c r="CI13" s="216"/>
      <c r="CJ13" s="216"/>
      <c r="CK13" s="216"/>
      <c r="CL13" s="216"/>
      <c r="CM13" s="216"/>
      <c r="CN13" s="225"/>
      <c r="CO13" s="226"/>
      <c r="CP13" s="227"/>
      <c r="CQ13" s="227"/>
      <c r="CR13" s="227"/>
      <c r="CS13" s="227"/>
      <c r="CT13" s="227"/>
      <c r="CU13" s="234"/>
      <c r="CV13" s="226"/>
      <c r="CW13" s="227"/>
      <c r="CX13" s="234"/>
    </row>
    <row r="14" spans="1:102" ht="177" hidden="1" customHeight="1">
      <c r="A14" s="271">
        <v>7</v>
      </c>
      <c r="B14" s="272" t="str">
        <f>IFERROR(VLOOKUP($A14,Riesgos!$A$7:$H$84,2,FALSE),"")</f>
        <v>Atención a la Ciudadanía</v>
      </c>
      <c r="C14" s="272" t="str">
        <f>IFERROR(VLOOKUP($A14,Riesgos!$A$7:$H$84,7,FALSE),"")</f>
        <v>Ausencia de la documentación que describe el quéhacer de la Política de Transparencia al interior del IDPC y desarticulación de los actores involucrados en la implementación de la Política de Transparencia y Acceso a la Información Pública.</v>
      </c>
      <c r="D14" s="272" t="str">
        <f>IFERROR(VLOOKUP($A14,Riesgos!$A$7:$H$84,8,FALSE),"")</f>
        <v>Posibilidad de incumplimiento de la Ley de Transparencia debido a la desarticulación de los actores involucrados en la implementación de la Política de Transparencia y Acceso a la Información Pública.</v>
      </c>
      <c r="E14" s="273" t="s">
        <v>453</v>
      </c>
      <c r="F14" s="273" t="s">
        <v>454</v>
      </c>
      <c r="G14" s="335" t="str">
        <f>IF(F14&lt;=0,"",IF(F14&lt;='Listas y tablas'!$B$3,"Muy Baja",IF(F14&lt;='Listas y tablas'!$B$4,"Baja",IF(F14&lt;='Listas y tablas'!$B$5,"Media",IF(F14&lt;='Listas y tablas'!$B$6,"Alta","Muy Alta")))))</f>
        <v>Muy Alta</v>
      </c>
      <c r="H14" s="336">
        <f>IF(G14="","",IF(G14="Muy Baja",'Listas y tablas'!$C$3,IF(G14="Baja",'Listas y tablas'!$C$4,IF(G14="Media",'Listas y tablas'!$C$5,IF(G14="Alta",'Listas y tablas'!$C$6,IF(G14="Muy Alta",'Listas y tablas'!$C$7,))))))</f>
        <v>1</v>
      </c>
      <c r="I14" s="338" t="s">
        <v>423</v>
      </c>
      <c r="J14" s="336" t="str">
        <f>IF(NOT(ISERROR(MATCH(I14,'Tabla Impacto'!$B$221:$B$223,0))),'Tabla Impacto'!$F$223&amp;"Por favor no seleccionar los criterios de impacto(Afectación Económica o presupuestal y Pérdida Reputacional)",I14)</f>
        <v xml:space="preserve">     El riesgo afecta la imagen de la entidad con algunos usuarios de relevancia frente al logro de los objetivos</v>
      </c>
      <c r="K14" s="335" t="str">
        <f>IF(OR(J14='Tabla Impacto'!$C$11,J14='Tabla Impacto'!$D$11),"Leve",IF(OR(J14='Tabla Impacto'!$C$12,J14='Tabla Impacto'!$D$12),"Menor",IF(OR(J14='Tabla Impacto'!$C$13,J14='Tabla Impacto'!$D$13),"Moderado",IF(OR(J14='Tabla Impacto'!$C$14,J14='Tabla Impacto'!$D$14),"Mayor",IF(OR(J14='Tabla Impacto'!$C$15,J14='Tabla Impacto'!$D$15),"Catastrófico","")))))</f>
        <v>Moderado</v>
      </c>
      <c r="L14" s="336">
        <f>IF(K14="","",IF(K14="Leve",'Listas y tablas'!$F$3,IF(K14="Menor",'Listas y tablas'!$F$4,IF(K14="Moderado",'Listas y tablas'!$F$5,IF(K14="Mayor",'Listas y tablas'!$F$6,IF(K14="Catastrófico",'Listas y tablas'!$F$7,))))))</f>
        <v>0.6</v>
      </c>
      <c r="M14" s="335" t="str">
        <f t="shared" si="1"/>
        <v>Alto</v>
      </c>
      <c r="N14" s="335" t="str">
        <f t="shared" si="2"/>
        <v>G</v>
      </c>
      <c r="O14" s="337">
        <f t="shared" si="3"/>
        <v>8</v>
      </c>
      <c r="P14" s="337" t="str">
        <f t="shared" si="4"/>
        <v>G8</v>
      </c>
      <c r="Q14" s="286" t="s">
        <v>477</v>
      </c>
      <c r="R14" s="337" t="str">
        <f t="shared" si="8"/>
        <v>Probabilidad</v>
      </c>
      <c r="S14" s="299" t="s">
        <v>381</v>
      </c>
      <c r="T14" s="299" t="s">
        <v>382</v>
      </c>
      <c r="U14" s="339" t="str">
        <f t="shared" ref="U14:U15" si="11">IF(AND(S14="Preventivo",T14="Automático"),"50%",IF(AND(S14="Preventivo",T14="Manual"),"40%",IF(AND(S14="Detectivo",T14="Automático"),"40%",IF(AND(S14="Detectivo",T14="Manual"),"30%",IF(AND(S14="Correctivo",T14="Automático"),"35%",IF(AND(S14="Correctivo",T14="Manual"),"25%",""))))))</f>
        <v>40%</v>
      </c>
      <c r="V14" s="299" t="s">
        <v>383</v>
      </c>
      <c r="W14" s="299" t="s">
        <v>384</v>
      </c>
      <c r="X14" s="299" t="s">
        <v>385</v>
      </c>
      <c r="Y14" s="346">
        <f t="shared" si="5"/>
        <v>0.6</v>
      </c>
      <c r="Z14" s="154" t="str">
        <f>IFERROR(IF(Y14="","",IF(Y14&lt;='Listas y tablas'!$L$3,"Muy Baja",IF(Y14&lt;='Listas y tablas'!$L$4,"Baja",IF(Y14&lt;='Listas y tablas'!$L$5,"Media",IF(Y14&lt;='Listas y tablas'!$L$6,"Alta","Muy Alta"))))),"")</f>
        <v>Media</v>
      </c>
      <c r="AA14" s="339">
        <f t="shared" si="6"/>
        <v>0.6</v>
      </c>
      <c r="AB14" s="154" t="str">
        <f>IFERROR(IF(AC14="","",IF(AC14&lt;='Listas y tablas'!$O$3,"Leve",IF(AC14&lt;='Listas y tablas'!$O$4,"Menor",IF(AC14&lt;='Listas y tablas'!$O$5,"Moderado",IF(AC14&lt;='Listas y tablas'!$O$6,"Mayor","Catastrófico"))))),"")</f>
        <v>Catastrófico</v>
      </c>
      <c r="AC14" s="339" t="str">
        <f t="shared" si="10"/>
        <v xml:space="preserve">Diaria </v>
      </c>
      <c r="AD14" s="154" t="str">
        <f t="shared" si="9"/>
        <v>Extremo</v>
      </c>
      <c r="AE14" s="299" t="s">
        <v>386</v>
      </c>
      <c r="AF14" s="300" t="s">
        <v>478</v>
      </c>
      <c r="AG14" s="300" t="s">
        <v>479</v>
      </c>
      <c r="AH14" s="300" t="s">
        <v>458</v>
      </c>
      <c r="AI14" s="273" t="s">
        <v>480</v>
      </c>
      <c r="AJ14" s="273" t="s">
        <v>481</v>
      </c>
      <c r="AK14" s="273" t="s">
        <v>482</v>
      </c>
      <c r="AL14" s="304">
        <v>44958</v>
      </c>
      <c r="AM14" s="304">
        <v>45291</v>
      </c>
      <c r="AN14" s="273"/>
      <c r="AO14" s="273"/>
      <c r="AP14" s="273"/>
      <c r="AQ14" s="273"/>
      <c r="AR14" s="273"/>
      <c r="AS14" s="273"/>
      <c r="AT14" s="368" t="s">
        <v>483</v>
      </c>
      <c r="AU14" s="313" t="s">
        <v>484</v>
      </c>
      <c r="AV14" s="163"/>
      <c r="AW14" s="163"/>
      <c r="AX14" s="313" t="s">
        <v>485</v>
      </c>
      <c r="AY14" s="313" t="s">
        <v>486</v>
      </c>
      <c r="AZ14" s="163" t="s">
        <v>402</v>
      </c>
      <c r="BA14" s="163" t="s">
        <v>402</v>
      </c>
      <c r="BB14" s="171"/>
      <c r="BC14" s="323" t="s">
        <v>487</v>
      </c>
      <c r="BD14" s="324" t="s">
        <v>404</v>
      </c>
      <c r="BE14" s="324" t="s">
        <v>488</v>
      </c>
      <c r="BF14" s="329" t="s">
        <v>434</v>
      </c>
      <c r="BG14" s="181" t="s">
        <v>402</v>
      </c>
      <c r="BH14" s="181" t="s">
        <v>402</v>
      </c>
      <c r="BI14" s="183"/>
      <c r="BJ14" s="323" t="s">
        <v>489</v>
      </c>
      <c r="BK14" s="327" t="s">
        <v>408</v>
      </c>
      <c r="BL14" s="328" t="s">
        <v>422</v>
      </c>
      <c r="BM14" s="193"/>
      <c r="BN14" s="194"/>
      <c r="BO14" s="194"/>
      <c r="BP14" s="194"/>
      <c r="BQ14" s="194"/>
      <c r="BR14" s="194"/>
      <c r="BS14" s="194"/>
      <c r="BT14" s="194"/>
      <c r="BU14" s="204"/>
      <c r="BV14" s="205"/>
      <c r="BW14" s="206"/>
      <c r="BX14" s="206"/>
      <c r="BY14" s="206"/>
      <c r="BZ14" s="206"/>
      <c r="CA14" s="206"/>
      <c r="CB14" s="213"/>
      <c r="CC14" s="214"/>
      <c r="CD14" s="206"/>
      <c r="CE14" s="213"/>
      <c r="CF14" s="215"/>
      <c r="CG14" s="216"/>
      <c r="CH14" s="216"/>
      <c r="CI14" s="216"/>
      <c r="CJ14" s="216"/>
      <c r="CK14" s="216"/>
      <c r="CL14" s="216"/>
      <c r="CM14" s="216"/>
      <c r="CN14" s="225"/>
      <c r="CO14" s="226"/>
      <c r="CP14" s="227"/>
      <c r="CQ14" s="227"/>
      <c r="CR14" s="227"/>
      <c r="CS14" s="227"/>
      <c r="CT14" s="227"/>
      <c r="CU14" s="234"/>
      <c r="CV14" s="226"/>
      <c r="CW14" s="227"/>
      <c r="CX14" s="234"/>
    </row>
    <row r="15" spans="1:102" ht="180.75" hidden="1" customHeight="1">
      <c r="A15" s="581">
        <v>9</v>
      </c>
      <c r="B15" s="584" t="str">
        <f>IFERROR(VLOOKUP($A15,Riesgos!$A$7:$H$84,2,FALSE),"")</f>
        <v>Comunicación Estratégica</v>
      </c>
      <c r="C15" s="584" t="str">
        <f>IFERROR(VLOOKUP($A15,Riesgos!$A$7:$H$84,7,FALSE),"")</f>
        <v>Caida de la página web que impida la divulgación de la información a través de la misma.
Servicios de hosting  no soportan la capacidad de alta demanda de navegación que alcanza la página en ciertos momentos estratégicos de divulgación
Bajo rendimiento de la página web por el uso de recursos (imágenes, documentos, códigos, entre otros) no optimizados.</v>
      </c>
      <c r="D15" s="584" t="str">
        <f>IFERROR(VLOOKUP($A15,Riesgos!$A$7:$H$84,8,FALSE),"")</f>
        <v>Probabilidad de afectación reputacional debido a la no divulgación de la información misional e institucional del IDPC a través de la página web, debido a que  la capacidad  del hosting no soporta la navegación en momentos de alta demanda y el bajo rendimiento de la página web por el uso de recursos no optimizados (imágenes, documentos, códigos, entre otros) .</v>
      </c>
      <c r="E15" s="589" t="s">
        <v>436</v>
      </c>
      <c r="F15" s="589">
        <v>4</v>
      </c>
      <c r="G15" s="594" t="str">
        <f>IF(F15&lt;=0,"",IF(F15&lt;='Listas y tablas'!$B$3,"Muy Baja",IF(F15&lt;='Listas y tablas'!$B$4,"Baja",IF(F15&lt;='Listas y tablas'!$B$5,"Media",IF(F15&lt;='Listas y tablas'!$B$6,"Alta","Muy Alta")))))</f>
        <v>Baja</v>
      </c>
      <c r="H15" s="597">
        <f>IF(G15="","",IF(G15="Muy Baja",'Listas y tablas'!$C$3,IF(G15="Baja",'Listas y tablas'!$C$4,IF(G15="Media",'Listas y tablas'!$C$5,IF(G15="Alta",'Listas y tablas'!$C$6,IF(G15="Muy Alta",'Listas y tablas'!$C$7,))))))</f>
        <v>0.4</v>
      </c>
      <c r="I15" s="600" t="s">
        <v>423</v>
      </c>
      <c r="J15" s="597" t="str">
        <f>IF(NOT(ISERROR(MATCH(I15,'Tabla Impacto'!$B$221:$B$223,0))),'Tabla Impacto'!$F$223&amp;"Por favor no seleccionar los criterios de impacto(Afectación Económica o presupuestal y Pérdida Reputacional)",I15)</f>
        <v xml:space="preserve">     El riesgo afecta la imagen de la entidad con algunos usuarios de relevancia frente al logro de los objetivos</v>
      </c>
      <c r="K15" s="594" t="str">
        <f>IF(OR(J15='Tabla Impacto'!$C$11,J15='Tabla Impacto'!$D$11),"Leve",IF(OR(J15='Tabla Impacto'!$C$12,J15='Tabla Impacto'!$D$12),"Menor",IF(OR(J15='Tabla Impacto'!$C$13,J15='Tabla Impacto'!$D$13),"Moderado",IF(OR(J15='Tabla Impacto'!$C$14,J15='Tabla Impacto'!$D$14),"Mayor",IF(OR(J15='Tabla Impacto'!$C$15,J15='Tabla Impacto'!$D$15),"Catastrófico","")))))</f>
        <v>Moderado</v>
      </c>
      <c r="L15" s="597">
        <f>IF(K15="","",IF(K15="Leve",'Listas y tablas'!$F$3,IF(K15="Menor",'Listas y tablas'!$F$4,IF(K15="Moderado",'Listas y tablas'!$F$5,IF(K15="Mayor",'Listas y tablas'!$F$6,IF(K15="Catastrófico",'Listas y tablas'!$F$7,))))))</f>
        <v>0.6</v>
      </c>
      <c r="M15" s="594" t="str">
        <f t="shared" si="1"/>
        <v>Moderado</v>
      </c>
      <c r="N15" s="594" t="str">
        <f t="shared" si="2"/>
        <v>G</v>
      </c>
      <c r="O15" s="603">
        <f t="shared" si="3"/>
        <v>9</v>
      </c>
      <c r="P15" s="603" t="str">
        <f t="shared" si="4"/>
        <v>G9</v>
      </c>
      <c r="Q15" s="606" t="s">
        <v>490</v>
      </c>
      <c r="R15" s="603" t="str">
        <f t="shared" si="8"/>
        <v>Probabilidad</v>
      </c>
      <c r="S15" s="609" t="s">
        <v>381</v>
      </c>
      <c r="T15" s="609" t="s">
        <v>382</v>
      </c>
      <c r="U15" s="597" t="str">
        <f t="shared" si="11"/>
        <v>40%</v>
      </c>
      <c r="V15" s="609" t="s">
        <v>491</v>
      </c>
      <c r="W15" s="609" t="s">
        <v>384</v>
      </c>
      <c r="X15" s="609" t="s">
        <v>385</v>
      </c>
      <c r="Y15" s="612">
        <f t="shared" si="5"/>
        <v>0.24</v>
      </c>
      <c r="Z15" s="617" t="str">
        <f>IFERROR(IF(Y15="","",IF(Y15&lt;='Listas y tablas'!$L$3,"Muy Baja",IF(Y15&lt;='Listas y tablas'!$L$4,"Baja",IF(Y15&lt;='Listas y tablas'!$L$5,"Media",IF(Y15&lt;='Listas y tablas'!$L$6,"Alta","Muy Alta"))))),"")</f>
        <v>Baja</v>
      </c>
      <c r="AA15" s="597">
        <f t="shared" si="6"/>
        <v>0.24</v>
      </c>
      <c r="AB15" s="617" t="str">
        <f>IFERROR(IF(AC15="","",IF(AC15&lt;='Listas y tablas'!$O$3,"Leve",IF(AC15&lt;='Listas y tablas'!$O$4,"Menor",IF(AC15&lt;='Listas y tablas'!$O$5,"Moderado",IF(AC15&lt;='Listas y tablas'!$O$6,"Mayor","Catastrófico"))))),"")</f>
        <v>Catastrófico</v>
      </c>
      <c r="AC15" s="597">
        <f t="shared" si="10"/>
        <v>4</v>
      </c>
      <c r="AD15" s="617" t="str">
        <f t="shared" si="9"/>
        <v>Extremo</v>
      </c>
      <c r="AE15" s="609" t="s">
        <v>386</v>
      </c>
      <c r="AF15" s="626" t="s">
        <v>492</v>
      </c>
      <c r="AG15" s="626" t="s">
        <v>493</v>
      </c>
      <c r="AH15" s="626" t="s">
        <v>494</v>
      </c>
      <c r="AI15" s="273" t="s">
        <v>495</v>
      </c>
      <c r="AJ15" s="273" t="s">
        <v>496</v>
      </c>
      <c r="AK15" s="273" t="s">
        <v>497</v>
      </c>
      <c r="AL15" s="304">
        <v>44958</v>
      </c>
      <c r="AM15" s="304">
        <v>45275</v>
      </c>
      <c r="AN15" s="589" t="s">
        <v>498</v>
      </c>
      <c r="AO15" s="589" t="s">
        <v>499</v>
      </c>
      <c r="AP15" s="589" t="s">
        <v>500</v>
      </c>
      <c r="AQ15" s="589" t="s">
        <v>501</v>
      </c>
      <c r="AR15" s="589" t="s">
        <v>502</v>
      </c>
      <c r="AS15" s="589" t="s">
        <v>503</v>
      </c>
      <c r="AT15" s="626" t="s">
        <v>504</v>
      </c>
      <c r="AU15" s="626" t="s">
        <v>505</v>
      </c>
      <c r="AV15" s="369" t="s">
        <v>506</v>
      </c>
      <c r="AW15" s="369" t="s">
        <v>507</v>
      </c>
      <c r="AX15" s="369" t="s">
        <v>508</v>
      </c>
      <c r="AY15" s="369" t="s">
        <v>509</v>
      </c>
      <c r="AZ15" s="163" t="s">
        <v>402</v>
      </c>
      <c r="BA15" s="163" t="s">
        <v>402</v>
      </c>
      <c r="BB15" s="301" t="s">
        <v>510</v>
      </c>
      <c r="BC15" s="629" t="s">
        <v>511</v>
      </c>
      <c r="BD15" s="632" t="s">
        <v>404</v>
      </c>
      <c r="BE15" s="396" t="s">
        <v>512</v>
      </c>
      <c r="BF15" s="329" t="s">
        <v>434</v>
      </c>
      <c r="BG15" s="181"/>
      <c r="BH15" s="181"/>
      <c r="BI15" s="183"/>
      <c r="BJ15" s="323" t="s">
        <v>513</v>
      </c>
      <c r="BK15" s="327" t="s">
        <v>408</v>
      </c>
      <c r="BL15" s="641" t="s">
        <v>402</v>
      </c>
      <c r="BM15" s="193"/>
      <c r="BN15" s="194"/>
      <c r="BO15" s="194"/>
      <c r="BP15" s="194"/>
      <c r="BQ15" s="194"/>
      <c r="BR15" s="194"/>
      <c r="BS15" s="194"/>
      <c r="BT15" s="194"/>
      <c r="BU15" s="204"/>
      <c r="BV15" s="205"/>
      <c r="BW15" s="206"/>
      <c r="BX15" s="206"/>
      <c r="BY15" s="206"/>
      <c r="BZ15" s="206"/>
      <c r="CA15" s="206"/>
      <c r="CB15" s="213"/>
      <c r="CC15" s="214"/>
      <c r="CD15" s="206"/>
      <c r="CE15" s="213"/>
      <c r="CF15" s="215"/>
      <c r="CG15" s="216"/>
      <c r="CH15" s="216"/>
      <c r="CI15" s="216"/>
      <c r="CJ15" s="216"/>
      <c r="CK15" s="216"/>
      <c r="CL15" s="216"/>
      <c r="CM15" s="216"/>
      <c r="CN15" s="225"/>
      <c r="CO15" s="226"/>
      <c r="CP15" s="227"/>
      <c r="CQ15" s="227"/>
      <c r="CR15" s="227"/>
      <c r="CS15" s="227"/>
      <c r="CT15" s="227"/>
      <c r="CU15" s="234"/>
      <c r="CV15" s="226"/>
      <c r="CW15" s="227"/>
      <c r="CX15" s="234"/>
    </row>
    <row r="16" spans="1:102" ht="151.5" hidden="1" customHeight="1">
      <c r="A16" s="583"/>
      <c r="B16" s="586"/>
      <c r="C16" s="586"/>
      <c r="D16" s="586"/>
      <c r="E16" s="591"/>
      <c r="F16" s="591"/>
      <c r="G16" s="596"/>
      <c r="H16" s="599"/>
      <c r="I16" s="602"/>
      <c r="J16" s="599"/>
      <c r="K16" s="596"/>
      <c r="L16" s="599"/>
      <c r="M16" s="596"/>
      <c r="N16" s="596"/>
      <c r="O16" s="604"/>
      <c r="P16" s="604"/>
      <c r="Q16" s="607"/>
      <c r="R16" s="604"/>
      <c r="S16" s="610"/>
      <c r="T16" s="610"/>
      <c r="U16" s="599"/>
      <c r="V16" s="610"/>
      <c r="W16" s="610"/>
      <c r="X16" s="610"/>
      <c r="Y16" s="614"/>
      <c r="Z16" s="619"/>
      <c r="AA16" s="599"/>
      <c r="AB16" s="619"/>
      <c r="AC16" s="599"/>
      <c r="AD16" s="619"/>
      <c r="AE16" s="610"/>
      <c r="AF16" s="627"/>
      <c r="AG16" s="627"/>
      <c r="AH16" s="627"/>
      <c r="AI16" s="303" t="s">
        <v>514</v>
      </c>
      <c r="AJ16" s="303" t="s">
        <v>515</v>
      </c>
      <c r="AK16" s="303" t="s">
        <v>497</v>
      </c>
      <c r="AL16" s="360">
        <v>44958</v>
      </c>
      <c r="AM16" s="360">
        <v>45275</v>
      </c>
      <c r="AN16" s="591"/>
      <c r="AO16" s="591"/>
      <c r="AP16" s="591"/>
      <c r="AQ16" s="591"/>
      <c r="AR16" s="591"/>
      <c r="AS16" s="591"/>
      <c r="AT16" s="627"/>
      <c r="AU16" s="627"/>
      <c r="AV16" s="369" t="s">
        <v>516</v>
      </c>
      <c r="AW16" s="369" t="s">
        <v>517</v>
      </c>
      <c r="AX16" s="369" t="s">
        <v>518</v>
      </c>
      <c r="AY16" s="369" t="s">
        <v>519</v>
      </c>
      <c r="AZ16" s="163"/>
      <c r="BA16" s="163"/>
      <c r="BB16" s="171"/>
      <c r="BC16" s="630"/>
      <c r="BD16" s="633"/>
      <c r="BE16" s="396" t="s">
        <v>512</v>
      </c>
      <c r="BF16" s="329" t="s">
        <v>434</v>
      </c>
      <c r="BG16" s="181"/>
      <c r="BH16" s="181"/>
      <c r="BI16" s="183"/>
      <c r="BJ16" s="323" t="s">
        <v>520</v>
      </c>
      <c r="BK16" s="327" t="s">
        <v>408</v>
      </c>
      <c r="BL16" s="643"/>
      <c r="BM16" s="193"/>
      <c r="BN16" s="194"/>
      <c r="BO16" s="194"/>
      <c r="BP16" s="194"/>
      <c r="BQ16" s="194"/>
      <c r="BR16" s="194"/>
      <c r="BS16" s="194"/>
      <c r="BT16" s="194"/>
      <c r="BU16" s="204"/>
      <c r="BV16" s="205"/>
      <c r="BW16" s="206"/>
      <c r="BX16" s="206"/>
      <c r="BY16" s="206"/>
      <c r="BZ16" s="206"/>
      <c r="CA16" s="206"/>
      <c r="CB16" s="213"/>
      <c r="CC16" s="214"/>
      <c r="CD16" s="206"/>
      <c r="CE16" s="213"/>
      <c r="CF16" s="215"/>
      <c r="CG16" s="216"/>
      <c r="CH16" s="216"/>
      <c r="CI16" s="216"/>
      <c r="CJ16" s="216"/>
      <c r="CK16" s="216"/>
      <c r="CL16" s="216"/>
      <c r="CM16" s="216"/>
      <c r="CN16" s="225"/>
      <c r="CO16" s="226"/>
      <c r="CP16" s="227"/>
      <c r="CQ16" s="227"/>
      <c r="CR16" s="227"/>
      <c r="CS16" s="227"/>
      <c r="CT16" s="227"/>
      <c r="CU16" s="234"/>
      <c r="CV16" s="226"/>
      <c r="CW16" s="227"/>
      <c r="CX16" s="234"/>
    </row>
    <row r="17" spans="1:102" ht="151.5" hidden="1" customHeight="1">
      <c r="A17" s="583"/>
      <c r="B17" s="586"/>
      <c r="C17" s="586"/>
      <c r="D17" s="586"/>
      <c r="E17" s="591"/>
      <c r="F17" s="591"/>
      <c r="G17" s="596"/>
      <c r="H17" s="599"/>
      <c r="I17" s="602"/>
      <c r="J17" s="599"/>
      <c r="K17" s="596"/>
      <c r="L17" s="599"/>
      <c r="M17" s="596"/>
      <c r="N17" s="596"/>
      <c r="O17" s="604"/>
      <c r="P17" s="604"/>
      <c r="Q17" s="607"/>
      <c r="R17" s="604"/>
      <c r="S17" s="610"/>
      <c r="T17" s="610"/>
      <c r="U17" s="599"/>
      <c r="V17" s="610"/>
      <c r="W17" s="610"/>
      <c r="X17" s="610"/>
      <c r="Y17" s="614"/>
      <c r="Z17" s="619"/>
      <c r="AA17" s="599"/>
      <c r="AB17" s="619"/>
      <c r="AC17" s="599"/>
      <c r="AD17" s="619"/>
      <c r="AE17" s="610"/>
      <c r="AF17" s="627"/>
      <c r="AG17" s="627"/>
      <c r="AH17" s="627"/>
      <c r="AI17" s="303" t="s">
        <v>521</v>
      </c>
      <c r="AJ17" s="303" t="s">
        <v>522</v>
      </c>
      <c r="AK17" s="303" t="s">
        <v>523</v>
      </c>
      <c r="AL17" s="360">
        <v>45047</v>
      </c>
      <c r="AM17" s="360">
        <v>45169</v>
      </c>
      <c r="AN17" s="591"/>
      <c r="AO17" s="591"/>
      <c r="AP17" s="591"/>
      <c r="AQ17" s="591"/>
      <c r="AR17" s="591"/>
      <c r="AS17" s="591"/>
      <c r="AT17" s="627"/>
      <c r="AU17" s="627"/>
      <c r="AV17" s="369"/>
      <c r="AW17" s="384"/>
      <c r="AX17" s="369" t="s">
        <v>524</v>
      </c>
      <c r="AY17" s="384" t="s">
        <v>525</v>
      </c>
      <c r="AZ17" s="163"/>
      <c r="BA17" s="163"/>
      <c r="BB17" s="171"/>
      <c r="BC17" s="630"/>
      <c r="BD17" s="633"/>
      <c r="BE17" s="397"/>
      <c r="BF17" s="329" t="s">
        <v>406</v>
      </c>
      <c r="BG17" s="181"/>
      <c r="BH17" s="181"/>
      <c r="BI17" s="183"/>
      <c r="BJ17" s="323" t="s">
        <v>526</v>
      </c>
      <c r="BK17" s="327" t="s">
        <v>408</v>
      </c>
      <c r="BL17" s="643"/>
      <c r="BM17" s="193"/>
      <c r="BN17" s="194"/>
      <c r="BO17" s="194"/>
      <c r="BP17" s="194"/>
      <c r="BQ17" s="194"/>
      <c r="BR17" s="194"/>
      <c r="BS17" s="194"/>
      <c r="BT17" s="194"/>
      <c r="BU17" s="204"/>
      <c r="BV17" s="205"/>
      <c r="BW17" s="206"/>
      <c r="BX17" s="206"/>
      <c r="BY17" s="206"/>
      <c r="BZ17" s="206"/>
      <c r="CA17" s="206"/>
      <c r="CB17" s="213"/>
      <c r="CC17" s="214"/>
      <c r="CD17" s="206"/>
      <c r="CE17" s="213"/>
      <c r="CF17" s="215"/>
      <c r="CG17" s="216"/>
      <c r="CH17" s="216"/>
      <c r="CI17" s="216"/>
      <c r="CJ17" s="216"/>
      <c r="CK17" s="216"/>
      <c r="CL17" s="216"/>
      <c r="CM17" s="216"/>
      <c r="CN17" s="225"/>
      <c r="CO17" s="226"/>
      <c r="CP17" s="227"/>
      <c r="CQ17" s="227"/>
      <c r="CR17" s="227"/>
      <c r="CS17" s="227"/>
      <c r="CT17" s="227"/>
      <c r="CU17" s="234"/>
      <c r="CV17" s="226"/>
      <c r="CW17" s="227"/>
      <c r="CX17" s="234"/>
    </row>
    <row r="18" spans="1:102" ht="151.5" hidden="1" customHeight="1">
      <c r="A18" s="582"/>
      <c r="B18" s="585"/>
      <c r="C18" s="585"/>
      <c r="D18" s="585"/>
      <c r="E18" s="590"/>
      <c r="F18" s="590"/>
      <c r="G18" s="595"/>
      <c r="H18" s="598"/>
      <c r="I18" s="601"/>
      <c r="J18" s="598"/>
      <c r="K18" s="595"/>
      <c r="L18" s="598"/>
      <c r="M18" s="595"/>
      <c r="N18" s="595"/>
      <c r="O18" s="605"/>
      <c r="P18" s="605"/>
      <c r="Q18" s="608"/>
      <c r="R18" s="605"/>
      <c r="S18" s="611"/>
      <c r="T18" s="611"/>
      <c r="U18" s="598"/>
      <c r="V18" s="611"/>
      <c r="W18" s="611"/>
      <c r="X18" s="611"/>
      <c r="Y18" s="613"/>
      <c r="Z18" s="618"/>
      <c r="AA18" s="598"/>
      <c r="AB18" s="618"/>
      <c r="AC18" s="598"/>
      <c r="AD18" s="618"/>
      <c r="AE18" s="611"/>
      <c r="AF18" s="628"/>
      <c r="AG18" s="628"/>
      <c r="AH18" s="628"/>
      <c r="AI18" s="303" t="s">
        <v>527</v>
      </c>
      <c r="AJ18" s="303" t="s">
        <v>528</v>
      </c>
      <c r="AK18" s="303" t="s">
        <v>523</v>
      </c>
      <c r="AL18" s="360">
        <v>44958</v>
      </c>
      <c r="AM18" s="360">
        <v>45275</v>
      </c>
      <c r="AN18" s="590"/>
      <c r="AO18" s="590"/>
      <c r="AP18" s="590"/>
      <c r="AQ18" s="590"/>
      <c r="AR18" s="590"/>
      <c r="AS18" s="590"/>
      <c r="AT18" s="628"/>
      <c r="AU18" s="628"/>
      <c r="AV18" s="369" t="s">
        <v>529</v>
      </c>
      <c r="AW18" s="369" t="s">
        <v>517</v>
      </c>
      <c r="AX18" s="369" t="s">
        <v>530</v>
      </c>
      <c r="AY18" s="385" t="s">
        <v>531</v>
      </c>
      <c r="AZ18" s="163"/>
      <c r="BA18" s="163"/>
      <c r="BB18" s="171"/>
      <c r="BC18" s="631"/>
      <c r="BD18" s="634"/>
      <c r="BE18" s="396" t="s">
        <v>512</v>
      </c>
      <c r="BF18" s="329" t="s">
        <v>434</v>
      </c>
      <c r="BG18" s="181"/>
      <c r="BH18" s="181"/>
      <c r="BI18" s="183"/>
      <c r="BJ18" s="323" t="s">
        <v>520</v>
      </c>
      <c r="BK18" s="327" t="s">
        <v>408</v>
      </c>
      <c r="BL18" s="642"/>
      <c r="BM18" s="193"/>
      <c r="BN18" s="194"/>
      <c r="BO18" s="194"/>
      <c r="BP18" s="194"/>
      <c r="BQ18" s="194"/>
      <c r="BR18" s="194"/>
      <c r="BS18" s="194"/>
      <c r="BT18" s="194"/>
      <c r="BU18" s="204"/>
      <c r="BV18" s="205"/>
      <c r="BW18" s="206"/>
      <c r="BX18" s="206"/>
      <c r="BY18" s="206"/>
      <c r="BZ18" s="206"/>
      <c r="CA18" s="206"/>
      <c r="CB18" s="213"/>
      <c r="CC18" s="214"/>
      <c r="CD18" s="206"/>
      <c r="CE18" s="213"/>
      <c r="CF18" s="215"/>
      <c r="CG18" s="216"/>
      <c r="CH18" s="216"/>
      <c r="CI18" s="216"/>
      <c r="CJ18" s="216"/>
      <c r="CK18" s="216"/>
      <c r="CL18" s="216"/>
      <c r="CM18" s="216"/>
      <c r="CN18" s="225"/>
      <c r="CO18" s="226"/>
      <c r="CP18" s="227"/>
      <c r="CQ18" s="227"/>
      <c r="CR18" s="227"/>
      <c r="CS18" s="227"/>
      <c r="CT18" s="227"/>
      <c r="CU18" s="234"/>
      <c r="CV18" s="226"/>
      <c r="CW18" s="227"/>
      <c r="CX18" s="234"/>
    </row>
    <row r="19" spans="1:102" ht="151.5" hidden="1" customHeight="1">
      <c r="A19" s="581">
        <v>10</v>
      </c>
      <c r="B19" s="584" t="str">
        <f>IFERROR(VLOOKUP($A19,Riesgos!$A$7:$H$84,2,FALSE),"")</f>
        <v>Comunicación Estratégica</v>
      </c>
      <c r="C19" s="584" t="str">
        <f>IFERROR(VLOOKUP($A19,Riesgos!$A$7:$H$84,7,FALSE),"")</f>
        <v>La entidad no destina los recursos necesarios para garantizar la aplicación de los criterios de accesibilidad y usabilidad en la información publicada en página web.
Desarticulación entre las dependencias involucradas para la implementación de los criterios de accesibiliad y usabilidad.</v>
      </c>
      <c r="D19" s="584" t="str">
        <f>IFERROR(VLOOKUP($A19,Riesgos!$A$7:$H$84,8,FALSE),"")</f>
        <v xml:space="preserve">Posibilidad de afectación reputacional debido a que la información publicada en la página web no cumple con los criterios de accesibilidad y usabilidad establecidos por el MINTIC y por el IDPC porque existe desarticulación entre las dependencias involucradas y/o la entidad no destina los recursos necesarios </v>
      </c>
      <c r="E19" s="589" t="s">
        <v>453</v>
      </c>
      <c r="F19" s="589">
        <v>216</v>
      </c>
      <c r="G19" s="594" t="str">
        <f>IF(F19&lt;=0,"",IF(F19&lt;='Listas y tablas'!$B$3,"Muy Baja",IF(F19&lt;='Listas y tablas'!$B$4,"Baja",IF(F19&lt;='Listas y tablas'!$B$5,"Media",IF(F19&lt;='Listas y tablas'!$B$6,"Alta","Muy Alta")))))</f>
        <v>Media</v>
      </c>
      <c r="H19" s="597">
        <f>IF(G19="","",IF(G19="Muy Baja",'Listas y tablas'!$C$3,IF(G19="Baja",'Listas y tablas'!$C$4,IF(G19="Media",'Listas y tablas'!$C$5,IF(G19="Alta",'Listas y tablas'!$C$6,IF(G19="Muy Alta",'Listas y tablas'!$C$7,))))))</f>
        <v>0.6</v>
      </c>
      <c r="I19" s="600" t="s">
        <v>423</v>
      </c>
      <c r="J19" s="597" t="str">
        <f>IF(NOT(ISERROR(MATCH(I19,'Tabla Impacto'!$B$221:$B$223,0))),'Tabla Impacto'!$F$223&amp;"Por favor no seleccionar los criterios de impacto(Afectación Económica o presupuestal y Pérdida Reputacional)",I19)</f>
        <v xml:space="preserve">     El riesgo afecta la imagen de la entidad con algunos usuarios de relevancia frente al logro de los objetivos</v>
      </c>
      <c r="K19" s="594" t="str">
        <f>IF(OR(J19='Tabla Impacto'!$C$11,J19='Tabla Impacto'!$D$11),"Leve",IF(OR(J19='Tabla Impacto'!$C$12,J19='Tabla Impacto'!$D$12),"Menor",IF(OR(J19='Tabla Impacto'!$C$13,J19='Tabla Impacto'!$D$13),"Moderado",IF(OR(J19='Tabla Impacto'!$C$14,J19='Tabla Impacto'!$D$14),"Mayor",IF(OR(J19='Tabla Impacto'!$C$15,J19='Tabla Impacto'!$D$15),"Catastrófico","")))))</f>
        <v>Moderado</v>
      </c>
      <c r="L19" s="597">
        <f>IF(K19="","",IF(K19="Leve",'Listas y tablas'!$F$3,IF(K19="Menor",'Listas y tablas'!$F$4,IF(K19="Moderado",'Listas y tablas'!$F$5,IF(K19="Mayor",'Listas y tablas'!$F$6,IF(K19="Catastrófico",'Listas y tablas'!$F$7,))))))</f>
        <v>0.6</v>
      </c>
      <c r="M19" s="594" t="str">
        <f t="shared" si="1"/>
        <v>Moderado</v>
      </c>
      <c r="N19" s="594" t="str">
        <f t="shared" si="2"/>
        <v>G</v>
      </c>
      <c r="O19" s="603">
        <f>IF(ISTEXT(D19),1+O15,"")</f>
        <v>10</v>
      </c>
      <c r="P19" s="603" t="str">
        <f t="shared" si="4"/>
        <v>G10</v>
      </c>
      <c r="Q19" s="606" t="s">
        <v>532</v>
      </c>
      <c r="R19" s="603" t="str">
        <f>IF(OR(S19="Preventivo",S19="Detectivo"),"Probabilidad",IF(S19="Correctivo","Impacto",""))</f>
        <v>Probabilidad</v>
      </c>
      <c r="S19" s="609" t="s">
        <v>417</v>
      </c>
      <c r="T19" s="609" t="s">
        <v>382</v>
      </c>
      <c r="U19" s="597" t="str">
        <f>IF(AND(S19="Preventivo",T19="Automático"),"50%",IF(AND(S19="Preventivo",T19="Manual"),"40%",IF(AND(S19="Detectivo",T19="Automático"),"40%",IF(AND(S19="Detectivo",T19="Manual"),"30%",IF(AND(S19="Correctivo",T19="Automático"),"35%",IF(AND(S19="Correctivo",T19="Manual"),"25%",""))))))</f>
        <v>30%</v>
      </c>
      <c r="V19" s="609" t="s">
        <v>383</v>
      </c>
      <c r="W19" s="609" t="s">
        <v>384</v>
      </c>
      <c r="X19" s="609" t="s">
        <v>385</v>
      </c>
      <c r="Y19" s="612">
        <f t="shared" si="5"/>
        <v>0.42</v>
      </c>
      <c r="Z19" s="617" t="str">
        <f>IFERROR(IF(Y19="","",IF(Y19&lt;='Listas y tablas'!$L$3,"Muy Baja",IF(Y19&lt;='Listas y tablas'!$L$4,"Baja",IF(Y19&lt;='Listas y tablas'!$L$5,"Media",IF(Y19&lt;='Listas y tablas'!$L$6,"Alta","Muy Alta"))))),"")</f>
        <v>Media</v>
      </c>
      <c r="AA19" s="597">
        <f t="shared" si="6"/>
        <v>0.42</v>
      </c>
      <c r="AB19" s="617" t="str">
        <f>IFERROR(IF(AC19="","",IF(AC19&lt;='Listas y tablas'!$O$3,"Leve",IF(AC19&lt;='Listas y tablas'!$O$4,"Menor",IF(AC19&lt;='Listas y tablas'!$O$5,"Moderado",IF(AC19&lt;='Listas y tablas'!$O$6,"Mayor","Catastrófico"))))),"")</f>
        <v>Catastrófico</v>
      </c>
      <c r="AC19" s="597">
        <f t="shared" si="10"/>
        <v>216</v>
      </c>
      <c r="AD19" s="617" t="str">
        <f t="shared" si="9"/>
        <v>Extremo</v>
      </c>
      <c r="AE19" s="609" t="s">
        <v>386</v>
      </c>
      <c r="AF19" s="626" t="s">
        <v>533</v>
      </c>
      <c r="AG19" s="626" t="s">
        <v>411</v>
      </c>
      <c r="AH19" s="626" t="s">
        <v>534</v>
      </c>
      <c r="AI19" s="273" t="s">
        <v>535</v>
      </c>
      <c r="AJ19" s="273" t="s">
        <v>536</v>
      </c>
      <c r="AK19" s="273" t="s">
        <v>537</v>
      </c>
      <c r="AL19" s="304">
        <v>44958</v>
      </c>
      <c r="AM19" s="304">
        <v>45275</v>
      </c>
      <c r="AN19" s="589" t="s">
        <v>538</v>
      </c>
      <c r="AO19" s="589" t="s">
        <v>539</v>
      </c>
      <c r="AP19" s="589" t="s">
        <v>540</v>
      </c>
      <c r="AQ19" s="589" t="s">
        <v>541</v>
      </c>
      <c r="AR19" s="589" t="s">
        <v>542</v>
      </c>
      <c r="AS19" s="589" t="s">
        <v>543</v>
      </c>
      <c r="AT19" s="626" t="s">
        <v>544</v>
      </c>
      <c r="AU19" s="626" t="s">
        <v>545</v>
      </c>
      <c r="AV19" s="301" t="s">
        <v>546</v>
      </c>
      <c r="AW19" s="301" t="s">
        <v>546</v>
      </c>
      <c r="AX19" s="369" t="s">
        <v>547</v>
      </c>
      <c r="AY19" s="385" t="s">
        <v>548</v>
      </c>
      <c r="AZ19" s="163" t="s">
        <v>422</v>
      </c>
      <c r="BA19" s="163" t="s">
        <v>422</v>
      </c>
      <c r="BB19" s="362" t="s">
        <v>549</v>
      </c>
      <c r="BC19" s="629" t="s">
        <v>511</v>
      </c>
      <c r="BD19" s="632" t="s">
        <v>404</v>
      </c>
      <c r="BE19" s="396" t="s">
        <v>512</v>
      </c>
      <c r="BF19" s="329" t="s">
        <v>434</v>
      </c>
      <c r="BG19" s="181"/>
      <c r="BH19" s="181"/>
      <c r="BI19" s="183"/>
      <c r="BJ19" s="323" t="s">
        <v>550</v>
      </c>
      <c r="BK19" s="327" t="s">
        <v>408</v>
      </c>
      <c r="BL19" s="641" t="s">
        <v>422</v>
      </c>
      <c r="BM19" s="193"/>
      <c r="BN19" s="194"/>
      <c r="BO19" s="194"/>
      <c r="BP19" s="194"/>
      <c r="BQ19" s="194"/>
      <c r="BR19" s="194"/>
      <c r="BS19" s="194"/>
      <c r="BT19" s="194"/>
      <c r="BU19" s="204"/>
      <c r="BV19" s="205"/>
      <c r="BW19" s="206"/>
      <c r="BX19" s="206"/>
      <c r="BY19" s="206"/>
      <c r="BZ19" s="206"/>
      <c r="CA19" s="206"/>
      <c r="CB19" s="213"/>
      <c r="CC19" s="214"/>
      <c r="CD19" s="206"/>
      <c r="CE19" s="213"/>
      <c r="CF19" s="215"/>
      <c r="CG19" s="216"/>
      <c r="CH19" s="216"/>
      <c r="CI19" s="216"/>
      <c r="CJ19" s="216"/>
      <c r="CK19" s="216"/>
      <c r="CL19" s="216"/>
      <c r="CM19" s="216"/>
      <c r="CN19" s="225"/>
      <c r="CO19" s="226"/>
      <c r="CP19" s="227"/>
      <c r="CQ19" s="227"/>
      <c r="CR19" s="227"/>
      <c r="CS19" s="227"/>
      <c r="CT19" s="227"/>
      <c r="CU19" s="234"/>
      <c r="CV19" s="226"/>
      <c r="CW19" s="227"/>
      <c r="CX19" s="234"/>
    </row>
    <row r="20" spans="1:102" ht="151.5" hidden="1" customHeight="1">
      <c r="A20" s="583"/>
      <c r="B20" s="586"/>
      <c r="C20" s="586"/>
      <c r="D20" s="586"/>
      <c r="E20" s="591"/>
      <c r="F20" s="591"/>
      <c r="G20" s="596"/>
      <c r="H20" s="599"/>
      <c r="I20" s="602"/>
      <c r="J20" s="599"/>
      <c r="K20" s="596"/>
      <c r="L20" s="599"/>
      <c r="M20" s="596"/>
      <c r="N20" s="596"/>
      <c r="O20" s="604"/>
      <c r="P20" s="604"/>
      <c r="Q20" s="607"/>
      <c r="R20" s="604"/>
      <c r="S20" s="610"/>
      <c r="T20" s="610"/>
      <c r="U20" s="599"/>
      <c r="V20" s="610"/>
      <c r="W20" s="610"/>
      <c r="X20" s="610"/>
      <c r="Y20" s="614"/>
      <c r="Z20" s="619"/>
      <c r="AA20" s="599"/>
      <c r="AB20" s="619"/>
      <c r="AC20" s="599"/>
      <c r="AD20" s="619"/>
      <c r="AE20" s="610"/>
      <c r="AF20" s="627"/>
      <c r="AG20" s="627"/>
      <c r="AH20" s="627"/>
      <c r="AI20" s="273" t="s">
        <v>551</v>
      </c>
      <c r="AJ20" s="273" t="s">
        <v>552</v>
      </c>
      <c r="AK20" s="273" t="s">
        <v>537</v>
      </c>
      <c r="AL20" s="304">
        <v>44743</v>
      </c>
      <c r="AM20" s="304">
        <v>44925</v>
      </c>
      <c r="AN20" s="591"/>
      <c r="AO20" s="591"/>
      <c r="AP20" s="591"/>
      <c r="AQ20" s="591"/>
      <c r="AR20" s="591"/>
      <c r="AS20" s="591"/>
      <c r="AT20" s="627"/>
      <c r="AU20" s="627"/>
      <c r="AV20" s="301"/>
      <c r="AW20" s="386"/>
      <c r="AX20" s="301" t="s">
        <v>553</v>
      </c>
      <c r="AY20" s="386" t="s">
        <v>554</v>
      </c>
      <c r="AZ20" s="163"/>
      <c r="BA20" s="163"/>
      <c r="BB20" s="171"/>
      <c r="BC20" s="630"/>
      <c r="BD20" s="633"/>
      <c r="BE20" s="396" t="s">
        <v>555</v>
      </c>
      <c r="BF20" s="329" t="s">
        <v>556</v>
      </c>
      <c r="BG20" s="181"/>
      <c r="BH20" s="181"/>
      <c r="BI20" s="183"/>
      <c r="BJ20" s="323" t="s">
        <v>557</v>
      </c>
      <c r="BK20" s="327" t="s">
        <v>558</v>
      </c>
      <c r="BL20" s="643"/>
      <c r="BM20" s="193"/>
      <c r="BN20" s="194"/>
      <c r="BO20" s="194"/>
      <c r="BP20" s="194"/>
      <c r="BQ20" s="194"/>
      <c r="BR20" s="194"/>
      <c r="BS20" s="194"/>
      <c r="BT20" s="194"/>
      <c r="BU20" s="204"/>
      <c r="BV20" s="205"/>
      <c r="BW20" s="206"/>
      <c r="BX20" s="206"/>
      <c r="BY20" s="206"/>
      <c r="BZ20" s="206"/>
      <c r="CA20" s="206"/>
      <c r="CB20" s="213"/>
      <c r="CC20" s="214"/>
      <c r="CD20" s="206"/>
      <c r="CE20" s="213"/>
      <c r="CF20" s="215"/>
      <c r="CG20" s="216"/>
      <c r="CH20" s="216"/>
      <c r="CI20" s="216"/>
      <c r="CJ20" s="216"/>
      <c r="CK20" s="216"/>
      <c r="CL20" s="216"/>
      <c r="CM20" s="216"/>
      <c r="CN20" s="225"/>
      <c r="CO20" s="226"/>
      <c r="CP20" s="227"/>
      <c r="CQ20" s="227"/>
      <c r="CR20" s="227"/>
      <c r="CS20" s="227"/>
      <c r="CT20" s="227"/>
      <c r="CU20" s="234"/>
      <c r="CV20" s="226"/>
      <c r="CW20" s="227"/>
      <c r="CX20" s="234"/>
    </row>
    <row r="21" spans="1:102" ht="151.5" hidden="1" customHeight="1">
      <c r="A21" s="583"/>
      <c r="B21" s="586"/>
      <c r="C21" s="586"/>
      <c r="D21" s="586"/>
      <c r="E21" s="591"/>
      <c r="F21" s="591"/>
      <c r="G21" s="596"/>
      <c r="H21" s="599"/>
      <c r="I21" s="602"/>
      <c r="J21" s="599"/>
      <c r="K21" s="596"/>
      <c r="L21" s="599"/>
      <c r="M21" s="596"/>
      <c r="N21" s="596"/>
      <c r="O21" s="604"/>
      <c r="P21" s="604"/>
      <c r="Q21" s="607"/>
      <c r="R21" s="604"/>
      <c r="S21" s="610"/>
      <c r="T21" s="610"/>
      <c r="U21" s="599"/>
      <c r="V21" s="610"/>
      <c r="W21" s="610"/>
      <c r="X21" s="610"/>
      <c r="Y21" s="614"/>
      <c r="Z21" s="619"/>
      <c r="AA21" s="599"/>
      <c r="AB21" s="619"/>
      <c r="AC21" s="599"/>
      <c r="AD21" s="619"/>
      <c r="AE21" s="610"/>
      <c r="AF21" s="627"/>
      <c r="AG21" s="627"/>
      <c r="AH21" s="627"/>
      <c r="AI21" s="273" t="s">
        <v>559</v>
      </c>
      <c r="AJ21" s="273" t="s">
        <v>560</v>
      </c>
      <c r="AK21" s="273" t="s">
        <v>561</v>
      </c>
      <c r="AL21" s="304">
        <v>45031</v>
      </c>
      <c r="AM21" s="304">
        <v>45290</v>
      </c>
      <c r="AN21" s="591"/>
      <c r="AO21" s="591"/>
      <c r="AP21" s="591"/>
      <c r="AQ21" s="591"/>
      <c r="AR21" s="591"/>
      <c r="AS21" s="591"/>
      <c r="AT21" s="627"/>
      <c r="AU21" s="627"/>
      <c r="AV21" s="301" t="s">
        <v>562</v>
      </c>
      <c r="AW21" s="301" t="s">
        <v>562</v>
      </c>
      <c r="AX21" s="369" t="s">
        <v>563</v>
      </c>
      <c r="AY21" s="369" t="s">
        <v>564</v>
      </c>
      <c r="AZ21" s="163"/>
      <c r="BA21" s="163"/>
      <c r="BB21" s="171"/>
      <c r="BC21" s="630"/>
      <c r="BD21" s="633"/>
      <c r="BE21" s="396" t="s">
        <v>512</v>
      </c>
      <c r="BF21" s="329" t="s">
        <v>434</v>
      </c>
      <c r="BG21" s="181"/>
      <c r="BH21" s="181"/>
      <c r="BI21" s="183"/>
      <c r="BJ21" s="323" t="s">
        <v>565</v>
      </c>
      <c r="BK21" s="327" t="s">
        <v>408</v>
      </c>
      <c r="BL21" s="643"/>
      <c r="BM21" s="193"/>
      <c r="BN21" s="194"/>
      <c r="BO21" s="194"/>
      <c r="BP21" s="194"/>
      <c r="BQ21" s="194"/>
      <c r="BR21" s="194"/>
      <c r="BS21" s="194"/>
      <c r="BT21" s="194"/>
      <c r="BU21" s="204"/>
      <c r="BV21" s="205"/>
      <c r="BW21" s="206"/>
      <c r="BX21" s="206"/>
      <c r="BY21" s="206"/>
      <c r="BZ21" s="206"/>
      <c r="CA21" s="206"/>
      <c r="CB21" s="213"/>
      <c r="CC21" s="214"/>
      <c r="CD21" s="206"/>
      <c r="CE21" s="213"/>
      <c r="CF21" s="215"/>
      <c r="CG21" s="216"/>
      <c r="CH21" s="216"/>
      <c r="CI21" s="216"/>
      <c r="CJ21" s="216"/>
      <c r="CK21" s="216"/>
      <c r="CL21" s="216"/>
      <c r="CM21" s="216"/>
      <c r="CN21" s="225"/>
      <c r="CO21" s="226"/>
      <c r="CP21" s="227"/>
      <c r="CQ21" s="227"/>
      <c r="CR21" s="227"/>
      <c r="CS21" s="227"/>
      <c r="CT21" s="227"/>
      <c r="CU21" s="234"/>
      <c r="CV21" s="226"/>
      <c r="CW21" s="227"/>
      <c r="CX21" s="234"/>
    </row>
    <row r="22" spans="1:102" ht="151.5" hidden="1" customHeight="1">
      <c r="A22" s="582"/>
      <c r="B22" s="585"/>
      <c r="C22" s="585"/>
      <c r="D22" s="585"/>
      <c r="E22" s="590"/>
      <c r="F22" s="590"/>
      <c r="G22" s="595"/>
      <c r="H22" s="598"/>
      <c r="I22" s="601"/>
      <c r="J22" s="598"/>
      <c r="K22" s="595"/>
      <c r="L22" s="598"/>
      <c r="M22" s="595"/>
      <c r="N22" s="595"/>
      <c r="O22" s="605"/>
      <c r="P22" s="605"/>
      <c r="Q22" s="608"/>
      <c r="R22" s="605"/>
      <c r="S22" s="611"/>
      <c r="T22" s="611"/>
      <c r="U22" s="598"/>
      <c r="V22" s="611"/>
      <c r="W22" s="611"/>
      <c r="X22" s="611"/>
      <c r="Y22" s="613"/>
      <c r="Z22" s="618"/>
      <c r="AA22" s="598"/>
      <c r="AB22" s="618"/>
      <c r="AC22" s="598"/>
      <c r="AD22" s="618"/>
      <c r="AE22" s="611"/>
      <c r="AF22" s="628"/>
      <c r="AG22" s="628"/>
      <c r="AH22" s="628"/>
      <c r="AI22" s="273" t="s">
        <v>566</v>
      </c>
      <c r="AJ22" s="273" t="s">
        <v>567</v>
      </c>
      <c r="AK22" s="273" t="s">
        <v>568</v>
      </c>
      <c r="AL22" s="304">
        <v>45031</v>
      </c>
      <c r="AM22" s="304">
        <v>45290</v>
      </c>
      <c r="AN22" s="590"/>
      <c r="AO22" s="590"/>
      <c r="AP22" s="590"/>
      <c r="AQ22" s="590"/>
      <c r="AR22" s="590"/>
      <c r="AS22" s="590"/>
      <c r="AT22" s="628"/>
      <c r="AU22" s="628"/>
      <c r="AV22" s="301" t="s">
        <v>569</v>
      </c>
      <c r="AW22" s="301" t="s">
        <v>570</v>
      </c>
      <c r="AX22" s="369" t="s">
        <v>571</v>
      </c>
      <c r="AY22" s="385" t="s">
        <v>572</v>
      </c>
      <c r="AZ22" s="163"/>
      <c r="BA22" s="163"/>
      <c r="BB22" s="171"/>
      <c r="BC22" s="631"/>
      <c r="BD22" s="634"/>
      <c r="BE22" s="396" t="s">
        <v>512</v>
      </c>
      <c r="BF22" s="329" t="s">
        <v>434</v>
      </c>
      <c r="BG22" s="181"/>
      <c r="BH22" s="181"/>
      <c r="BI22" s="183"/>
      <c r="BJ22" s="323" t="s">
        <v>573</v>
      </c>
      <c r="BK22" s="327" t="s">
        <v>408</v>
      </c>
      <c r="BL22" s="642"/>
      <c r="BM22" s="193"/>
      <c r="BN22" s="194"/>
      <c r="BO22" s="194"/>
      <c r="BP22" s="194"/>
      <c r="BQ22" s="194"/>
      <c r="BR22" s="194"/>
      <c r="BS22" s="194"/>
      <c r="BT22" s="194"/>
      <c r="BU22" s="204"/>
      <c r="BV22" s="205"/>
      <c r="BW22" s="206"/>
      <c r="BX22" s="206"/>
      <c r="BY22" s="206"/>
      <c r="BZ22" s="206"/>
      <c r="CA22" s="206"/>
      <c r="CB22" s="213"/>
      <c r="CC22" s="214"/>
      <c r="CD22" s="206"/>
      <c r="CE22" s="213"/>
      <c r="CF22" s="215"/>
      <c r="CG22" s="216"/>
      <c r="CH22" s="216"/>
      <c r="CI22" s="216"/>
      <c r="CJ22" s="216"/>
      <c r="CK22" s="216"/>
      <c r="CL22" s="216"/>
      <c r="CM22" s="216"/>
      <c r="CN22" s="225"/>
      <c r="CO22" s="226"/>
      <c r="CP22" s="227"/>
      <c r="CQ22" s="227"/>
      <c r="CR22" s="227"/>
      <c r="CS22" s="227"/>
      <c r="CT22" s="227"/>
      <c r="CU22" s="234"/>
      <c r="CV22" s="226"/>
      <c r="CW22" s="227"/>
      <c r="CX22" s="234"/>
    </row>
    <row r="23" spans="1:102" ht="174.75" hidden="1" customHeight="1">
      <c r="A23" s="271">
        <v>11</v>
      </c>
      <c r="B23" s="272" t="str">
        <f>IFERROR(VLOOKUP($A23,Riesgos!$A$7:$H$84,2,FALSE),"")</f>
        <v>Control Interno Disciplinario</v>
      </c>
      <c r="C23" s="272" t="str">
        <f>IFERROR(VLOOKUP($A23,Riesgos!$A$7:$H$84,7,FALSE),"")</f>
        <v>debido a violación de la seguridad de los expedientes</v>
      </c>
      <c r="D23" s="272" t="str">
        <f>IFERROR(VLOOKUP($A23,Riesgos!$A$7:$H$84,8,FALSE),"")</f>
        <v>Posibilidad de afectación reputacional por pérdida de piezas procesales o expedientes debido a violación de la seguridad de los expedientes</v>
      </c>
      <c r="E23" s="273" t="s">
        <v>574</v>
      </c>
      <c r="F23" s="273">
        <v>6</v>
      </c>
      <c r="G23" s="335" t="str">
        <f>IF(F23&lt;=0,"",IF(F23&lt;='Listas y tablas'!$B$3,"Muy Baja",IF(F23&lt;='Listas y tablas'!$B$4,"Baja",IF(F23&lt;='Listas y tablas'!$B$5,"Media",IF(F23&lt;='Listas y tablas'!$B$6,"Alta","Muy Alta")))))</f>
        <v>Baja</v>
      </c>
      <c r="H23" s="336">
        <f>IF(G23="","",IF(G23="Muy Baja",'Listas y tablas'!$C$3,IF(G23="Baja",'Listas y tablas'!$C$4,IF(G23="Media",'Listas y tablas'!$C$5,IF(G23="Alta",'Listas y tablas'!$C$6,IF(G23="Muy Alta",'Listas y tablas'!$C$7,))))))</f>
        <v>0.4</v>
      </c>
      <c r="I23" s="338" t="s">
        <v>423</v>
      </c>
      <c r="J23" s="336" t="str">
        <f>IF(NOT(ISERROR(MATCH(I23,'Tabla Impacto'!$B$221:$B$223,0))),'Tabla Impacto'!$F$223&amp;"Por favor no seleccionar los criterios de impacto(Afectación Económica o presupuestal y Pérdida Reputacional)",I23)</f>
        <v xml:space="preserve">     El riesgo afecta la imagen de la entidad con algunos usuarios de relevancia frente al logro de los objetivos</v>
      </c>
      <c r="K23" s="335" t="str">
        <f>IF(OR(J23='Tabla Impacto'!$C$11,J23='Tabla Impacto'!$D$11),"Leve",IF(OR(J23='Tabla Impacto'!$C$12,J23='Tabla Impacto'!$D$12),"Menor",IF(OR(J23='Tabla Impacto'!$C$13,J23='Tabla Impacto'!$D$13),"Moderado",IF(OR(J23='Tabla Impacto'!$C$14,J23='Tabla Impacto'!$D$14),"Mayor",IF(OR(J23='Tabla Impacto'!$C$15,J23='Tabla Impacto'!$D$15),"Catastrófico","")))))</f>
        <v>Moderado</v>
      </c>
      <c r="L23" s="336">
        <f>IF(K23="","",IF(K23="Leve",'Listas y tablas'!$F$3,IF(K23="Menor",'Listas y tablas'!$F$4,IF(K23="Moderado",'Listas y tablas'!$F$5,IF(K23="Mayor",'Listas y tablas'!$F$6,IF(K23="Catastrófico",'Listas y tablas'!$F$7,))))))</f>
        <v>0.6</v>
      </c>
      <c r="M23" s="335" t="str">
        <f t="shared" si="1"/>
        <v>Moderado</v>
      </c>
      <c r="N23" s="335" t="str">
        <f t="shared" si="2"/>
        <v>G</v>
      </c>
      <c r="O23" s="337">
        <f>IF(ISTEXT(D23),1+O19,"")</f>
        <v>11</v>
      </c>
      <c r="P23" s="337" t="str">
        <f t="shared" si="4"/>
        <v>G11</v>
      </c>
      <c r="Q23" s="286" t="s">
        <v>575</v>
      </c>
      <c r="R23" s="337" t="str">
        <f t="shared" ref="R23:R27" si="12">IF(OR(S23="Preventivo",S23="Detectivo"),"Probabilidad",IF(S23="Correctivo","Impacto",""))</f>
        <v>Probabilidad</v>
      </c>
      <c r="S23" s="299" t="s">
        <v>381</v>
      </c>
      <c r="T23" s="299" t="s">
        <v>382</v>
      </c>
      <c r="U23" s="339" t="str">
        <f t="shared" ref="U23:U25" si="13">IF(AND(S23="Preventivo",T23="Automático"),"50%",IF(AND(S23="Preventivo",T23="Manual"),"40%",IF(AND(S23="Detectivo",T23="Automático"),"40%",IF(AND(S23="Detectivo",T23="Manual"),"30%",IF(AND(S23="Correctivo",T23="Automático"),"35%",IF(AND(S23="Correctivo",T23="Manual"),"25%",""))))))</f>
        <v>40%</v>
      </c>
      <c r="V23" s="299" t="s">
        <v>491</v>
      </c>
      <c r="W23" s="299" t="s">
        <v>384</v>
      </c>
      <c r="X23" s="299" t="s">
        <v>385</v>
      </c>
      <c r="Y23" s="346">
        <f t="shared" si="5"/>
        <v>0.24</v>
      </c>
      <c r="Z23" s="154" t="str">
        <f>IFERROR(IF(Y23="","",IF(Y23&lt;='Listas y tablas'!$L$3,"Muy Baja",IF(Y23&lt;='Listas y tablas'!$L$4,"Baja",IF(Y23&lt;='Listas y tablas'!$L$5,"Media",IF(Y23&lt;='Listas y tablas'!$L$6,"Alta","Muy Alta"))))),"")</f>
        <v>Baja</v>
      </c>
      <c r="AA23" s="339">
        <f t="shared" si="6"/>
        <v>0.24</v>
      </c>
      <c r="AB23" s="154" t="str">
        <f>IFERROR(IF(AC23="","",IF(AC23&lt;='Listas y tablas'!$O$3,"Leve",IF(AC23&lt;='Listas y tablas'!$O$4,"Menor",IF(AC23&lt;='Listas y tablas'!$O$5,"Moderado",IF(AC23&lt;='Listas y tablas'!$O$6,"Mayor","Catastrófico"))))),"")</f>
        <v>Catastrófico</v>
      </c>
      <c r="AC23" s="339">
        <f t="shared" si="10"/>
        <v>6</v>
      </c>
      <c r="AD23" s="154" t="str">
        <f t="shared" si="9"/>
        <v>Extremo</v>
      </c>
      <c r="AE23" s="299" t="s">
        <v>386</v>
      </c>
      <c r="AF23" s="300" t="s">
        <v>576</v>
      </c>
      <c r="AG23" s="300" t="s">
        <v>577</v>
      </c>
      <c r="AH23" s="300" t="s">
        <v>578</v>
      </c>
      <c r="AI23" s="301" t="s">
        <v>579</v>
      </c>
      <c r="AJ23" s="301" t="s">
        <v>580</v>
      </c>
      <c r="AK23" s="301" t="s">
        <v>581</v>
      </c>
      <c r="AL23" s="361">
        <v>44564</v>
      </c>
      <c r="AM23" s="361">
        <v>45291</v>
      </c>
      <c r="AN23" s="273"/>
      <c r="AO23" s="273"/>
      <c r="AP23" s="273"/>
      <c r="AQ23" s="273"/>
      <c r="AR23" s="273"/>
      <c r="AS23" s="273"/>
      <c r="AT23" s="312" t="s">
        <v>582</v>
      </c>
      <c r="AU23" s="163" t="s">
        <v>583</v>
      </c>
      <c r="AV23" s="163">
        <v>100</v>
      </c>
      <c r="AW23" s="163">
        <v>100</v>
      </c>
      <c r="AX23" s="317" t="s">
        <v>584</v>
      </c>
      <c r="AY23" s="317" t="s">
        <v>585</v>
      </c>
      <c r="AZ23" s="163" t="s">
        <v>402</v>
      </c>
      <c r="BA23" s="163" t="s">
        <v>402</v>
      </c>
      <c r="BB23" s="171" t="s">
        <v>401</v>
      </c>
      <c r="BC23" s="323" t="s">
        <v>586</v>
      </c>
      <c r="BD23" s="324" t="s">
        <v>404</v>
      </c>
      <c r="BE23" s="324" t="s">
        <v>587</v>
      </c>
      <c r="BF23" s="329" t="s">
        <v>434</v>
      </c>
      <c r="BG23" s="181" t="s">
        <v>402</v>
      </c>
      <c r="BH23" s="181" t="s">
        <v>402</v>
      </c>
      <c r="BI23" s="183" t="s">
        <v>401</v>
      </c>
      <c r="BJ23" s="323" t="s">
        <v>588</v>
      </c>
      <c r="BK23" s="327" t="s">
        <v>408</v>
      </c>
      <c r="BL23" s="328" t="s">
        <v>402</v>
      </c>
      <c r="BM23" s="193"/>
      <c r="BN23" s="194"/>
      <c r="BO23" s="194"/>
      <c r="BP23" s="194"/>
      <c r="BQ23" s="194"/>
      <c r="BR23" s="194"/>
      <c r="BS23" s="194"/>
      <c r="BT23" s="194"/>
      <c r="BU23" s="204"/>
      <c r="BV23" s="205"/>
      <c r="BW23" s="206"/>
      <c r="BX23" s="206"/>
      <c r="BY23" s="206"/>
      <c r="BZ23" s="206"/>
      <c r="CA23" s="206"/>
      <c r="CB23" s="213"/>
      <c r="CC23" s="214"/>
      <c r="CD23" s="206"/>
      <c r="CE23" s="213"/>
      <c r="CF23" s="215"/>
      <c r="CG23" s="216"/>
      <c r="CH23" s="216"/>
      <c r="CI23" s="216"/>
      <c r="CJ23" s="216"/>
      <c r="CK23" s="216"/>
      <c r="CL23" s="216"/>
      <c r="CM23" s="216"/>
      <c r="CN23" s="225"/>
      <c r="CO23" s="226"/>
      <c r="CP23" s="227"/>
      <c r="CQ23" s="227"/>
      <c r="CR23" s="227"/>
      <c r="CS23" s="227"/>
      <c r="CT23" s="227"/>
      <c r="CU23" s="234"/>
      <c r="CV23" s="226"/>
      <c r="CW23" s="227"/>
      <c r="CX23" s="234"/>
    </row>
    <row r="24" spans="1:102" ht="151.5" hidden="1" customHeight="1">
      <c r="A24" s="581">
        <v>13</v>
      </c>
      <c r="B24" s="584" t="str">
        <f>IFERROR(VLOOKUP($A24,Riesgos!$A$7:$H$84,2,FALSE),"")</f>
        <v>Direccionamiento Estratégico</v>
      </c>
      <c r="C24" s="584" t="str">
        <f>IFERROR(VLOOKUP($A24,Riesgos!$A$7:$H$84,7,FALSE),"")</f>
        <v>Debido a desarticulación entre los actores que participan en la formulación, ejecución y seguimiento de las metas institucionales.
Desconocimiento por parte de los líderes de proceso y servidores públicos sobre temas de planeación (operativa, táctica y estratégica) y del proceso Direccionamiento Estratégico.
Reporte incompleto e incoherente por parte de las áreas.
Falta de compromiso y desconocimiento de las áreas sobre la importancia del reporte y seguimiento de los proyectos de inversión. 
No ejecución de las actividades programadas</v>
      </c>
      <c r="D24" s="584" t="str">
        <f>IFERROR(VLOOKUP($A24,Riesgos!$A$7:$H$84,8,FALSE),"")</f>
        <v xml:space="preserve">Posible afectación reputacional por cumplimiento menor al 70% de las metas plan de desarrollo debido a no ejecución de las actividades programadas </v>
      </c>
      <c r="E24" s="589" t="s">
        <v>453</v>
      </c>
      <c r="F24" s="589">
        <v>228</v>
      </c>
      <c r="G24" s="594" t="str">
        <f>IF(F24&lt;=0,"",IF(F24&lt;='Listas y tablas'!$B$3,"Muy Baja",IF(F24&lt;='Listas y tablas'!$B$4,"Baja",IF(F24&lt;='Listas y tablas'!$B$5,"Media",IF(F24&lt;='Listas y tablas'!$B$6,"Alta","Muy Alta")))))</f>
        <v>Media</v>
      </c>
      <c r="H24" s="597">
        <f>IF(G24="","",IF(G24="Muy Baja",'Listas y tablas'!$C$3,IF(G24="Baja",'Listas y tablas'!$C$4,IF(G24="Media",'Listas y tablas'!$C$5,IF(G24="Alta",'Listas y tablas'!$C$6,IF(G24="Muy Alta",'Listas y tablas'!$C$7,))))))</f>
        <v>0.6</v>
      </c>
      <c r="I24" s="600" t="s">
        <v>423</v>
      </c>
      <c r="J24" s="597" t="str">
        <f>IF(NOT(ISERROR(MATCH(I24,'Tabla Impacto'!$B$221:$B$223,0))),'Tabla Impacto'!$F$223&amp;"Por favor no seleccionar los criterios de impacto(Afectación Económica o presupuestal y Pérdida Reputacional)",I24)</f>
        <v xml:space="preserve">     El riesgo afecta la imagen de la entidad con algunos usuarios de relevancia frente al logro de los objetivos</v>
      </c>
      <c r="K24" s="594" t="str">
        <f>IF(OR(J24='Tabla Impacto'!$C$11,J24='Tabla Impacto'!$D$11),"Leve",IF(OR(J24='Tabla Impacto'!$C$12,J24='Tabla Impacto'!$D$12),"Menor",IF(OR(J24='Tabla Impacto'!$C$13,J24='Tabla Impacto'!$D$13),"Moderado",IF(OR(J24='Tabla Impacto'!$C$14,J24='Tabla Impacto'!$D$14),"Mayor",IF(OR(J24='Tabla Impacto'!$C$15,J24='Tabla Impacto'!$D$15),"Catastrófico","")))))</f>
        <v>Moderado</v>
      </c>
      <c r="L24" s="597">
        <f>IF(K24="","",IF(K24="Leve",'Listas y tablas'!$F$3,IF(K24="Menor",'Listas y tablas'!$F$4,IF(K24="Moderado",'Listas y tablas'!$F$5,IF(K24="Mayor",'Listas y tablas'!$F$6,IF(K24="Catastrófico",'Listas y tablas'!$F$7,))))))</f>
        <v>0.6</v>
      </c>
      <c r="M24" s="594" t="str">
        <f t="shared" si="1"/>
        <v>Moderado</v>
      </c>
      <c r="N24" s="335" t="str">
        <f t="shared" si="2"/>
        <v>G</v>
      </c>
      <c r="O24" s="337">
        <f t="shared" si="3"/>
        <v>12</v>
      </c>
      <c r="P24" s="337" t="str">
        <f t="shared" si="4"/>
        <v>G12</v>
      </c>
      <c r="Q24" s="286" t="s">
        <v>589</v>
      </c>
      <c r="R24" s="337" t="str">
        <f t="shared" si="12"/>
        <v>Probabilidad</v>
      </c>
      <c r="S24" s="299" t="s">
        <v>417</v>
      </c>
      <c r="T24" s="299" t="s">
        <v>382</v>
      </c>
      <c r="U24" s="339" t="str">
        <f t="shared" si="13"/>
        <v>30%</v>
      </c>
      <c r="V24" s="299" t="s">
        <v>383</v>
      </c>
      <c r="W24" s="299" t="s">
        <v>384</v>
      </c>
      <c r="X24" s="299" t="s">
        <v>385</v>
      </c>
      <c r="Y24" s="612">
        <f t="shared" si="5"/>
        <v>0.42</v>
      </c>
      <c r="Z24" s="617" t="str">
        <f>IFERROR(IF(Y24="","",IF(Y24&lt;='Listas y tablas'!$L$3,"Muy Baja",IF(Y24&lt;='Listas y tablas'!$L$4,"Baja",IF(Y24&lt;='Listas y tablas'!$L$5,"Media",IF(Y24&lt;='Listas y tablas'!$L$6,"Alta","Muy Alta"))))),"")</f>
        <v>Media</v>
      </c>
      <c r="AA24" s="597">
        <f t="shared" si="6"/>
        <v>0.42</v>
      </c>
      <c r="AB24" s="617" t="str">
        <f>IFERROR(IF(AC24="","",IF(AC24&lt;='Listas y tablas'!$O$3,"Leve",IF(AC24&lt;='Listas y tablas'!$O$4,"Menor",IF(AC24&lt;='Listas y tablas'!$O$5,"Moderado",IF(AC24&lt;='Listas y tablas'!$O$6,"Mayor","Catastrófico"))))),"")</f>
        <v>Catastrófico</v>
      </c>
      <c r="AC24" s="597">
        <f t="shared" si="10"/>
        <v>228</v>
      </c>
      <c r="AD24" s="617" t="str">
        <f t="shared" si="9"/>
        <v>Extremo</v>
      </c>
      <c r="AE24" s="299" t="s">
        <v>386</v>
      </c>
      <c r="AF24" s="300" t="s">
        <v>590</v>
      </c>
      <c r="AG24" s="300" t="s">
        <v>388</v>
      </c>
      <c r="AH24" s="300" t="s">
        <v>591</v>
      </c>
      <c r="AI24" s="273"/>
      <c r="AJ24" s="273"/>
      <c r="AK24" s="273"/>
      <c r="AL24" s="304"/>
      <c r="AM24" s="304"/>
      <c r="AN24" s="273"/>
      <c r="AO24" s="273"/>
      <c r="AP24" s="273"/>
      <c r="AQ24" s="273"/>
      <c r="AR24" s="273"/>
      <c r="AS24" s="273"/>
      <c r="AT24" s="312" t="s">
        <v>592</v>
      </c>
      <c r="AU24" s="313" t="s">
        <v>593</v>
      </c>
      <c r="AV24" s="163"/>
      <c r="AW24" s="163"/>
      <c r="AX24" s="163"/>
      <c r="AY24" s="163"/>
      <c r="AZ24" s="163" t="s">
        <v>402</v>
      </c>
      <c r="BA24" s="163" t="s">
        <v>402</v>
      </c>
      <c r="BB24" s="171" t="s">
        <v>401</v>
      </c>
      <c r="BC24" s="323" t="s">
        <v>594</v>
      </c>
      <c r="BD24" s="324" t="s">
        <v>404</v>
      </c>
      <c r="BE24" s="324"/>
      <c r="BF24" s="329"/>
      <c r="BG24" s="181" t="s">
        <v>402</v>
      </c>
      <c r="BH24" s="181" t="s">
        <v>402</v>
      </c>
      <c r="BI24" s="183" t="s">
        <v>401</v>
      </c>
      <c r="BJ24" s="323" t="s">
        <v>595</v>
      </c>
      <c r="BK24" s="327" t="s">
        <v>408</v>
      </c>
      <c r="BL24" s="641" t="s">
        <v>402</v>
      </c>
      <c r="BM24" s="193"/>
      <c r="BN24" s="194"/>
      <c r="BO24" s="194"/>
      <c r="BP24" s="194"/>
      <c r="BQ24" s="194"/>
      <c r="BR24" s="194"/>
      <c r="BS24" s="194"/>
      <c r="BT24" s="194"/>
      <c r="BU24" s="204"/>
      <c r="BV24" s="205"/>
      <c r="BW24" s="206"/>
      <c r="BX24" s="206"/>
      <c r="BY24" s="206"/>
      <c r="BZ24" s="206"/>
      <c r="CA24" s="206"/>
      <c r="CB24" s="213"/>
      <c r="CC24" s="214"/>
      <c r="CD24" s="206"/>
      <c r="CE24" s="213"/>
      <c r="CF24" s="215"/>
      <c r="CG24" s="216"/>
      <c r="CH24" s="216"/>
      <c r="CI24" s="216"/>
      <c r="CJ24" s="216"/>
      <c r="CK24" s="216"/>
      <c r="CL24" s="216"/>
      <c r="CM24" s="216"/>
      <c r="CN24" s="225"/>
      <c r="CO24" s="226"/>
      <c r="CP24" s="227"/>
      <c r="CQ24" s="227"/>
      <c r="CR24" s="227"/>
      <c r="CS24" s="227"/>
      <c r="CT24" s="227"/>
      <c r="CU24" s="234"/>
      <c r="CV24" s="226"/>
      <c r="CW24" s="227"/>
      <c r="CX24" s="234"/>
    </row>
    <row r="25" spans="1:102" ht="151.5" hidden="1" customHeight="1">
      <c r="A25" s="582"/>
      <c r="B25" s="585"/>
      <c r="C25" s="585"/>
      <c r="D25" s="585"/>
      <c r="E25" s="590"/>
      <c r="F25" s="590"/>
      <c r="G25" s="595"/>
      <c r="H25" s="598"/>
      <c r="I25" s="601"/>
      <c r="J25" s="598"/>
      <c r="K25" s="595"/>
      <c r="L25" s="598"/>
      <c r="M25" s="595"/>
      <c r="N25" s="335" t="str">
        <f>+IF(ISTEXT(D24),"G","")</f>
        <v>G</v>
      </c>
      <c r="O25" s="337">
        <f>IF(ISTEXT(D24),1+O24,"")</f>
        <v>13</v>
      </c>
      <c r="P25" s="337" t="str">
        <f>IF(ISTEXT(D24),CONCATENATE(N25,O25),"")</f>
        <v>G13</v>
      </c>
      <c r="Q25" s="286" t="s">
        <v>596</v>
      </c>
      <c r="R25" s="337" t="str">
        <f t="shared" si="12"/>
        <v>Probabilidad</v>
      </c>
      <c r="S25" s="299" t="s">
        <v>381</v>
      </c>
      <c r="T25" s="299" t="s">
        <v>382</v>
      </c>
      <c r="U25" s="339" t="str">
        <f t="shared" si="13"/>
        <v>40%</v>
      </c>
      <c r="V25" s="299" t="s">
        <v>383</v>
      </c>
      <c r="W25" s="299" t="s">
        <v>384</v>
      </c>
      <c r="X25" s="299" t="s">
        <v>385</v>
      </c>
      <c r="Y25" s="613"/>
      <c r="Z25" s="618"/>
      <c r="AA25" s="598"/>
      <c r="AB25" s="618"/>
      <c r="AC25" s="598"/>
      <c r="AD25" s="618"/>
      <c r="AE25" s="299" t="s">
        <v>386</v>
      </c>
      <c r="AF25" s="300" t="s">
        <v>597</v>
      </c>
      <c r="AG25" s="300" t="s">
        <v>479</v>
      </c>
      <c r="AH25" s="300" t="s">
        <v>591</v>
      </c>
      <c r="AI25" s="273" t="s">
        <v>598</v>
      </c>
      <c r="AJ25" s="273" t="s">
        <v>599</v>
      </c>
      <c r="AK25" s="273" t="s">
        <v>600</v>
      </c>
      <c r="AL25" s="304">
        <v>45200</v>
      </c>
      <c r="AM25" s="304">
        <v>45291</v>
      </c>
      <c r="AN25" s="273"/>
      <c r="AO25" s="273"/>
      <c r="AP25" s="273"/>
      <c r="AQ25" s="273"/>
      <c r="AR25" s="273"/>
      <c r="AS25" s="273"/>
      <c r="AT25" s="370" t="s">
        <v>601</v>
      </c>
      <c r="AU25" s="313" t="s">
        <v>602</v>
      </c>
      <c r="AV25" s="163"/>
      <c r="AW25" s="163"/>
      <c r="AX25" s="163"/>
      <c r="AY25" s="163"/>
      <c r="AZ25" s="163" t="s">
        <v>402</v>
      </c>
      <c r="BA25" s="163" t="s">
        <v>402</v>
      </c>
      <c r="BB25" s="171" t="s">
        <v>401</v>
      </c>
      <c r="BC25" s="323" t="s">
        <v>603</v>
      </c>
      <c r="BD25" s="324" t="s">
        <v>404</v>
      </c>
      <c r="BE25" s="324" t="s">
        <v>604</v>
      </c>
      <c r="BF25" s="329" t="s">
        <v>406</v>
      </c>
      <c r="BG25" s="181" t="s">
        <v>402</v>
      </c>
      <c r="BH25" s="181" t="s">
        <v>402</v>
      </c>
      <c r="BI25" s="183" t="s">
        <v>401</v>
      </c>
      <c r="BJ25" s="323" t="s">
        <v>605</v>
      </c>
      <c r="BK25" s="327" t="s">
        <v>408</v>
      </c>
      <c r="BL25" s="642"/>
      <c r="BM25" s="193"/>
      <c r="BN25" s="194"/>
      <c r="BO25" s="194"/>
      <c r="BP25" s="194"/>
      <c r="BQ25" s="194"/>
      <c r="BR25" s="194"/>
      <c r="BS25" s="194"/>
      <c r="BT25" s="194"/>
      <c r="BU25" s="204"/>
      <c r="BV25" s="205"/>
      <c r="BW25" s="206"/>
      <c r="BX25" s="206"/>
      <c r="BY25" s="206"/>
      <c r="BZ25" s="206"/>
      <c r="CA25" s="206"/>
      <c r="CB25" s="213"/>
      <c r="CC25" s="214"/>
      <c r="CD25" s="206"/>
      <c r="CE25" s="213"/>
      <c r="CF25" s="215"/>
      <c r="CG25" s="216"/>
      <c r="CH25" s="216"/>
      <c r="CI25" s="216"/>
      <c r="CJ25" s="216"/>
      <c r="CK25" s="216"/>
      <c r="CL25" s="216"/>
      <c r="CM25" s="216"/>
      <c r="CN25" s="225"/>
      <c r="CO25" s="226"/>
      <c r="CP25" s="227"/>
      <c r="CQ25" s="227"/>
      <c r="CR25" s="227"/>
      <c r="CS25" s="227"/>
      <c r="CT25" s="227"/>
      <c r="CU25" s="234"/>
      <c r="CV25" s="226"/>
      <c r="CW25" s="227"/>
      <c r="CX25" s="234"/>
    </row>
    <row r="26" spans="1:102" ht="191.25" hidden="1" customHeight="1">
      <c r="A26" s="581">
        <v>14</v>
      </c>
      <c r="B26" s="584" t="str">
        <f>IFERROR(VLOOKUP($A26,Riesgos!$A$7:$H$84,2,FALSE),"")</f>
        <v>Direccionamiento Estratégico</v>
      </c>
      <c r="C26" s="584" t="str">
        <f>IFERROR(VLOOKUP($A26,Riesgos!$A$7:$H$84,7,FALSE),"")</f>
        <v xml:space="preserve">Debido a debilidades en la identificación de necesidades alineadas a las metas institucionales y/o inconsistencias en la formulación de la cadena presupuestal e información jurídica y contractuales de los procesos  
</v>
      </c>
      <c r="D26" s="584" t="str">
        <f>IFERROR(VLOOKUP($A26,Riesgos!$A$7:$H$84,8,FALSE),"")</f>
        <v xml:space="preserve">Posible afectación económica/presupuestal por la ejecución de recursos de inversión que no correspondan al cumplimiento de una meta debido a inconsistencias en la formulación del Plan anual de Adquisiciones -PAA relacionadas con debilidades en la identificación de necesidades y la información presupuestal, jurídica y contractual de los procesos  </v>
      </c>
      <c r="E26" s="589" t="s">
        <v>453</v>
      </c>
      <c r="F26" s="589">
        <v>400</v>
      </c>
      <c r="G26" s="594" t="str">
        <f>IF(F26&lt;=0,"",IF(F26&lt;='Listas y tablas'!$B$3,"Muy Baja",IF(F26&lt;='Listas y tablas'!$B$4,"Baja",IF(F26&lt;='Listas y tablas'!$B$5,"Media",IF(F26&lt;='Listas y tablas'!$B$6,"Alta","Muy Alta")))))</f>
        <v>Media</v>
      </c>
      <c r="H26" s="597">
        <f>IF(G26="","",IF(G26="Muy Baja",'Listas y tablas'!$C$3,IF(G26="Baja",'Listas y tablas'!$C$4,IF(G26="Media",'Listas y tablas'!$C$5,IF(G26="Alta",'Listas y tablas'!$C$6,IF(G26="Muy Alta",'Listas y tablas'!$C$7,))))))</f>
        <v>0.6</v>
      </c>
      <c r="I26" s="600" t="s">
        <v>423</v>
      </c>
      <c r="J26" s="597" t="str">
        <f>IF(NOT(ISERROR(MATCH(I26,'Tabla Impacto'!$B$221:$B$223,0))),'Tabla Impacto'!$F$223&amp;"Por favor no seleccionar los criterios de impacto(Afectación Económica o presupuestal y Pérdida Reputacional)",I26)</f>
        <v xml:space="preserve">     El riesgo afecta la imagen de la entidad con algunos usuarios de relevancia frente al logro de los objetivos</v>
      </c>
      <c r="K26" s="594" t="str">
        <f>IF(OR(J26='Tabla Impacto'!$C$11,J26='Tabla Impacto'!$D$11),"Leve",IF(OR(J26='Tabla Impacto'!$C$12,J26='Tabla Impacto'!$D$12),"Menor",IF(OR(J26='Tabla Impacto'!$C$13,J26='Tabla Impacto'!$D$13),"Moderado",IF(OR(J26='Tabla Impacto'!$C$14,J26='Tabla Impacto'!$D$14),"Mayor",IF(OR(J26='Tabla Impacto'!$C$15,J26='Tabla Impacto'!$D$15),"Catastrófico","")))))</f>
        <v>Moderado</v>
      </c>
      <c r="L26" s="597">
        <f>IF(K26="","",IF(K26="Leve",'Listas y tablas'!$F$3,IF(K26="Menor",'Listas y tablas'!$F$4,IF(K26="Moderado",'Listas y tablas'!$F$5,IF(K26="Mayor",'Listas y tablas'!$F$6,IF(K26="Catastrófico",'Listas y tablas'!$F$7,))))))</f>
        <v>0.6</v>
      </c>
      <c r="M26" s="594" t="str">
        <f t="shared" si="1"/>
        <v>Moderado</v>
      </c>
      <c r="N26" s="335" t="str">
        <f t="shared" si="2"/>
        <v>G</v>
      </c>
      <c r="O26" s="337">
        <f t="shared" si="3"/>
        <v>14</v>
      </c>
      <c r="P26" s="337" t="str">
        <f t="shared" si="4"/>
        <v>G14</v>
      </c>
      <c r="Q26" s="286" t="s">
        <v>606</v>
      </c>
      <c r="R26" s="337" t="str">
        <f t="shared" si="12"/>
        <v>Probabilidad</v>
      </c>
      <c r="S26" s="299" t="s">
        <v>381</v>
      </c>
      <c r="T26" s="299" t="s">
        <v>382</v>
      </c>
      <c r="U26" s="339" t="str">
        <f t="shared" ref="U26:U31" si="14">IF(AND(S26="Preventivo",T26="Automático"),"50%",IF(AND(S26="Preventivo",T26="Manual"),"40%",IF(AND(S26="Detectivo",T26="Automático"),"40%",IF(AND(S26="Detectivo",T26="Manual"),"30%",IF(AND(S26="Correctivo",T26="Automático"),"35%",IF(AND(S26="Correctivo",T26="Manual"),"25%",""))))))</f>
        <v>40%</v>
      </c>
      <c r="V26" s="299" t="s">
        <v>383</v>
      </c>
      <c r="W26" s="299" t="s">
        <v>384</v>
      </c>
      <c r="X26" s="299" t="s">
        <v>385</v>
      </c>
      <c r="Y26" s="612">
        <f t="shared" si="5"/>
        <v>0.36</v>
      </c>
      <c r="Z26" s="617" t="str">
        <f>IFERROR(IF(Y26="","",IF(Y26&lt;='Listas y tablas'!$L$3,"Muy Baja",IF(Y26&lt;='Listas y tablas'!$L$4,"Baja",IF(Y26&lt;='Listas y tablas'!$L$5,"Media",IF(Y26&lt;='Listas y tablas'!$L$6,"Alta","Muy Alta"))))),"")</f>
        <v>Baja</v>
      </c>
      <c r="AA26" s="597">
        <f t="shared" si="6"/>
        <v>0.36</v>
      </c>
      <c r="AB26" s="617" t="str">
        <f>IFERROR(IF(AC26="","",IF(AC26&lt;='Listas y tablas'!$O$3,"Leve",IF(AC26&lt;='Listas y tablas'!$O$4,"Menor",IF(AC26&lt;='Listas y tablas'!$O$5,"Moderado",IF(AC26&lt;='Listas y tablas'!$O$6,"Mayor","Catastrófico"))))),"")</f>
        <v>Catastrófico</v>
      </c>
      <c r="AC26" s="597">
        <f t="shared" si="10"/>
        <v>400</v>
      </c>
      <c r="AD26" s="617" t="str">
        <f t="shared" si="9"/>
        <v>Extremo</v>
      </c>
      <c r="AE26" s="609" t="s">
        <v>425</v>
      </c>
      <c r="AF26" s="300" t="s">
        <v>607</v>
      </c>
      <c r="AG26" s="300" t="s">
        <v>388</v>
      </c>
      <c r="AH26" s="300" t="s">
        <v>608</v>
      </c>
      <c r="AI26" s="273" t="s">
        <v>609</v>
      </c>
      <c r="AJ26" s="273" t="s">
        <v>610</v>
      </c>
      <c r="AK26" s="273" t="s">
        <v>611</v>
      </c>
      <c r="AL26" s="304">
        <v>45078</v>
      </c>
      <c r="AM26" s="304">
        <v>45138</v>
      </c>
      <c r="AN26" s="273"/>
      <c r="AO26" s="273"/>
      <c r="AP26" s="273"/>
      <c r="AQ26" s="273"/>
      <c r="AR26" s="273"/>
      <c r="AS26" s="273"/>
      <c r="AT26" s="312" t="s">
        <v>612</v>
      </c>
      <c r="AU26" s="313" t="s">
        <v>613</v>
      </c>
      <c r="AV26" s="163"/>
      <c r="AW26" s="163"/>
      <c r="AX26" s="163"/>
      <c r="AY26" s="163"/>
      <c r="AZ26" s="163" t="s">
        <v>402</v>
      </c>
      <c r="BA26" s="163" t="s">
        <v>402</v>
      </c>
      <c r="BB26" s="171" t="s">
        <v>401</v>
      </c>
      <c r="BC26" s="323" t="s">
        <v>614</v>
      </c>
      <c r="BD26" s="324" t="s">
        <v>404</v>
      </c>
      <c r="BE26" s="324" t="s">
        <v>604</v>
      </c>
      <c r="BF26" s="329" t="s">
        <v>406</v>
      </c>
      <c r="BG26" s="181" t="s">
        <v>402</v>
      </c>
      <c r="BH26" s="181" t="s">
        <v>402</v>
      </c>
      <c r="BI26" s="183" t="s">
        <v>401</v>
      </c>
      <c r="BJ26" s="323" t="s">
        <v>615</v>
      </c>
      <c r="BK26" s="327" t="s">
        <v>408</v>
      </c>
      <c r="BL26" s="641" t="s">
        <v>402</v>
      </c>
      <c r="BM26" s="193"/>
      <c r="BN26" s="194"/>
      <c r="BO26" s="194"/>
      <c r="BP26" s="194"/>
      <c r="BQ26" s="194"/>
      <c r="BR26" s="194"/>
      <c r="BS26" s="194"/>
      <c r="BT26" s="194"/>
      <c r="BU26" s="204"/>
      <c r="BV26" s="205"/>
      <c r="BW26" s="206"/>
      <c r="BX26" s="206"/>
      <c r="BY26" s="206"/>
      <c r="BZ26" s="206"/>
      <c r="CA26" s="206"/>
      <c r="CB26" s="213"/>
      <c r="CC26" s="214"/>
      <c r="CD26" s="206"/>
      <c r="CE26" s="213"/>
      <c r="CF26" s="215"/>
      <c r="CG26" s="216"/>
      <c r="CH26" s="216"/>
      <c r="CI26" s="216"/>
      <c r="CJ26" s="216"/>
      <c r="CK26" s="216"/>
      <c r="CL26" s="216"/>
      <c r="CM26" s="216"/>
      <c r="CN26" s="225"/>
      <c r="CO26" s="226"/>
      <c r="CP26" s="227"/>
      <c r="CQ26" s="227"/>
      <c r="CR26" s="227"/>
      <c r="CS26" s="227"/>
      <c r="CT26" s="227"/>
      <c r="CU26" s="234"/>
      <c r="CV26" s="226"/>
      <c r="CW26" s="227"/>
      <c r="CX26" s="234"/>
    </row>
    <row r="27" spans="1:102" ht="151.5" hidden="1" customHeight="1">
      <c r="A27" s="583"/>
      <c r="B27" s="586"/>
      <c r="C27" s="586"/>
      <c r="D27" s="586"/>
      <c r="E27" s="591"/>
      <c r="F27" s="591"/>
      <c r="G27" s="596"/>
      <c r="H27" s="599"/>
      <c r="I27" s="602"/>
      <c r="J27" s="599"/>
      <c r="K27" s="596"/>
      <c r="L27" s="599"/>
      <c r="M27" s="596"/>
      <c r="N27" s="335" t="str">
        <f>+IF(ISTEXT(D26),"G","")</f>
        <v>G</v>
      </c>
      <c r="O27" s="337">
        <f>IF(ISTEXT(D26),1+O26,"")</f>
        <v>15</v>
      </c>
      <c r="P27" s="337" t="str">
        <f>IF(ISTEXT(D26),CONCATENATE(N27,O27),"")</f>
        <v>G15</v>
      </c>
      <c r="Q27" s="287" t="s">
        <v>616</v>
      </c>
      <c r="R27" s="337" t="str">
        <f t="shared" si="12"/>
        <v>Probabilidad</v>
      </c>
      <c r="S27" s="299" t="s">
        <v>381</v>
      </c>
      <c r="T27" s="299" t="s">
        <v>382</v>
      </c>
      <c r="U27" s="339" t="str">
        <f t="shared" si="14"/>
        <v>40%</v>
      </c>
      <c r="V27" s="299" t="s">
        <v>383</v>
      </c>
      <c r="W27" s="299" t="s">
        <v>384</v>
      </c>
      <c r="X27" s="299" t="s">
        <v>385</v>
      </c>
      <c r="Y27" s="614"/>
      <c r="Z27" s="619"/>
      <c r="AA27" s="599"/>
      <c r="AB27" s="619"/>
      <c r="AC27" s="599"/>
      <c r="AD27" s="619"/>
      <c r="AE27" s="610"/>
      <c r="AF27" s="300" t="s">
        <v>617</v>
      </c>
      <c r="AG27" s="300" t="s">
        <v>618</v>
      </c>
      <c r="AH27" s="300" t="s">
        <v>619</v>
      </c>
      <c r="AI27" s="273"/>
      <c r="AJ27" s="273"/>
      <c r="AK27" s="273"/>
      <c r="AL27" s="304"/>
      <c r="AM27" s="304"/>
      <c r="AN27" s="273"/>
      <c r="AO27" s="273"/>
      <c r="AP27" s="273"/>
      <c r="AQ27" s="273"/>
      <c r="AR27" s="273"/>
      <c r="AS27" s="273"/>
      <c r="AT27" s="312" t="s">
        <v>620</v>
      </c>
      <c r="AU27" s="313" t="s">
        <v>621</v>
      </c>
      <c r="AV27" s="163"/>
      <c r="AW27" s="163"/>
      <c r="AX27" s="163"/>
      <c r="AY27" s="163"/>
      <c r="AZ27" s="163" t="s">
        <v>402</v>
      </c>
      <c r="BA27" s="163" t="s">
        <v>402</v>
      </c>
      <c r="BB27" s="171" t="s">
        <v>401</v>
      </c>
      <c r="BC27" s="323" t="s">
        <v>622</v>
      </c>
      <c r="BD27" s="324" t="s">
        <v>404</v>
      </c>
      <c r="BE27" s="324"/>
      <c r="BF27" s="329"/>
      <c r="BG27" s="181"/>
      <c r="BH27" s="181"/>
      <c r="BI27" s="183"/>
      <c r="BJ27" s="323" t="s">
        <v>623</v>
      </c>
      <c r="BK27" s="327" t="s">
        <v>408</v>
      </c>
      <c r="BL27" s="643"/>
      <c r="BM27" s="193"/>
      <c r="BN27" s="194"/>
      <c r="BO27" s="194"/>
      <c r="BP27" s="194"/>
      <c r="BQ27" s="194"/>
      <c r="BR27" s="194"/>
      <c r="BS27" s="194"/>
      <c r="BT27" s="194"/>
      <c r="BU27" s="204"/>
      <c r="BV27" s="205"/>
      <c r="BW27" s="206"/>
      <c r="BX27" s="206"/>
      <c r="BY27" s="206"/>
      <c r="BZ27" s="206"/>
      <c r="CA27" s="206"/>
      <c r="CB27" s="213"/>
      <c r="CC27" s="214"/>
      <c r="CD27" s="206"/>
      <c r="CE27" s="213"/>
      <c r="CF27" s="215"/>
      <c r="CG27" s="216"/>
      <c r="CH27" s="216"/>
      <c r="CI27" s="216"/>
      <c r="CJ27" s="216"/>
      <c r="CK27" s="216"/>
      <c r="CL27" s="216"/>
      <c r="CM27" s="216"/>
      <c r="CN27" s="225"/>
      <c r="CO27" s="226"/>
      <c r="CP27" s="227"/>
      <c r="CQ27" s="227"/>
      <c r="CR27" s="227"/>
      <c r="CS27" s="227"/>
      <c r="CT27" s="227"/>
      <c r="CU27" s="234"/>
      <c r="CV27" s="226"/>
      <c r="CW27" s="227"/>
      <c r="CX27" s="234"/>
    </row>
    <row r="28" spans="1:102" ht="151.5" hidden="1" customHeight="1">
      <c r="A28" s="582"/>
      <c r="B28" s="585"/>
      <c r="C28" s="585"/>
      <c r="D28" s="585"/>
      <c r="E28" s="590"/>
      <c r="F28" s="590"/>
      <c r="G28" s="595"/>
      <c r="H28" s="598"/>
      <c r="I28" s="601"/>
      <c r="J28" s="598"/>
      <c r="K28" s="595"/>
      <c r="L28" s="598"/>
      <c r="M28" s="595"/>
      <c r="N28" s="335" t="str">
        <f>+IF(ISTEXT(D26),"G","")</f>
        <v>G</v>
      </c>
      <c r="O28" s="337">
        <f>IF(ISTEXT(D26),1+O27,"")</f>
        <v>16</v>
      </c>
      <c r="P28" s="337" t="str">
        <f>IF(ISTEXT(D26),CONCATENATE(N28,O28),"")</f>
        <v>G16</v>
      </c>
      <c r="Q28" s="286" t="s">
        <v>624</v>
      </c>
      <c r="R28" s="337" t="str">
        <f t="shared" ref="R28:R33" si="15">IF(OR(S28="Preventivo",S28="Detectivo"),"Probabilidad",IF(S28="Correctivo","Impacto",""))</f>
        <v>Probabilidad</v>
      </c>
      <c r="S28" s="299" t="s">
        <v>381</v>
      </c>
      <c r="T28" s="299" t="s">
        <v>382</v>
      </c>
      <c r="U28" s="339" t="str">
        <f t="shared" si="14"/>
        <v>40%</v>
      </c>
      <c r="V28" s="299" t="s">
        <v>383</v>
      </c>
      <c r="W28" s="299" t="s">
        <v>384</v>
      </c>
      <c r="X28" s="299" t="s">
        <v>385</v>
      </c>
      <c r="Y28" s="613"/>
      <c r="Z28" s="618"/>
      <c r="AA28" s="598"/>
      <c r="AB28" s="618"/>
      <c r="AC28" s="598"/>
      <c r="AD28" s="618"/>
      <c r="AE28" s="611"/>
      <c r="AF28" s="300" t="s">
        <v>625</v>
      </c>
      <c r="AG28" s="300" t="s">
        <v>411</v>
      </c>
      <c r="AH28" s="300" t="s">
        <v>591</v>
      </c>
      <c r="AI28" s="273"/>
      <c r="AJ28" s="273"/>
      <c r="AK28" s="273"/>
      <c r="AL28" s="304"/>
      <c r="AM28" s="304"/>
      <c r="AN28" s="273"/>
      <c r="AO28" s="273"/>
      <c r="AP28" s="273"/>
      <c r="AQ28" s="273"/>
      <c r="AR28" s="273"/>
      <c r="AS28" s="273"/>
      <c r="AT28" s="312" t="s">
        <v>626</v>
      </c>
      <c r="AU28" s="371" t="s">
        <v>627</v>
      </c>
      <c r="AV28" s="163"/>
      <c r="AW28" s="163"/>
      <c r="AX28" s="163"/>
      <c r="AY28" s="163"/>
      <c r="AZ28" s="163"/>
      <c r="BA28" s="163"/>
      <c r="BB28" s="171"/>
      <c r="BC28" s="323" t="s">
        <v>628</v>
      </c>
      <c r="BD28" s="324" t="s">
        <v>404</v>
      </c>
      <c r="BE28" s="324"/>
      <c r="BF28" s="329"/>
      <c r="BG28" s="181"/>
      <c r="BH28" s="181"/>
      <c r="BI28" s="183"/>
      <c r="BJ28" s="323" t="s">
        <v>629</v>
      </c>
      <c r="BK28" s="327" t="s">
        <v>408</v>
      </c>
      <c r="BL28" s="642"/>
      <c r="BM28" s="193"/>
      <c r="BN28" s="194"/>
      <c r="BO28" s="194"/>
      <c r="BP28" s="194"/>
      <c r="BQ28" s="194"/>
      <c r="BR28" s="194"/>
      <c r="BS28" s="194"/>
      <c r="BT28" s="194"/>
      <c r="BU28" s="204"/>
      <c r="BV28" s="205"/>
      <c r="BW28" s="206"/>
      <c r="BX28" s="206"/>
      <c r="BY28" s="206"/>
      <c r="BZ28" s="206"/>
      <c r="CA28" s="206"/>
      <c r="CB28" s="213"/>
      <c r="CC28" s="214"/>
      <c r="CD28" s="206"/>
      <c r="CE28" s="213"/>
      <c r="CF28" s="215"/>
      <c r="CG28" s="216"/>
      <c r="CH28" s="216"/>
      <c r="CI28" s="216"/>
      <c r="CJ28" s="216"/>
      <c r="CK28" s="216"/>
      <c r="CL28" s="216"/>
      <c r="CM28" s="216"/>
      <c r="CN28" s="225"/>
      <c r="CO28" s="226"/>
      <c r="CP28" s="227"/>
      <c r="CQ28" s="227"/>
      <c r="CR28" s="227"/>
      <c r="CS28" s="227"/>
      <c r="CT28" s="227"/>
      <c r="CU28" s="234"/>
      <c r="CV28" s="226"/>
      <c r="CW28" s="227"/>
      <c r="CX28" s="234"/>
    </row>
    <row r="29" spans="1:102" ht="151.5" hidden="1" customHeight="1">
      <c r="A29" s="581">
        <v>15</v>
      </c>
      <c r="B29" s="584" t="str">
        <f>IFERROR(VLOOKUP($A29,Riesgos!$A$7:$H$84,2,FALSE),"")</f>
        <v>Direccionamiento Estratégico</v>
      </c>
      <c r="C29" s="584" t="str">
        <f>IFERROR(VLOOKUP($A29,Riesgos!$A$7:$H$84,7,FALSE),"")</f>
        <v>Fallas en la convocatoria de los grupos de valor a cada ámbito 
Fallas en la metodología establecida para garantizar la participación ciudadana e incidente</v>
      </c>
      <c r="D29" s="584" t="str">
        <f>IFERROR(VLOOKUP($A29,Riesgos!$A$7:$H$84,8,FALSE),"")</f>
        <v>Posible afectación reputacional por incumplimiento en la implementación de los ámbitos de participación ciudadana definidos para la vigencia, debido a fallas en la convocatoria y en la metodología establecida</v>
      </c>
      <c r="E29" s="589" t="s">
        <v>453</v>
      </c>
      <c r="F29" s="589">
        <v>230</v>
      </c>
      <c r="G29" s="594" t="str">
        <f>IF(F29&lt;=0,"",IF(F29&lt;='Listas y tablas'!$B$3,"Muy Baja",IF(F29&lt;='Listas y tablas'!$B$4,"Baja",IF(F29&lt;='Listas y tablas'!$B$5,"Media",IF(F29&lt;='Listas y tablas'!$B$6,"Alta","Muy Alta")))))</f>
        <v>Media</v>
      </c>
      <c r="H29" s="597">
        <f>IF(G29="","",IF(G29="Muy Baja",'Listas y tablas'!$C$3,IF(G29="Baja",'Listas y tablas'!$C$4,IF(G29="Media",'Listas y tablas'!$C$5,IF(G29="Alta",'Listas y tablas'!$C$6,IF(G29="Muy Alta",'Listas y tablas'!$C$7,))))))</f>
        <v>0.6</v>
      </c>
      <c r="I29" s="600" t="s">
        <v>423</v>
      </c>
      <c r="J29" s="597" t="str">
        <f>IF(NOT(ISERROR(MATCH(I29,'Tabla Impacto'!$B$221:$B$223,0))),'Tabla Impacto'!$F$223&amp;"Por favor no seleccionar los criterios de impacto(Afectación Económica o presupuestal y Pérdida Reputacional)",I29)</f>
        <v xml:space="preserve">     El riesgo afecta la imagen de la entidad con algunos usuarios de relevancia frente al logro de los objetivos</v>
      </c>
      <c r="K29" s="594" t="str">
        <f>IF(OR(J29='Tabla Impacto'!$C$11,J29='Tabla Impacto'!$D$11),"Leve",IF(OR(J29='Tabla Impacto'!$C$12,J29='Tabla Impacto'!$D$12),"Menor",IF(OR(J29='Tabla Impacto'!$C$13,J29='Tabla Impacto'!$D$13),"Moderado",IF(OR(J29='Tabla Impacto'!$C$14,J29='Tabla Impacto'!$D$14),"Mayor",IF(OR(J29='Tabla Impacto'!$C$15,J29='Tabla Impacto'!$D$15),"Catastrófico","")))))</f>
        <v>Moderado</v>
      </c>
      <c r="L29" s="597">
        <f>IF(K29="","",IF(K29="Leve",'Listas y tablas'!$F$3,IF(K29="Menor",'Listas y tablas'!$F$4,IF(K29="Moderado",'Listas y tablas'!$F$5,IF(K29="Mayor",'Listas y tablas'!$F$6,IF(K29="Catastrófico",'Listas y tablas'!$F$7,))))))</f>
        <v>0.6</v>
      </c>
      <c r="M29" s="594" t="str">
        <f t="shared" si="1"/>
        <v>Moderado</v>
      </c>
      <c r="N29" s="335" t="str">
        <f t="shared" si="2"/>
        <v>G</v>
      </c>
      <c r="O29" s="337">
        <f t="shared" si="3"/>
        <v>17</v>
      </c>
      <c r="P29" s="337" t="str">
        <f t="shared" si="4"/>
        <v>G17</v>
      </c>
      <c r="Q29" s="286" t="s">
        <v>630</v>
      </c>
      <c r="R29" s="337" t="str">
        <f t="shared" si="15"/>
        <v>Probabilidad</v>
      </c>
      <c r="S29" s="299" t="s">
        <v>381</v>
      </c>
      <c r="T29" s="299" t="s">
        <v>382</v>
      </c>
      <c r="U29" s="339" t="str">
        <f t="shared" si="14"/>
        <v>40%</v>
      </c>
      <c r="V29" s="299" t="s">
        <v>383</v>
      </c>
      <c r="W29" s="299" t="s">
        <v>384</v>
      </c>
      <c r="X29" s="299" t="s">
        <v>385</v>
      </c>
      <c r="Y29" s="612">
        <f t="shared" si="5"/>
        <v>0.36</v>
      </c>
      <c r="Z29" s="617" t="str">
        <f>IFERROR(IF(Y29="","",IF(Y29&lt;='Listas y tablas'!$L$3,"Muy Baja",IF(Y29&lt;='Listas y tablas'!$L$4,"Baja",IF(Y29&lt;='Listas y tablas'!$L$5,"Media",IF(Y29&lt;='Listas y tablas'!$L$6,"Alta","Muy Alta"))))),"")</f>
        <v>Baja</v>
      </c>
      <c r="AA29" s="597">
        <f t="shared" si="6"/>
        <v>0.36</v>
      </c>
      <c r="AB29" s="617" t="str">
        <f>IFERROR(IF(AC29="","",IF(AC29&lt;='Listas y tablas'!$O$3,"Leve",IF(AC29&lt;='Listas y tablas'!$O$4,"Menor",IF(AC29&lt;='Listas y tablas'!$O$5,"Moderado",IF(AC29&lt;='Listas y tablas'!$O$6,"Mayor","Catastrófico"))))),"")</f>
        <v>Catastrófico</v>
      </c>
      <c r="AC29" s="597">
        <f t="shared" si="10"/>
        <v>230</v>
      </c>
      <c r="AD29" s="617" t="str">
        <f t="shared" si="9"/>
        <v>Extremo</v>
      </c>
      <c r="AE29" s="609" t="s">
        <v>386</v>
      </c>
      <c r="AF29" s="300" t="s">
        <v>631</v>
      </c>
      <c r="AG29" s="300" t="s">
        <v>632</v>
      </c>
      <c r="AH29" s="300" t="s">
        <v>633</v>
      </c>
      <c r="AI29" s="273"/>
      <c r="AJ29" s="273"/>
      <c r="AK29" s="273"/>
      <c r="AL29" s="304"/>
      <c r="AM29" s="304"/>
      <c r="AN29" s="273"/>
      <c r="AO29" s="273"/>
      <c r="AP29" s="273"/>
      <c r="AQ29" s="273"/>
      <c r="AR29" s="273"/>
      <c r="AS29" s="273"/>
      <c r="AT29" s="362" t="s">
        <v>634</v>
      </c>
      <c r="AU29" s="313" t="s">
        <v>635</v>
      </c>
      <c r="AV29" s="163"/>
      <c r="AW29" s="163"/>
      <c r="AX29" s="163"/>
      <c r="AY29" s="163"/>
      <c r="AZ29" s="163" t="s">
        <v>402</v>
      </c>
      <c r="BA29" s="163" t="s">
        <v>402</v>
      </c>
      <c r="BB29" s="171" t="s">
        <v>401</v>
      </c>
      <c r="BC29" s="323" t="s">
        <v>636</v>
      </c>
      <c r="BD29" s="324" t="s">
        <v>404</v>
      </c>
      <c r="BE29" s="324"/>
      <c r="BF29" s="329"/>
      <c r="BG29" s="181"/>
      <c r="BH29" s="181"/>
      <c r="BI29" s="183"/>
      <c r="BJ29" s="323" t="s">
        <v>637</v>
      </c>
      <c r="BK29" s="327" t="s">
        <v>408</v>
      </c>
      <c r="BL29" s="641"/>
      <c r="BM29" s="193"/>
      <c r="BN29" s="194"/>
      <c r="BO29" s="194"/>
      <c r="BP29" s="194"/>
      <c r="BQ29" s="194"/>
      <c r="BR29" s="194"/>
      <c r="BS29" s="194"/>
      <c r="BT29" s="194"/>
      <c r="BU29" s="204"/>
      <c r="BV29" s="205"/>
      <c r="BW29" s="206"/>
      <c r="BX29" s="206"/>
      <c r="BY29" s="206"/>
      <c r="BZ29" s="206"/>
      <c r="CA29" s="206"/>
      <c r="CB29" s="213"/>
      <c r="CC29" s="214"/>
      <c r="CD29" s="206"/>
      <c r="CE29" s="213"/>
      <c r="CF29" s="215"/>
      <c r="CG29" s="216"/>
      <c r="CH29" s="216"/>
      <c r="CI29" s="216"/>
      <c r="CJ29" s="216"/>
      <c r="CK29" s="216"/>
      <c r="CL29" s="216"/>
      <c r="CM29" s="216"/>
      <c r="CN29" s="225"/>
      <c r="CO29" s="226"/>
      <c r="CP29" s="227"/>
      <c r="CQ29" s="227"/>
      <c r="CR29" s="227"/>
      <c r="CS29" s="227"/>
      <c r="CT29" s="227"/>
      <c r="CU29" s="234"/>
      <c r="CV29" s="226"/>
      <c r="CW29" s="227"/>
      <c r="CX29" s="234"/>
    </row>
    <row r="30" spans="1:102" ht="169.5" hidden="1" customHeight="1">
      <c r="A30" s="582"/>
      <c r="B30" s="585"/>
      <c r="C30" s="585"/>
      <c r="D30" s="585"/>
      <c r="E30" s="590"/>
      <c r="F30" s="590"/>
      <c r="G30" s="595"/>
      <c r="H30" s="598"/>
      <c r="I30" s="601"/>
      <c r="J30" s="598"/>
      <c r="K30" s="595"/>
      <c r="L30" s="598"/>
      <c r="M30" s="595"/>
      <c r="N30" s="335" t="str">
        <f>+IF(ISTEXT(D29),"G","")</f>
        <v>G</v>
      </c>
      <c r="O30" s="337">
        <f>IF(ISTEXT(D29),1+O29,"")</f>
        <v>18</v>
      </c>
      <c r="P30" s="337" t="str">
        <f>IF(ISTEXT(D29),CONCATENATE(N30,O30),"")</f>
        <v>G18</v>
      </c>
      <c r="Q30" s="286" t="s">
        <v>638</v>
      </c>
      <c r="R30" s="337" t="str">
        <f t="shared" si="15"/>
        <v>Probabilidad</v>
      </c>
      <c r="S30" s="299" t="s">
        <v>381</v>
      </c>
      <c r="T30" s="299" t="s">
        <v>382</v>
      </c>
      <c r="U30" s="339" t="str">
        <f t="shared" si="14"/>
        <v>40%</v>
      </c>
      <c r="V30" s="299" t="s">
        <v>383</v>
      </c>
      <c r="W30" s="299" t="s">
        <v>384</v>
      </c>
      <c r="X30" s="299" t="s">
        <v>385</v>
      </c>
      <c r="Y30" s="613"/>
      <c r="Z30" s="618"/>
      <c r="AA30" s="598"/>
      <c r="AB30" s="618"/>
      <c r="AC30" s="598"/>
      <c r="AD30" s="618"/>
      <c r="AE30" s="611"/>
      <c r="AF30" s="300" t="s">
        <v>639</v>
      </c>
      <c r="AG30" s="300" t="s">
        <v>411</v>
      </c>
      <c r="AH30" s="300" t="s">
        <v>591</v>
      </c>
      <c r="AI30" s="362" t="s">
        <v>640</v>
      </c>
      <c r="AJ30" s="363" t="s">
        <v>641</v>
      </c>
      <c r="AK30" s="362" t="s">
        <v>642</v>
      </c>
      <c r="AL30" s="359">
        <v>44958</v>
      </c>
      <c r="AM30" s="359">
        <v>45275</v>
      </c>
      <c r="AN30" s="273"/>
      <c r="AO30" s="273"/>
      <c r="AP30" s="273"/>
      <c r="AQ30" s="273"/>
      <c r="AR30" s="273"/>
      <c r="AS30" s="273"/>
      <c r="AT30" s="370" t="s">
        <v>643</v>
      </c>
      <c r="AU30" s="372" t="s">
        <v>644</v>
      </c>
      <c r="AV30" s="163"/>
      <c r="AW30" s="163"/>
      <c r="AX30" s="372" t="s">
        <v>645</v>
      </c>
      <c r="AY30" s="372" t="s">
        <v>646</v>
      </c>
      <c r="AZ30" s="163"/>
      <c r="BA30" s="163"/>
      <c r="BB30" s="171"/>
      <c r="BC30" s="323" t="s">
        <v>647</v>
      </c>
      <c r="BD30" s="324" t="s">
        <v>404</v>
      </c>
      <c r="BE30" s="324" t="s">
        <v>648</v>
      </c>
      <c r="BF30" s="329" t="s">
        <v>434</v>
      </c>
      <c r="BG30" s="181" t="s">
        <v>402</v>
      </c>
      <c r="BH30" s="181" t="s">
        <v>402</v>
      </c>
      <c r="BI30" s="183" t="s">
        <v>401</v>
      </c>
      <c r="BJ30" s="323" t="s">
        <v>649</v>
      </c>
      <c r="BK30" s="327" t="s">
        <v>408</v>
      </c>
      <c r="BL30" s="642"/>
      <c r="BM30" s="193"/>
      <c r="BN30" s="194"/>
      <c r="BO30" s="194"/>
      <c r="BP30" s="194"/>
      <c r="BQ30" s="194"/>
      <c r="BR30" s="194"/>
      <c r="BS30" s="194"/>
      <c r="BT30" s="194"/>
      <c r="BU30" s="204"/>
      <c r="BV30" s="205"/>
      <c r="BW30" s="206"/>
      <c r="BX30" s="206"/>
      <c r="BY30" s="206"/>
      <c r="BZ30" s="206"/>
      <c r="CA30" s="206"/>
      <c r="CB30" s="213"/>
      <c r="CC30" s="214"/>
      <c r="CD30" s="206"/>
      <c r="CE30" s="213"/>
      <c r="CF30" s="215"/>
      <c r="CG30" s="216"/>
      <c r="CH30" s="216"/>
      <c r="CI30" s="216"/>
      <c r="CJ30" s="216"/>
      <c r="CK30" s="216"/>
      <c r="CL30" s="216"/>
      <c r="CM30" s="216"/>
      <c r="CN30" s="225"/>
      <c r="CO30" s="226"/>
      <c r="CP30" s="227"/>
      <c r="CQ30" s="227"/>
      <c r="CR30" s="227"/>
      <c r="CS30" s="227"/>
      <c r="CT30" s="227"/>
      <c r="CU30" s="234"/>
      <c r="CV30" s="226"/>
      <c r="CW30" s="227"/>
      <c r="CX30" s="234"/>
    </row>
    <row r="31" spans="1:102" ht="151.5" hidden="1" customHeight="1">
      <c r="A31" s="581">
        <v>16</v>
      </c>
      <c r="B31" s="584" t="str">
        <f>IFERROR(VLOOKUP($A31,Riesgos!$A$7:$H$84,2,FALSE),"")</f>
        <v>Divulgación y Apropiación Social del Patrimonio</v>
      </c>
      <c r="C31" s="584" t="str">
        <f>IFERROR(VLOOKUP($A31,Riesgos!$A$7:$H$84,7,FALSE),"")</f>
        <v xml:space="preserve">Retrasos en la entrega de los guiones de las exposiciones
Retrasos en la entrega de la museografía
Retrasos en los trámites de préstamo de piezas museográficas
</v>
      </c>
      <c r="D31" s="584" t="str">
        <f>IFERROR(VLOOKUP($A31,Riesgos!$A$7:$H$84,8,FALSE),"")</f>
        <v>Posibilidad de afectación reputacional por retrasos en las exposiciones dedido a debilidades en la contratación y supervisión de los elementos museográficos</v>
      </c>
      <c r="E31" s="589" t="s">
        <v>453</v>
      </c>
      <c r="F31" s="589">
        <v>2</v>
      </c>
      <c r="G31" s="594" t="str">
        <f>IF(F31&lt;=0,"",IF(F31&lt;='Listas y tablas'!$B$3,"Muy Baja",IF(F31&lt;='Listas y tablas'!$B$4,"Baja",IF(F31&lt;='Listas y tablas'!$B$5,"Media",IF(F31&lt;='Listas y tablas'!$B$6,"Alta","Muy Alta")))))</f>
        <v>Muy Baja</v>
      </c>
      <c r="H31" s="597">
        <f>IF(G31="","",IF(G31="Muy Baja",'Listas y tablas'!$C$3,IF(G31="Baja",'Listas y tablas'!$C$4,IF(G31="Media",'Listas y tablas'!$C$5,IF(G31="Alta",'Listas y tablas'!$C$6,IF(G31="Muy Alta",'Listas y tablas'!$C$7,))))))</f>
        <v>0.2</v>
      </c>
      <c r="I31" s="600" t="s">
        <v>423</v>
      </c>
      <c r="J31" s="597" t="str">
        <f>IF(NOT(ISERROR(MATCH(I31,'Tabla Impacto'!$B$221:$B$223,0))),'Tabla Impacto'!$F$223&amp;"Por favor no seleccionar los criterios de impacto(Afectación Económica o presupuestal y Pérdida Reputacional)",I31)</f>
        <v xml:space="preserve">     El riesgo afecta la imagen de la entidad con algunos usuarios de relevancia frente al logro de los objetivos</v>
      </c>
      <c r="K31" s="594" t="str">
        <f>IF(OR(J31='Tabla Impacto'!$C$11,J31='Tabla Impacto'!$D$11),"Leve",IF(OR(J31='Tabla Impacto'!$C$12,J31='Tabla Impacto'!$D$12),"Menor",IF(OR(J31='Tabla Impacto'!$C$13,J31='Tabla Impacto'!$D$13),"Moderado",IF(OR(J31='Tabla Impacto'!$C$14,J31='Tabla Impacto'!$D$14),"Mayor",IF(OR(J31='Tabla Impacto'!$C$15,J31='Tabla Impacto'!$D$15),"Catastrófico","")))))</f>
        <v>Moderado</v>
      </c>
      <c r="L31" s="597">
        <f>IF(K31="","",IF(K31="Leve",'Listas y tablas'!$F$3,IF(K31="Menor",'Listas y tablas'!$F$4,IF(K31="Moderado",'Listas y tablas'!$F$5,IF(K31="Mayor",'Listas y tablas'!$F$6,IF(K31="Catastrófico",'Listas y tablas'!$F$7,))))))</f>
        <v>0.6</v>
      </c>
      <c r="M31" s="594" t="str">
        <f t="shared" si="1"/>
        <v>Moderado</v>
      </c>
      <c r="N31" s="335" t="str">
        <f t="shared" si="2"/>
        <v>G</v>
      </c>
      <c r="O31" s="337">
        <f t="shared" si="3"/>
        <v>19</v>
      </c>
      <c r="P31" s="337" t="str">
        <f t="shared" si="4"/>
        <v>G19</v>
      </c>
      <c r="Q31" s="286" t="s">
        <v>650</v>
      </c>
      <c r="R31" s="337" t="str">
        <f t="shared" si="15"/>
        <v>Probabilidad</v>
      </c>
      <c r="S31" s="299" t="s">
        <v>381</v>
      </c>
      <c r="T31" s="299" t="s">
        <v>382</v>
      </c>
      <c r="U31" s="339" t="str">
        <f t="shared" si="14"/>
        <v>40%</v>
      </c>
      <c r="V31" s="299" t="s">
        <v>383</v>
      </c>
      <c r="W31" s="299" t="s">
        <v>384</v>
      </c>
      <c r="X31" s="299" t="s">
        <v>385</v>
      </c>
      <c r="Y31" s="612">
        <f t="shared" si="5"/>
        <v>0.12</v>
      </c>
      <c r="Z31" s="617" t="str">
        <f>IFERROR(IF(Y31="","",IF(Y31&lt;='Listas y tablas'!$L$3,"Muy Baja",IF(Y31&lt;='Listas y tablas'!$L$4,"Baja",IF(Y31&lt;='Listas y tablas'!$L$5,"Media",IF(Y31&lt;='Listas y tablas'!$L$6,"Alta","Muy Alta"))))),"")</f>
        <v>Muy Baja</v>
      </c>
      <c r="AA31" s="597">
        <f t="shared" si="6"/>
        <v>0.12</v>
      </c>
      <c r="AB31" s="617" t="str">
        <f>IFERROR(IF(AC31="","",IF(AC31&lt;='Listas y tablas'!$O$3,"Leve",IF(AC31&lt;='Listas y tablas'!$O$4,"Menor",IF(AC31&lt;='Listas y tablas'!$O$5,"Moderado",IF(AC31&lt;='Listas y tablas'!$O$6,"Mayor","Catastrófico"))))),"")</f>
        <v>Catastrófico</v>
      </c>
      <c r="AC31" s="597">
        <f t="shared" si="10"/>
        <v>2</v>
      </c>
      <c r="AD31" s="617" t="str">
        <f t="shared" si="9"/>
        <v>Extremo</v>
      </c>
      <c r="AE31" s="609" t="s">
        <v>386</v>
      </c>
      <c r="AF31" s="300" t="s">
        <v>651</v>
      </c>
      <c r="AG31" s="300" t="s">
        <v>652</v>
      </c>
      <c r="AH31" s="300" t="s">
        <v>653</v>
      </c>
      <c r="AI31" s="273" t="s">
        <v>654</v>
      </c>
      <c r="AJ31" s="273" t="s">
        <v>655</v>
      </c>
      <c r="AK31" s="273" t="s">
        <v>656</v>
      </c>
      <c r="AL31" s="304">
        <v>44986</v>
      </c>
      <c r="AM31" s="304">
        <v>45199</v>
      </c>
      <c r="AN31" s="273"/>
      <c r="AO31" s="273"/>
      <c r="AP31" s="273"/>
      <c r="AQ31" s="273"/>
      <c r="AR31" s="273"/>
      <c r="AS31" s="273"/>
      <c r="AT31" s="319" t="s">
        <v>657</v>
      </c>
      <c r="AU31" s="320" t="s">
        <v>658</v>
      </c>
      <c r="AV31" s="313" t="s">
        <v>659</v>
      </c>
      <c r="AW31" s="313" t="s">
        <v>660</v>
      </c>
      <c r="AX31" s="313" t="s">
        <v>661</v>
      </c>
      <c r="AY31" s="313" t="s">
        <v>662</v>
      </c>
      <c r="AZ31" s="163" t="s">
        <v>402</v>
      </c>
      <c r="BA31" s="163" t="s">
        <v>402</v>
      </c>
      <c r="BB31" s="171"/>
      <c r="BC31" s="323" t="s">
        <v>472</v>
      </c>
      <c r="BD31" s="324" t="s">
        <v>404</v>
      </c>
      <c r="BE31" s="324" t="s">
        <v>663</v>
      </c>
      <c r="BF31" s="329" t="s">
        <v>434</v>
      </c>
      <c r="BG31" s="181" t="s">
        <v>402</v>
      </c>
      <c r="BH31" s="181" t="s">
        <v>402</v>
      </c>
      <c r="BI31" s="183"/>
      <c r="BJ31" s="323" t="s">
        <v>664</v>
      </c>
      <c r="BK31" s="327" t="s">
        <v>408</v>
      </c>
      <c r="BL31" s="641" t="s">
        <v>402</v>
      </c>
      <c r="BM31" s="193"/>
      <c r="BN31" s="194"/>
      <c r="BO31" s="194"/>
      <c r="BP31" s="194"/>
      <c r="BQ31" s="194"/>
      <c r="BR31" s="194"/>
      <c r="BS31" s="194"/>
      <c r="BT31" s="194"/>
      <c r="BU31" s="204"/>
      <c r="BV31" s="205"/>
      <c r="BW31" s="206"/>
      <c r="BX31" s="206"/>
      <c r="BY31" s="206"/>
      <c r="BZ31" s="206"/>
      <c r="CA31" s="206"/>
      <c r="CB31" s="213"/>
      <c r="CC31" s="214"/>
      <c r="CD31" s="206"/>
      <c r="CE31" s="213"/>
      <c r="CF31" s="215"/>
      <c r="CG31" s="216"/>
      <c r="CH31" s="216"/>
      <c r="CI31" s="216"/>
      <c r="CJ31" s="216"/>
      <c r="CK31" s="216"/>
      <c r="CL31" s="216"/>
      <c r="CM31" s="216"/>
      <c r="CN31" s="225"/>
      <c r="CO31" s="226"/>
      <c r="CP31" s="227"/>
      <c r="CQ31" s="227"/>
      <c r="CR31" s="227"/>
      <c r="CS31" s="227"/>
      <c r="CT31" s="227"/>
      <c r="CU31" s="234"/>
      <c r="CV31" s="226"/>
      <c r="CW31" s="227"/>
      <c r="CX31" s="234"/>
    </row>
    <row r="32" spans="1:102" ht="151.5" hidden="1" customHeight="1">
      <c r="A32" s="582"/>
      <c r="B32" s="585"/>
      <c r="C32" s="585"/>
      <c r="D32" s="585"/>
      <c r="E32" s="590"/>
      <c r="F32" s="590"/>
      <c r="G32" s="595"/>
      <c r="H32" s="598"/>
      <c r="I32" s="601"/>
      <c r="J32" s="598"/>
      <c r="K32" s="595"/>
      <c r="L32" s="598"/>
      <c r="M32" s="595"/>
      <c r="N32" s="335" t="str">
        <f>+IF(ISTEXT(D31),"G","")</f>
        <v>G</v>
      </c>
      <c r="O32" s="337">
        <f>IF(ISTEXT(D31),1+O31,"")</f>
        <v>20</v>
      </c>
      <c r="P32" s="337" t="str">
        <f>IF(ISTEXT(D31),CONCATENATE(N32,O32),"")</f>
        <v>G20</v>
      </c>
      <c r="Q32" s="286" t="s">
        <v>665</v>
      </c>
      <c r="R32" s="337" t="str">
        <f t="shared" si="15"/>
        <v>Probabilidad</v>
      </c>
      <c r="S32" s="299" t="s">
        <v>381</v>
      </c>
      <c r="T32" s="299" t="s">
        <v>382</v>
      </c>
      <c r="U32" s="339" t="str">
        <f t="shared" ref="U32:U37" si="16">IF(AND(S32="Preventivo",T32="Automático"),"50%",IF(AND(S32="Preventivo",T32="Manual"),"40%",IF(AND(S32="Detectivo",T32="Automático"),"40%",IF(AND(S32="Detectivo",T32="Manual"),"30%",IF(AND(S32="Correctivo",T32="Automático"),"35%",IF(AND(S32="Correctivo",T32="Manual"),"25%",""))))))</f>
        <v>40%</v>
      </c>
      <c r="V32" s="299" t="s">
        <v>383</v>
      </c>
      <c r="W32" s="299" t="s">
        <v>384</v>
      </c>
      <c r="X32" s="299" t="s">
        <v>385</v>
      </c>
      <c r="Y32" s="613"/>
      <c r="Z32" s="618"/>
      <c r="AA32" s="598"/>
      <c r="AB32" s="618"/>
      <c r="AC32" s="598"/>
      <c r="AD32" s="618"/>
      <c r="AE32" s="611"/>
      <c r="AF32" s="300" t="s">
        <v>666</v>
      </c>
      <c r="AG32" s="300" t="s">
        <v>667</v>
      </c>
      <c r="AH32" s="300" t="s">
        <v>653</v>
      </c>
      <c r="AI32" s="273" t="s">
        <v>668</v>
      </c>
      <c r="AJ32" s="273" t="s">
        <v>669</v>
      </c>
      <c r="AK32" s="273" t="s">
        <v>670</v>
      </c>
      <c r="AL32" s="304">
        <v>44958</v>
      </c>
      <c r="AM32" s="304">
        <v>45275</v>
      </c>
      <c r="AN32" s="273"/>
      <c r="AO32" s="273"/>
      <c r="AP32" s="273"/>
      <c r="AQ32" s="273"/>
      <c r="AR32" s="273"/>
      <c r="AS32" s="273"/>
      <c r="AT32" s="319" t="s">
        <v>671</v>
      </c>
      <c r="AU32" s="320" t="s">
        <v>672</v>
      </c>
      <c r="AV32" s="313" t="s">
        <v>673</v>
      </c>
      <c r="AW32" s="313" t="s">
        <v>674</v>
      </c>
      <c r="AX32" s="313" t="s">
        <v>675</v>
      </c>
      <c r="AY32" s="313" t="s">
        <v>676</v>
      </c>
      <c r="AZ32" s="163"/>
      <c r="BA32" s="163"/>
      <c r="BB32" s="171"/>
      <c r="BC32" s="323" t="s">
        <v>472</v>
      </c>
      <c r="BD32" s="324" t="s">
        <v>404</v>
      </c>
      <c r="BE32" s="324" t="s">
        <v>663</v>
      </c>
      <c r="BF32" s="329" t="s">
        <v>434</v>
      </c>
      <c r="BG32" s="181" t="s">
        <v>402</v>
      </c>
      <c r="BH32" s="181" t="s">
        <v>402</v>
      </c>
      <c r="BI32" s="183"/>
      <c r="BJ32" s="323" t="s">
        <v>677</v>
      </c>
      <c r="BK32" s="327" t="s">
        <v>408</v>
      </c>
      <c r="BL32" s="642"/>
      <c r="BM32" s="193"/>
      <c r="BN32" s="194"/>
      <c r="BO32" s="194"/>
      <c r="BP32" s="194"/>
      <c r="BQ32" s="194"/>
      <c r="BR32" s="194"/>
      <c r="BS32" s="194"/>
      <c r="BT32" s="194"/>
      <c r="BU32" s="204"/>
      <c r="BV32" s="205"/>
      <c r="BW32" s="206"/>
      <c r="BX32" s="206"/>
      <c r="BY32" s="206"/>
      <c r="BZ32" s="206"/>
      <c r="CA32" s="206"/>
      <c r="CB32" s="213"/>
      <c r="CC32" s="214"/>
      <c r="CD32" s="206"/>
      <c r="CE32" s="213"/>
      <c r="CF32" s="215"/>
      <c r="CG32" s="216"/>
      <c r="CH32" s="216"/>
      <c r="CI32" s="216"/>
      <c r="CJ32" s="216"/>
      <c r="CK32" s="216"/>
      <c r="CL32" s="216"/>
      <c r="CM32" s="216"/>
      <c r="CN32" s="225"/>
      <c r="CO32" s="226"/>
      <c r="CP32" s="227"/>
      <c r="CQ32" s="227"/>
      <c r="CR32" s="227"/>
      <c r="CS32" s="227"/>
      <c r="CT32" s="227"/>
      <c r="CU32" s="234"/>
      <c r="CV32" s="226"/>
      <c r="CW32" s="227"/>
      <c r="CX32" s="234"/>
    </row>
    <row r="33" spans="1:102" ht="151.5" hidden="1" customHeight="1">
      <c r="A33" s="271">
        <v>17</v>
      </c>
      <c r="B33" s="272" t="str">
        <f>IFERROR(VLOOKUP($A33,Riesgos!$A$7:$H$84,2,FALSE),"")</f>
        <v>Divulgación y Apropiación Social del Patrimonio</v>
      </c>
      <c r="C33" s="272" t="str">
        <f>IFERROR(VLOOKUP($A33,Riesgos!$A$7:$H$84,7,FALSE),"")</f>
        <v>Pérdida o daño total o parcial de los dispositivos de almacenamiento externos digital del Museo.
Incumplimiento de la obligación contractual, por parte de los profesionales del equipo, de la entrega de los soportes documentales de su gestión. 
Malas prácticas documentales para la organización y conservación de los activos de información digital por parte de los profesionales del equipo.</v>
      </c>
      <c r="D33" s="272" t="str">
        <f>IFERROR(VLOOKUP($A33,Riesgos!$A$7:$H$84,8,FALSE),"")</f>
        <v>Posibilidad de afectación reputacional por fallas o alteraciones en la disponibilidad de la información del Museo de Bogotá debido imprecisiones en el almacenamiento y ubicación final de la información digital por parte de las áreas de trabajo del Museo de Bogotá.</v>
      </c>
      <c r="E33" s="273" t="s">
        <v>453</v>
      </c>
      <c r="F33" s="273">
        <v>12</v>
      </c>
      <c r="G33" s="335" t="str">
        <f>IF(F33&lt;=0,"",IF(F33&lt;='Listas y tablas'!$B$3,"Muy Baja",IF(F33&lt;='Listas y tablas'!$B$4,"Baja",IF(F33&lt;='Listas y tablas'!$B$5,"Media",IF(F33&lt;='Listas y tablas'!$B$6,"Alta","Muy Alta")))))</f>
        <v>Baja</v>
      </c>
      <c r="H33" s="336">
        <f>IF(G33="","",IF(G33="Muy Baja",'Listas y tablas'!$C$3,IF(G33="Baja",'Listas y tablas'!$C$4,IF(G33="Media",'Listas y tablas'!$C$5,IF(G33="Alta",'Listas y tablas'!$C$6,IF(G33="Muy Alta",'Listas y tablas'!$C$7,))))))</f>
        <v>0.4</v>
      </c>
      <c r="I33" s="338" t="s">
        <v>423</v>
      </c>
      <c r="J33" s="336" t="str">
        <f>IF(NOT(ISERROR(MATCH(I33,'Tabla Impacto'!$B$221:$B$223,0))),'Tabla Impacto'!$F$223&amp;"Por favor no seleccionar los criterios de impacto(Afectación Económica o presupuestal y Pérdida Reputacional)",I33)</f>
        <v xml:space="preserve">     El riesgo afecta la imagen de la entidad con algunos usuarios de relevancia frente al logro de los objetivos</v>
      </c>
      <c r="K33" s="335" t="str">
        <f>IF(OR(J33='Tabla Impacto'!$C$11,J33='Tabla Impacto'!$D$11),"Leve",IF(OR(J33='Tabla Impacto'!$C$12,J33='Tabla Impacto'!$D$12),"Menor",IF(OR(J33='Tabla Impacto'!$C$13,J33='Tabla Impacto'!$D$13),"Moderado",IF(OR(J33='Tabla Impacto'!$C$14,J33='Tabla Impacto'!$D$14),"Mayor",IF(OR(J33='Tabla Impacto'!$C$15,J33='Tabla Impacto'!$D$15),"Catastrófico","")))))</f>
        <v>Moderado</v>
      </c>
      <c r="L33" s="336">
        <f>IF(K33="","",IF(K33="Leve",'Listas y tablas'!$F$3,IF(K33="Menor",'Listas y tablas'!$F$4,IF(K33="Moderado",'Listas y tablas'!$F$5,IF(K33="Mayor",'Listas y tablas'!$F$6,IF(K33="Catastrófico",'Listas y tablas'!$F$7,))))))</f>
        <v>0.6</v>
      </c>
      <c r="M33" s="335" t="str">
        <f t="shared" si="1"/>
        <v>Moderado</v>
      </c>
      <c r="N33" s="335" t="str">
        <f t="shared" si="2"/>
        <v>G</v>
      </c>
      <c r="O33" s="337">
        <f t="shared" si="3"/>
        <v>21</v>
      </c>
      <c r="P33" s="337" t="str">
        <f t="shared" si="4"/>
        <v>G21</v>
      </c>
      <c r="Q33" s="286" t="s">
        <v>678</v>
      </c>
      <c r="R33" s="337" t="str">
        <f t="shared" si="15"/>
        <v>Probabilidad</v>
      </c>
      <c r="S33" s="299" t="s">
        <v>381</v>
      </c>
      <c r="T33" s="299" t="s">
        <v>382</v>
      </c>
      <c r="U33" s="339" t="str">
        <f t="shared" si="16"/>
        <v>40%</v>
      </c>
      <c r="V33" s="299" t="s">
        <v>383</v>
      </c>
      <c r="W33" s="299" t="s">
        <v>384</v>
      </c>
      <c r="X33" s="299" t="s">
        <v>385</v>
      </c>
      <c r="Y33" s="346">
        <f t="shared" si="5"/>
        <v>0.24</v>
      </c>
      <c r="Z33" s="154" t="str">
        <f>IFERROR(IF(Y33="","",IF(Y33&lt;='Listas y tablas'!$L$3,"Muy Baja",IF(Y33&lt;='Listas y tablas'!$L$4,"Baja",IF(Y33&lt;='Listas y tablas'!$L$5,"Media",IF(Y33&lt;='Listas y tablas'!$L$6,"Alta","Muy Alta"))))),"")</f>
        <v>Baja</v>
      </c>
      <c r="AA33" s="339">
        <f t="shared" si="6"/>
        <v>0.24</v>
      </c>
      <c r="AB33" s="154" t="str">
        <f>IFERROR(IF(AC33="","",IF(AC33&lt;='Listas y tablas'!$O$3,"Leve",IF(AC33&lt;='Listas y tablas'!$O$4,"Menor",IF(AC33&lt;='Listas y tablas'!$O$5,"Moderado",IF(AC33&lt;='Listas y tablas'!$O$6,"Mayor","Catastrófico"))))),"")</f>
        <v>Catastrófico</v>
      </c>
      <c r="AC33" s="339">
        <f t="shared" si="10"/>
        <v>12</v>
      </c>
      <c r="AD33" s="154" t="str">
        <f t="shared" si="9"/>
        <v>Extremo</v>
      </c>
      <c r="AE33" s="299" t="s">
        <v>386</v>
      </c>
      <c r="AF33" s="300" t="s">
        <v>679</v>
      </c>
      <c r="AG33" s="300" t="s">
        <v>411</v>
      </c>
      <c r="AH33" s="300" t="s">
        <v>653</v>
      </c>
      <c r="AI33" s="273" t="s">
        <v>680</v>
      </c>
      <c r="AJ33" s="273" t="s">
        <v>681</v>
      </c>
      <c r="AK33" s="273" t="s">
        <v>656</v>
      </c>
      <c r="AL33" s="304">
        <v>44986</v>
      </c>
      <c r="AM33" s="304">
        <v>45275</v>
      </c>
      <c r="AN33" s="273"/>
      <c r="AO33" s="273"/>
      <c r="AP33" s="273"/>
      <c r="AQ33" s="273"/>
      <c r="AR33" s="273"/>
      <c r="AS33" s="273"/>
      <c r="AT33" s="319" t="s">
        <v>682</v>
      </c>
      <c r="AU33" s="320" t="s">
        <v>683</v>
      </c>
      <c r="AV33" s="313" t="s">
        <v>684</v>
      </c>
      <c r="AW33" s="313" t="s">
        <v>684</v>
      </c>
      <c r="AX33" s="313" t="s">
        <v>685</v>
      </c>
      <c r="AY33" s="313" t="s">
        <v>686</v>
      </c>
      <c r="AZ33" s="163" t="s">
        <v>402</v>
      </c>
      <c r="BA33" s="163" t="s">
        <v>402</v>
      </c>
      <c r="BB33" s="171"/>
      <c r="BC33" s="323" t="s">
        <v>472</v>
      </c>
      <c r="BD33" s="324" t="s">
        <v>404</v>
      </c>
      <c r="BE33" s="324" t="s">
        <v>663</v>
      </c>
      <c r="BF33" s="329" t="s">
        <v>434</v>
      </c>
      <c r="BG33" s="181" t="s">
        <v>402</v>
      </c>
      <c r="BH33" s="181" t="s">
        <v>402</v>
      </c>
      <c r="BI33" s="183"/>
      <c r="BJ33" s="323" t="s">
        <v>687</v>
      </c>
      <c r="BK33" s="327" t="s">
        <v>408</v>
      </c>
      <c r="BL33" s="192" t="s">
        <v>402</v>
      </c>
      <c r="BM33" s="193"/>
      <c r="BN33" s="194"/>
      <c r="BO33" s="194"/>
      <c r="BP33" s="194"/>
      <c r="BQ33" s="194"/>
      <c r="BR33" s="194"/>
      <c r="BS33" s="194"/>
      <c r="BT33" s="194"/>
      <c r="BU33" s="204"/>
      <c r="BV33" s="205"/>
      <c r="BW33" s="206"/>
      <c r="BX33" s="206"/>
      <c r="BY33" s="206"/>
      <c r="BZ33" s="206"/>
      <c r="CA33" s="206"/>
      <c r="CB33" s="213"/>
      <c r="CC33" s="214"/>
      <c r="CD33" s="206"/>
      <c r="CE33" s="213"/>
      <c r="CF33" s="215"/>
      <c r="CG33" s="216"/>
      <c r="CH33" s="216"/>
      <c r="CI33" s="216"/>
      <c r="CJ33" s="216"/>
      <c r="CK33" s="216"/>
      <c r="CL33" s="216"/>
      <c r="CM33" s="216"/>
      <c r="CN33" s="225"/>
      <c r="CO33" s="226"/>
      <c r="CP33" s="227"/>
      <c r="CQ33" s="227"/>
      <c r="CR33" s="227"/>
      <c r="CS33" s="227"/>
      <c r="CT33" s="227"/>
      <c r="CU33" s="234"/>
      <c r="CV33" s="226"/>
      <c r="CW33" s="227"/>
      <c r="CX33" s="234"/>
    </row>
    <row r="34" spans="1:102" ht="151.5" hidden="1" customHeight="1">
      <c r="A34" s="271">
        <v>18</v>
      </c>
      <c r="B34" s="272" t="str">
        <f>IFERROR(VLOOKUP($A34,Riesgos!$A$7:$H$84,2,FALSE),"")</f>
        <v>Divulgación y Apropiación Social del Patrimonio</v>
      </c>
      <c r="C34" s="272" t="str">
        <f>IFERROR(VLOOKUP($A34,Riesgos!$A$7:$H$84,7,FALSE),"")</f>
        <v>Retrasos en la entrega de los insumos para las publicaciones (investigación, material fotográfico, derechos)</v>
      </c>
      <c r="D34" s="272" t="str">
        <f>IFERROR(VLOOKUP($A34,Riesgos!$A$7:$H$84,8,FALSE),"")</f>
        <v>Posibilidad de afectación reputacional por retrasos en plan editorial dedido a debilidades en la contratación o al incumplimiento en la entrega de textos o insumos fotográficos.</v>
      </c>
      <c r="E34" s="273" t="s">
        <v>453</v>
      </c>
      <c r="F34" s="273">
        <v>6</v>
      </c>
      <c r="G34" s="335" t="str">
        <f>IF(F34&lt;=0,"",IF(F34&lt;='Listas y tablas'!$B$3,"Muy Baja",IF(F34&lt;='Listas y tablas'!$B$4,"Baja",IF(F34&lt;='Listas y tablas'!$B$5,"Media",IF(F34&lt;='Listas y tablas'!$B$6,"Alta","Muy Alta")))))</f>
        <v>Baja</v>
      </c>
      <c r="H34" s="336">
        <f>IF(G34="","",IF(G34="Muy Baja",'Listas y tablas'!$C$3,IF(G34="Baja",'Listas y tablas'!$C$4,IF(G34="Media",'Listas y tablas'!$C$5,IF(G34="Alta",'Listas y tablas'!$C$6,IF(G34="Muy Alta",'Listas y tablas'!$C$7,))))))</f>
        <v>0.4</v>
      </c>
      <c r="I34" s="338" t="s">
        <v>688</v>
      </c>
      <c r="J34" s="336" t="str">
        <f>IF(NOT(ISERROR(MATCH(I34,'Tabla Impacto'!$B$221:$B$223,0))),'Tabla Impacto'!$F$223&amp;"Por favor no seleccionar los criterios de impacto(Afectación Económica o presupuestal y Pérdida Reputacional)",I34)</f>
        <v xml:space="preserve">     El riesgo afecta la imagen de alguna área de la organización</v>
      </c>
      <c r="K34" s="335" t="str">
        <f>IF(OR(J34='Tabla Impacto'!$C$11,J34='Tabla Impacto'!$D$11),"Leve",IF(OR(J34='Tabla Impacto'!$C$12,J34='Tabla Impacto'!$D$12),"Menor",IF(OR(J34='Tabla Impacto'!$C$13,J34='Tabla Impacto'!$D$13),"Moderado",IF(OR(J34='Tabla Impacto'!$C$14,J34='Tabla Impacto'!$D$14),"Mayor",IF(OR(J34='Tabla Impacto'!$C$15,J34='Tabla Impacto'!$D$15),"Catastrófico","")))))</f>
        <v>Leve</v>
      </c>
      <c r="L34" s="336">
        <f>IF(K34="","",IF(K34="Leve",'Listas y tablas'!$F$3,IF(K34="Menor",'Listas y tablas'!$F$4,IF(K34="Moderado",'Listas y tablas'!$F$5,IF(K34="Mayor",'Listas y tablas'!$F$6,IF(K34="Catastrófico",'Listas y tablas'!$F$7,))))))</f>
        <v>0.2</v>
      </c>
      <c r="M34" s="335" t="str">
        <f t="shared" si="1"/>
        <v>Bajo</v>
      </c>
      <c r="N34" s="335" t="str">
        <f t="shared" si="2"/>
        <v>G</v>
      </c>
      <c r="O34" s="337">
        <f t="shared" si="3"/>
        <v>22</v>
      </c>
      <c r="P34" s="337" t="str">
        <f t="shared" si="4"/>
        <v>G22</v>
      </c>
      <c r="Q34" s="286" t="s">
        <v>689</v>
      </c>
      <c r="R34" s="337" t="str">
        <f t="shared" ref="R34:R39" si="17">IF(OR(S34="Preventivo",S34="Detectivo"),"Probabilidad",IF(S34="Correctivo","Impacto",""))</f>
        <v>Probabilidad</v>
      </c>
      <c r="S34" s="299" t="s">
        <v>381</v>
      </c>
      <c r="T34" s="299" t="s">
        <v>382</v>
      </c>
      <c r="U34" s="339" t="str">
        <f t="shared" si="16"/>
        <v>40%</v>
      </c>
      <c r="V34" s="299" t="s">
        <v>383</v>
      </c>
      <c r="W34" s="299" t="s">
        <v>384</v>
      </c>
      <c r="X34" s="299" t="s">
        <v>385</v>
      </c>
      <c r="Y34" s="346">
        <f t="shared" si="5"/>
        <v>0.24</v>
      </c>
      <c r="Z34" s="154" t="str">
        <f>IFERROR(IF(Y34="","",IF(Y34&lt;='Listas y tablas'!$L$3,"Muy Baja",IF(Y34&lt;='Listas y tablas'!$L$4,"Baja",IF(Y34&lt;='Listas y tablas'!$L$5,"Media",IF(Y34&lt;='Listas y tablas'!$L$6,"Alta","Muy Alta"))))),"")</f>
        <v>Baja</v>
      </c>
      <c r="AA34" s="339">
        <f t="shared" si="6"/>
        <v>0.24</v>
      </c>
      <c r="AB34" s="154" t="str">
        <f>IFERROR(IF(AC34="","",IF(AC34&lt;='Listas y tablas'!$O$3,"Leve",IF(AC34&lt;='Listas y tablas'!$O$4,"Menor",IF(AC34&lt;='Listas y tablas'!$O$5,"Moderado",IF(AC34&lt;='Listas y tablas'!$O$6,"Mayor","Catastrófico"))))),"")</f>
        <v>Catastrófico</v>
      </c>
      <c r="AC34" s="339">
        <f t="shared" si="10"/>
        <v>6</v>
      </c>
      <c r="AD34" s="154" t="str">
        <f t="shared" si="9"/>
        <v>Extremo</v>
      </c>
      <c r="AE34" s="299" t="s">
        <v>386</v>
      </c>
      <c r="AF34" s="300" t="s">
        <v>690</v>
      </c>
      <c r="AG34" s="300" t="s">
        <v>691</v>
      </c>
      <c r="AH34" s="300" t="s">
        <v>692</v>
      </c>
      <c r="AI34" s="273" t="s">
        <v>693</v>
      </c>
      <c r="AJ34" s="273" t="s">
        <v>694</v>
      </c>
      <c r="AK34" s="273" t="s">
        <v>695</v>
      </c>
      <c r="AL34" s="304">
        <v>44958</v>
      </c>
      <c r="AM34" s="304">
        <v>45291</v>
      </c>
      <c r="AN34" s="273"/>
      <c r="AO34" s="273"/>
      <c r="AP34" s="273"/>
      <c r="AQ34" s="273"/>
      <c r="AR34" s="273"/>
      <c r="AS34" s="273"/>
      <c r="AT34" s="319" t="s">
        <v>696</v>
      </c>
      <c r="AU34" s="320" t="s">
        <v>697</v>
      </c>
      <c r="AV34" s="313" t="s">
        <v>694</v>
      </c>
      <c r="AW34" s="313" t="s">
        <v>698</v>
      </c>
      <c r="AX34" s="313" t="s">
        <v>699</v>
      </c>
      <c r="AY34" s="313" t="s">
        <v>700</v>
      </c>
      <c r="AZ34" s="163" t="s">
        <v>402</v>
      </c>
      <c r="BA34" s="163" t="s">
        <v>402</v>
      </c>
      <c r="BB34" s="171"/>
      <c r="BC34" s="323" t="s">
        <v>472</v>
      </c>
      <c r="BD34" s="324" t="s">
        <v>404</v>
      </c>
      <c r="BE34" s="324" t="s">
        <v>663</v>
      </c>
      <c r="BF34" s="329" t="s">
        <v>434</v>
      </c>
      <c r="BG34" s="181" t="s">
        <v>402</v>
      </c>
      <c r="BH34" s="181" t="s">
        <v>402</v>
      </c>
      <c r="BI34" s="183"/>
      <c r="BJ34" s="323" t="s">
        <v>701</v>
      </c>
      <c r="BK34" s="327" t="s">
        <v>408</v>
      </c>
      <c r="BL34" s="192" t="s">
        <v>402</v>
      </c>
      <c r="BM34" s="193"/>
      <c r="BN34" s="194"/>
      <c r="BO34" s="194"/>
      <c r="BP34" s="194"/>
      <c r="BQ34" s="194"/>
      <c r="BR34" s="194"/>
      <c r="BS34" s="194"/>
      <c r="BT34" s="194"/>
      <c r="BU34" s="204"/>
      <c r="BV34" s="205"/>
      <c r="BW34" s="206"/>
      <c r="BX34" s="206"/>
      <c r="BY34" s="206"/>
      <c r="BZ34" s="206"/>
      <c r="CA34" s="206"/>
      <c r="CB34" s="213"/>
      <c r="CC34" s="214"/>
      <c r="CD34" s="206"/>
      <c r="CE34" s="213"/>
      <c r="CF34" s="215"/>
      <c r="CG34" s="216"/>
      <c r="CH34" s="216"/>
      <c r="CI34" s="216"/>
      <c r="CJ34" s="216"/>
      <c r="CK34" s="216"/>
      <c r="CL34" s="216"/>
      <c r="CM34" s="216"/>
      <c r="CN34" s="225"/>
      <c r="CO34" s="226"/>
      <c r="CP34" s="227"/>
      <c r="CQ34" s="227"/>
      <c r="CR34" s="227"/>
      <c r="CS34" s="227"/>
      <c r="CT34" s="227"/>
      <c r="CU34" s="234"/>
      <c r="CV34" s="226"/>
      <c r="CW34" s="227"/>
      <c r="CX34" s="234"/>
    </row>
    <row r="35" spans="1:102" ht="161.25" hidden="1" customHeight="1">
      <c r="A35" s="271">
        <v>19</v>
      </c>
      <c r="B35" s="272" t="str">
        <f>IFERROR(VLOOKUP($A35,Riesgos!$A$7:$H$84,2,FALSE),"")</f>
        <v>Administración de Bienes e Infraestructura</v>
      </c>
      <c r="C35" s="272" t="str">
        <f>IFERROR(VLOOKUP($A35,Riesgos!$A$7:$H$84,7,FALSE),"")</f>
        <v>Deficiencia en los controles de préstamo del material bibliográfico del Centro de Documentación.</v>
      </c>
      <c r="D35" s="272" t="str">
        <f>IFERROR(VLOOKUP($A35,Riesgos!$A$7:$H$84,8,FALSE),"")</f>
        <v>Posible afectación económica por pérdida de material de las colecciones del Centro de Documentación debido a falencias en el proceso de devolución de material bibliográfico del centro de documentación.</v>
      </c>
      <c r="E35" s="273" t="s">
        <v>453</v>
      </c>
      <c r="F35" s="273">
        <v>60</v>
      </c>
      <c r="G35" s="335" t="str">
        <f>IF(F35&lt;=0,"",IF(F35&lt;='Listas y tablas'!$B$3,"Muy Baja",IF(F35&lt;='Listas y tablas'!$B$4,"Baja",IF(F35&lt;='Listas y tablas'!$B$5,"Media",IF(F35&lt;='Listas y tablas'!$B$6,"Alta","Muy Alta")))))</f>
        <v>Media</v>
      </c>
      <c r="H35" s="336">
        <f>IF(G35="","",IF(G35="Muy Baja",'Listas y tablas'!$C$3,IF(G35="Baja",'Listas y tablas'!$C$4,IF(G35="Media",'Listas y tablas'!$C$5,IF(G35="Alta",'Listas y tablas'!$C$6,IF(G35="Muy Alta",'Listas y tablas'!$C$7,))))))</f>
        <v>0.6</v>
      </c>
      <c r="I35" s="338" t="s">
        <v>688</v>
      </c>
      <c r="J35" s="336" t="str">
        <f>IF(NOT(ISERROR(MATCH(I35,'Tabla Impacto'!$B$221:$B$223,0))),'Tabla Impacto'!$F$223&amp;"Por favor no seleccionar los criterios de impacto(Afectación Económica o presupuestal y Pérdida Reputacional)",I35)</f>
        <v xml:space="preserve">     El riesgo afecta la imagen de alguna área de la organización</v>
      </c>
      <c r="K35" s="335" t="str">
        <f>IF(OR(J35='Tabla Impacto'!$C$11,J35='Tabla Impacto'!$D$11),"Leve",IF(OR(J35='Tabla Impacto'!$C$12,J35='Tabla Impacto'!$D$12),"Menor",IF(OR(J35='Tabla Impacto'!$C$13,J35='Tabla Impacto'!$D$13),"Moderado",IF(OR(J35='Tabla Impacto'!$C$14,J35='Tabla Impacto'!$D$14),"Mayor",IF(OR(J35='Tabla Impacto'!$C$15,J35='Tabla Impacto'!$D$15),"Catastrófico","")))))</f>
        <v>Leve</v>
      </c>
      <c r="L35" s="336">
        <f>IF(K35="","",IF(K35="Leve",'Listas y tablas'!$F$3,IF(K35="Menor",'Listas y tablas'!$F$4,IF(K35="Moderado",'Listas y tablas'!$F$5,IF(K35="Mayor",'Listas y tablas'!$F$6,IF(K35="Catastrófico",'Listas y tablas'!$F$7,))))))</f>
        <v>0.2</v>
      </c>
      <c r="M35" s="335" t="str">
        <f t="shared" si="1"/>
        <v>Moderado</v>
      </c>
      <c r="N35" s="335" t="str">
        <f t="shared" si="2"/>
        <v>G</v>
      </c>
      <c r="O35" s="337">
        <f t="shared" si="3"/>
        <v>23</v>
      </c>
      <c r="P35" s="337" t="str">
        <f t="shared" si="4"/>
        <v>G23</v>
      </c>
      <c r="Q35" s="286" t="s">
        <v>702</v>
      </c>
      <c r="R35" s="337" t="str">
        <f t="shared" si="17"/>
        <v>Probabilidad</v>
      </c>
      <c r="S35" s="299" t="s">
        <v>381</v>
      </c>
      <c r="T35" s="299" t="s">
        <v>382</v>
      </c>
      <c r="U35" s="339" t="str">
        <f t="shared" si="16"/>
        <v>40%</v>
      </c>
      <c r="V35" s="299" t="s">
        <v>383</v>
      </c>
      <c r="W35" s="299" t="s">
        <v>384</v>
      </c>
      <c r="X35" s="299" t="s">
        <v>385</v>
      </c>
      <c r="Y35" s="346">
        <f t="shared" si="5"/>
        <v>0.36</v>
      </c>
      <c r="Z35" s="154" t="str">
        <f>IFERROR(IF(Y35="","",IF(Y35&lt;='Listas y tablas'!$L$3,"Muy Baja",IF(Y35&lt;='Listas y tablas'!$L$4,"Baja",IF(Y35&lt;='Listas y tablas'!$L$5,"Media",IF(Y35&lt;='Listas y tablas'!$L$6,"Alta","Muy Alta"))))),"")</f>
        <v>Baja</v>
      </c>
      <c r="AA35" s="339">
        <f t="shared" si="6"/>
        <v>0.36</v>
      </c>
      <c r="AB35" s="154" t="str">
        <f>IFERROR(IF(AC35="","",IF(AC35&lt;='Listas y tablas'!$O$3,"Leve",IF(AC35&lt;='Listas y tablas'!$O$4,"Menor",IF(AC35&lt;='Listas y tablas'!$O$5,"Moderado",IF(AC35&lt;='Listas y tablas'!$O$6,"Mayor","Catastrófico"))))),"")</f>
        <v>Catastrófico</v>
      </c>
      <c r="AC35" s="339">
        <f t="shared" si="10"/>
        <v>60</v>
      </c>
      <c r="AD35" s="154" t="str">
        <f t="shared" si="9"/>
        <v>Extremo</v>
      </c>
      <c r="AE35" s="299" t="s">
        <v>425</v>
      </c>
      <c r="AF35" s="300" t="s">
        <v>703</v>
      </c>
      <c r="AG35" s="300" t="s">
        <v>577</v>
      </c>
      <c r="AH35" s="300" t="s">
        <v>704</v>
      </c>
      <c r="AI35" s="273" t="s">
        <v>705</v>
      </c>
      <c r="AJ35" s="273" t="s">
        <v>706</v>
      </c>
      <c r="AK35" s="273" t="s">
        <v>707</v>
      </c>
      <c r="AL35" s="304">
        <v>45017</v>
      </c>
      <c r="AM35" s="304">
        <v>45230</v>
      </c>
      <c r="AN35" s="273"/>
      <c r="AO35" s="273"/>
      <c r="AP35" s="273"/>
      <c r="AQ35" s="273"/>
      <c r="AR35" s="273"/>
      <c r="AS35" s="273"/>
      <c r="AT35" s="312" t="s">
        <v>708</v>
      </c>
      <c r="AU35" s="313" t="s">
        <v>703</v>
      </c>
      <c r="AV35" s="313">
        <v>1</v>
      </c>
      <c r="AW35" s="313">
        <v>1</v>
      </c>
      <c r="AX35" s="313" t="s">
        <v>709</v>
      </c>
      <c r="AY35" s="313" t="s">
        <v>710</v>
      </c>
      <c r="AZ35" s="163" t="s">
        <v>402</v>
      </c>
      <c r="BA35" s="163" t="s">
        <v>402</v>
      </c>
      <c r="BB35" s="171"/>
      <c r="BC35" s="323" t="s">
        <v>711</v>
      </c>
      <c r="BD35" s="324" t="s">
        <v>404</v>
      </c>
      <c r="BE35" s="324" t="s">
        <v>712</v>
      </c>
      <c r="BF35" s="329" t="s">
        <v>406</v>
      </c>
      <c r="BG35" s="181" t="s">
        <v>402</v>
      </c>
      <c r="BH35" s="181" t="s">
        <v>402</v>
      </c>
      <c r="BI35" s="183" t="s">
        <v>401</v>
      </c>
      <c r="BJ35" s="323" t="s">
        <v>713</v>
      </c>
      <c r="BK35" s="327" t="s">
        <v>408</v>
      </c>
      <c r="BL35" s="328" t="s">
        <v>402</v>
      </c>
      <c r="BM35" s="193"/>
      <c r="BN35" s="194"/>
      <c r="BO35" s="194"/>
      <c r="BP35" s="194"/>
      <c r="BQ35" s="194"/>
      <c r="BR35" s="194"/>
      <c r="BS35" s="194"/>
      <c r="BT35" s="194"/>
      <c r="BU35" s="204"/>
      <c r="BV35" s="205"/>
      <c r="BW35" s="206"/>
      <c r="BX35" s="206"/>
      <c r="BY35" s="206"/>
      <c r="BZ35" s="206"/>
      <c r="CA35" s="206"/>
      <c r="CB35" s="213"/>
      <c r="CC35" s="214"/>
      <c r="CD35" s="206"/>
      <c r="CE35" s="213"/>
      <c r="CF35" s="215"/>
      <c r="CG35" s="216"/>
      <c r="CH35" s="216"/>
      <c r="CI35" s="216"/>
      <c r="CJ35" s="216"/>
      <c r="CK35" s="216"/>
      <c r="CL35" s="216"/>
      <c r="CM35" s="216"/>
      <c r="CN35" s="225"/>
      <c r="CO35" s="226"/>
      <c r="CP35" s="227"/>
      <c r="CQ35" s="227"/>
      <c r="CR35" s="227"/>
      <c r="CS35" s="227"/>
      <c r="CT35" s="227"/>
      <c r="CU35" s="234"/>
      <c r="CV35" s="226"/>
      <c r="CW35" s="227"/>
      <c r="CX35" s="234"/>
    </row>
    <row r="36" spans="1:102" ht="151.5" hidden="1" customHeight="1">
      <c r="A36" s="271">
        <v>20</v>
      </c>
      <c r="B36" s="272" t="str">
        <f>IFERROR(VLOOKUP($A36,Riesgos!$A$7:$H$84,2,FALSE),"")</f>
        <v>Divulgación y Apropiación Social del Patrimonio</v>
      </c>
      <c r="C36" s="272" t="str">
        <f>IFERROR(VLOOKUP($A36,Riesgos!$A$7:$H$84,7,FALSE),"")</f>
        <v>Deficiencias en el reporte de fallas de la plataforma externa utilizada para los procesos de formación a formadores.</v>
      </c>
      <c r="D36" s="272" t="str">
        <f>IFERROR(VLOOKUP($A36,Riesgos!$A$7:$H$84,8,FALSE),"")</f>
        <v>Posibilidad de afectación reputacional por incumpIimiento al cronograma de formación a formadores debido a debilidades en seguimiento y reporte oportuno de fallas de la plataforma utilizada para los procesos de formación a formadores</v>
      </c>
      <c r="E36" s="273" t="s">
        <v>453</v>
      </c>
      <c r="F36" s="273">
        <v>1</v>
      </c>
      <c r="G36" s="335" t="str">
        <f>IF(F36&lt;=0,"",IF(F36&lt;='Listas y tablas'!$B$3,"Muy Baja",IF(F36&lt;='Listas y tablas'!$B$4,"Baja",IF(F36&lt;='Listas y tablas'!$B$5,"Media",IF(F36&lt;='Listas y tablas'!$B$6,"Alta","Muy Alta")))))</f>
        <v>Muy Baja</v>
      </c>
      <c r="H36" s="336">
        <f>IF(G36="","",IF(G36="Muy Baja",'Listas y tablas'!$C$3,IF(G36="Baja",'Listas y tablas'!$C$4,IF(G36="Media",'Listas y tablas'!$C$5,IF(G36="Alta",'Listas y tablas'!$C$6,IF(G36="Muy Alta",'Listas y tablas'!$C$7,))))))</f>
        <v>0.2</v>
      </c>
      <c r="I36" s="338" t="s">
        <v>423</v>
      </c>
      <c r="J36" s="336" t="str">
        <f>IF(NOT(ISERROR(MATCH(I36,'Tabla Impacto'!$B$221:$B$223,0))),'Tabla Impacto'!$F$223&amp;"Por favor no seleccionar los criterios de impacto(Afectación Económica o presupuestal y Pérdida Reputacional)",I36)</f>
        <v xml:space="preserve">     El riesgo afecta la imagen de la entidad con algunos usuarios de relevancia frente al logro de los objetivos</v>
      </c>
      <c r="K36" s="335" t="str">
        <f>IF(OR(J36='Tabla Impacto'!$C$11,J36='Tabla Impacto'!$D$11),"Leve",IF(OR(J36='Tabla Impacto'!$C$12,J36='Tabla Impacto'!$D$12),"Menor",IF(OR(J36='Tabla Impacto'!$C$13,J36='Tabla Impacto'!$D$13),"Moderado",IF(OR(J36='Tabla Impacto'!$C$14,J36='Tabla Impacto'!$D$14),"Mayor",IF(OR(J36='Tabla Impacto'!$C$15,J36='Tabla Impacto'!$D$15),"Catastrófico","")))))</f>
        <v>Moderado</v>
      </c>
      <c r="L36" s="336">
        <f>IF(K36="","",IF(K36="Leve",'Listas y tablas'!$F$3,IF(K36="Menor",'Listas y tablas'!$F$4,IF(K36="Moderado",'Listas y tablas'!$F$5,IF(K36="Mayor",'Listas y tablas'!$F$6,IF(K36="Catastrófico",'Listas y tablas'!$F$7,))))))</f>
        <v>0.6</v>
      </c>
      <c r="M36" s="335" t="str">
        <f t="shared" si="1"/>
        <v>Moderado</v>
      </c>
      <c r="N36" s="335" t="str">
        <f t="shared" si="2"/>
        <v>G</v>
      </c>
      <c r="O36" s="337">
        <f t="shared" si="3"/>
        <v>24</v>
      </c>
      <c r="P36" s="337" t="str">
        <f t="shared" si="4"/>
        <v>G24</v>
      </c>
      <c r="Q36" s="286" t="s">
        <v>714</v>
      </c>
      <c r="R36" s="337" t="str">
        <f t="shared" si="17"/>
        <v>Probabilidad</v>
      </c>
      <c r="S36" s="299" t="s">
        <v>381</v>
      </c>
      <c r="T36" s="299" t="s">
        <v>382</v>
      </c>
      <c r="U36" s="339" t="str">
        <f t="shared" si="16"/>
        <v>40%</v>
      </c>
      <c r="V36" s="299" t="s">
        <v>383</v>
      </c>
      <c r="W36" s="299" t="s">
        <v>384</v>
      </c>
      <c r="X36" s="299" t="s">
        <v>385</v>
      </c>
      <c r="Y36" s="346">
        <f t="shared" si="5"/>
        <v>0.12</v>
      </c>
      <c r="Z36" s="154" t="str">
        <f>IFERROR(IF(Y36="","",IF(Y36&lt;='Listas y tablas'!$L$3,"Muy Baja",IF(Y36&lt;='Listas y tablas'!$L$4,"Baja",IF(Y36&lt;='Listas y tablas'!$L$5,"Media",IF(Y36&lt;='Listas y tablas'!$L$6,"Alta","Muy Alta"))))),"")</f>
        <v>Muy Baja</v>
      </c>
      <c r="AA36" s="339">
        <f t="shared" si="6"/>
        <v>0.12</v>
      </c>
      <c r="AB36" s="154" t="str">
        <f>IFERROR(IF(AC36="","",IF(AC36&lt;='Listas y tablas'!$O$3,"Leve",IF(AC36&lt;='Listas y tablas'!$O$4,"Menor",IF(AC36&lt;='Listas y tablas'!$O$5,"Moderado",IF(AC36&lt;='Listas y tablas'!$O$6,"Mayor","Catastrófico"))))),"")</f>
        <v>Catastrófico</v>
      </c>
      <c r="AC36" s="339">
        <f t="shared" si="10"/>
        <v>1</v>
      </c>
      <c r="AD36" s="154" t="str">
        <f t="shared" si="9"/>
        <v>Extremo</v>
      </c>
      <c r="AE36" s="299" t="s">
        <v>386</v>
      </c>
      <c r="AF36" s="300" t="s">
        <v>715</v>
      </c>
      <c r="AG36" s="300" t="s">
        <v>411</v>
      </c>
      <c r="AH36" s="300" t="s">
        <v>716</v>
      </c>
      <c r="AI36" s="273"/>
      <c r="AJ36" s="273"/>
      <c r="AK36" s="273"/>
      <c r="AL36" s="304"/>
      <c r="AM36" s="304"/>
      <c r="AN36" s="273"/>
      <c r="AO36" s="273"/>
      <c r="AP36" s="273"/>
      <c r="AQ36" s="273"/>
      <c r="AR36" s="273"/>
      <c r="AS36" s="273"/>
      <c r="AT36" s="319" t="s">
        <v>717</v>
      </c>
      <c r="AU36" s="320" t="s">
        <v>718</v>
      </c>
      <c r="AV36" s="163"/>
      <c r="AW36" s="163"/>
      <c r="AX36" s="163"/>
      <c r="AY36" s="163"/>
      <c r="AZ36" s="163" t="s">
        <v>402</v>
      </c>
      <c r="BA36" s="163" t="s">
        <v>402</v>
      </c>
      <c r="BB36" s="171"/>
      <c r="BC36" s="323" t="s">
        <v>472</v>
      </c>
      <c r="BD36" s="324" t="s">
        <v>404</v>
      </c>
      <c r="BE36" s="181" t="s">
        <v>719</v>
      </c>
      <c r="BF36" s="329"/>
      <c r="BG36" s="181"/>
      <c r="BH36" s="181"/>
      <c r="BI36" s="183"/>
      <c r="BJ36" s="323" t="s">
        <v>720</v>
      </c>
      <c r="BK36" s="327" t="s">
        <v>408</v>
      </c>
      <c r="BL36" s="192" t="s">
        <v>402</v>
      </c>
      <c r="BM36" s="193"/>
      <c r="BN36" s="194"/>
      <c r="BO36" s="194"/>
      <c r="BP36" s="194"/>
      <c r="BQ36" s="194"/>
      <c r="BR36" s="194"/>
      <c r="BS36" s="194"/>
      <c r="BT36" s="194"/>
      <c r="BU36" s="204"/>
      <c r="BV36" s="205"/>
      <c r="BW36" s="206"/>
      <c r="BX36" s="206"/>
      <c r="BY36" s="206"/>
      <c r="BZ36" s="206"/>
      <c r="CA36" s="206"/>
      <c r="CB36" s="213"/>
      <c r="CC36" s="214"/>
      <c r="CD36" s="206"/>
      <c r="CE36" s="213"/>
      <c r="CF36" s="215"/>
      <c r="CG36" s="216"/>
      <c r="CH36" s="216"/>
      <c r="CI36" s="216"/>
      <c r="CJ36" s="216"/>
      <c r="CK36" s="216"/>
      <c r="CL36" s="216"/>
      <c r="CM36" s="216"/>
      <c r="CN36" s="225"/>
      <c r="CO36" s="226"/>
      <c r="CP36" s="227"/>
      <c r="CQ36" s="227"/>
      <c r="CR36" s="227"/>
      <c r="CS36" s="227"/>
      <c r="CT36" s="227"/>
      <c r="CU36" s="234"/>
      <c r="CV36" s="226"/>
      <c r="CW36" s="227"/>
      <c r="CX36" s="234"/>
    </row>
    <row r="37" spans="1:102" ht="151.5" hidden="1" customHeight="1">
      <c r="A37" s="581">
        <v>21</v>
      </c>
      <c r="B37" s="584" t="str">
        <f>IFERROR(VLOOKUP($A37,Riesgos!$A$7:$H$84,2,FALSE),"")</f>
        <v>Gestión Contractual</v>
      </c>
      <c r="C37" s="584" t="str">
        <f>IFERROR(VLOOKUP($A37,Riesgos!$A$7:$H$84,7,FALSE),"")</f>
        <v>Debilidad en la estructuración de los estudios y documentos previos por la no aplicación de la normativa del estatuto de contratación y de los procedimientos internos.</v>
      </c>
      <c r="D37" s="584" t="str">
        <f>IFERROR(VLOOKUP($A37,Riesgos!$A$7:$H$84,8,FALSE),"")</f>
        <v>Posibilidad de afectación económica por errores o inconsistencias en los estudios y documentos previos debido a debilidades en su estructuración por parte de los responsables por la no aplicación de la normativa del estatuto de contratación y de los procedimientos internos.</v>
      </c>
      <c r="E37" s="589" t="s">
        <v>574</v>
      </c>
      <c r="F37" s="589">
        <v>968</v>
      </c>
      <c r="G37" s="594" t="str">
        <f>IF(F37&lt;=0,"",IF(F37&lt;='Listas y tablas'!$B$3,"Muy Baja",IF(F37&lt;='Listas y tablas'!$B$4,"Baja",IF(F37&lt;='Listas y tablas'!$B$5,"Media",IF(F37&lt;='Listas y tablas'!$B$6,"Alta","Muy Alta")))))</f>
        <v>Alta</v>
      </c>
      <c r="H37" s="597">
        <f>IF(G37="","",IF(G37="Muy Baja",'Listas y tablas'!$C$3,IF(G37="Baja",'Listas y tablas'!$C$4,IF(G37="Media",'Listas y tablas'!$C$5,IF(G37="Alta",'Listas y tablas'!$C$6,IF(G37="Muy Alta",'Listas y tablas'!$C$7,))))))</f>
        <v>0.8</v>
      </c>
      <c r="I37" s="600" t="s">
        <v>721</v>
      </c>
      <c r="J37" s="597" t="str">
        <f>IF(NOT(ISERROR(MATCH(I37,'Tabla Impacto'!$B$221:$B$223,0))),'Tabla Impacto'!$F$223&amp;"Por favor no seleccionar los criterios de impacto(Afectación Económica o presupuestal y Pérdida Reputacional)",I37)</f>
        <v xml:space="preserve">     Entre 50 y 100 SMLMV </v>
      </c>
      <c r="K37" s="594" t="str">
        <f>IF(OR(J37='Tabla Impacto'!$C$11,J37='Tabla Impacto'!$D$11),"Leve",IF(OR(J37='Tabla Impacto'!$C$12,J37='Tabla Impacto'!$D$12),"Menor",IF(OR(J37='Tabla Impacto'!$C$13,J37='Tabla Impacto'!$D$13),"Moderado",IF(OR(J37='Tabla Impacto'!$C$14,J37='Tabla Impacto'!$D$14),"Mayor",IF(OR(J37='Tabla Impacto'!$C$15,J37='Tabla Impacto'!$D$15),"Catastrófico","")))))</f>
        <v>Moderado</v>
      </c>
      <c r="L37" s="597">
        <f>IF(K37="","",IF(K37="Leve",'Listas y tablas'!$F$3,IF(K37="Menor",'Listas y tablas'!$F$4,IF(K37="Moderado",'Listas y tablas'!$F$5,IF(K37="Mayor",'Listas y tablas'!$F$6,IF(K37="Catastrófico",'Listas y tablas'!$F$7,))))))</f>
        <v>0.6</v>
      </c>
      <c r="M37" s="594" t="str">
        <f t="shared" si="1"/>
        <v>Alto</v>
      </c>
      <c r="N37" s="335" t="str">
        <f t="shared" si="2"/>
        <v>G</v>
      </c>
      <c r="O37" s="337">
        <f t="shared" si="3"/>
        <v>25</v>
      </c>
      <c r="P37" s="337" t="str">
        <f t="shared" si="4"/>
        <v>G25</v>
      </c>
      <c r="Q37" s="286" t="s">
        <v>722</v>
      </c>
      <c r="R37" s="337" t="str">
        <f t="shared" si="17"/>
        <v>Probabilidad</v>
      </c>
      <c r="S37" s="299" t="s">
        <v>381</v>
      </c>
      <c r="T37" s="299" t="s">
        <v>382</v>
      </c>
      <c r="U37" s="339" t="str">
        <f t="shared" si="16"/>
        <v>40%</v>
      </c>
      <c r="V37" s="299" t="s">
        <v>383</v>
      </c>
      <c r="W37" s="299" t="s">
        <v>384</v>
      </c>
      <c r="X37" s="299" t="s">
        <v>385</v>
      </c>
      <c r="Y37" s="612">
        <f t="shared" si="5"/>
        <v>0.48</v>
      </c>
      <c r="Z37" s="617" t="str">
        <f>IFERROR(IF(Y37="","",IF(Y37&lt;='Listas y tablas'!$L$3,"Muy Baja",IF(Y37&lt;='Listas y tablas'!$L$4,"Baja",IF(Y37&lt;='Listas y tablas'!$L$5,"Media",IF(Y37&lt;='Listas y tablas'!$L$6,"Alta","Muy Alta"))))),"")</f>
        <v>Media</v>
      </c>
      <c r="AA37" s="597">
        <f t="shared" si="6"/>
        <v>0.48</v>
      </c>
      <c r="AB37" s="617" t="str">
        <f>IFERROR(IF(AC37="","",IF(AC37&lt;='Listas y tablas'!$O$3,"Leve",IF(AC37&lt;='Listas y tablas'!$O$4,"Menor",IF(AC37&lt;='Listas y tablas'!$O$5,"Moderado",IF(AC37&lt;='Listas y tablas'!$O$6,"Mayor","Catastrófico"))))),"")</f>
        <v>Catastrófico</v>
      </c>
      <c r="AC37" s="597">
        <f t="shared" si="10"/>
        <v>968</v>
      </c>
      <c r="AD37" s="617" t="str">
        <f t="shared" si="9"/>
        <v>Extremo</v>
      </c>
      <c r="AE37" s="609" t="s">
        <v>386</v>
      </c>
      <c r="AF37" s="300" t="s">
        <v>723</v>
      </c>
      <c r="AG37" s="300" t="s">
        <v>411</v>
      </c>
      <c r="AH37" s="300" t="s">
        <v>724</v>
      </c>
      <c r="AI37" s="273" t="s">
        <v>725</v>
      </c>
      <c r="AJ37" s="273" t="s">
        <v>726</v>
      </c>
      <c r="AK37" s="273" t="s">
        <v>727</v>
      </c>
      <c r="AL37" s="304">
        <v>44927</v>
      </c>
      <c r="AM37" s="304">
        <v>45291</v>
      </c>
      <c r="AN37" s="273"/>
      <c r="AO37" s="273"/>
      <c r="AP37" s="273"/>
      <c r="AQ37" s="273"/>
      <c r="AR37" s="273"/>
      <c r="AS37" s="273"/>
      <c r="AT37" s="319" t="s">
        <v>728</v>
      </c>
      <c r="AU37" s="313" t="s">
        <v>729</v>
      </c>
      <c r="AV37" s="163">
        <v>1</v>
      </c>
      <c r="AW37" s="163">
        <v>0</v>
      </c>
      <c r="AX37" s="379" t="s">
        <v>730</v>
      </c>
      <c r="AY37" s="379" t="s">
        <v>731</v>
      </c>
      <c r="AZ37" s="163"/>
      <c r="BA37" s="163"/>
      <c r="BB37" s="171"/>
      <c r="BC37" s="323" t="s">
        <v>732</v>
      </c>
      <c r="BD37" s="324" t="s">
        <v>404</v>
      </c>
      <c r="BE37" s="324" t="s">
        <v>733</v>
      </c>
      <c r="BF37" s="329" t="s">
        <v>434</v>
      </c>
      <c r="BG37" s="181" t="s">
        <v>402</v>
      </c>
      <c r="BH37" s="181" t="s">
        <v>402</v>
      </c>
      <c r="BI37" s="183" t="s">
        <v>401</v>
      </c>
      <c r="BJ37" s="323" t="s">
        <v>734</v>
      </c>
      <c r="BK37" s="327" t="s">
        <v>408</v>
      </c>
      <c r="BL37" s="641" t="s">
        <v>402</v>
      </c>
      <c r="BM37" s="193"/>
      <c r="BN37" s="194"/>
      <c r="BO37" s="194"/>
      <c r="BP37" s="194"/>
      <c r="BQ37" s="194"/>
      <c r="BR37" s="194"/>
      <c r="BS37" s="194"/>
      <c r="BT37" s="194"/>
      <c r="BU37" s="204"/>
      <c r="BV37" s="205"/>
      <c r="BW37" s="206"/>
      <c r="BX37" s="206"/>
      <c r="BY37" s="206"/>
      <c r="BZ37" s="206"/>
      <c r="CA37" s="206"/>
      <c r="CB37" s="213"/>
      <c r="CC37" s="214"/>
      <c r="CD37" s="206"/>
      <c r="CE37" s="213"/>
      <c r="CF37" s="215"/>
      <c r="CG37" s="216"/>
      <c r="CH37" s="216"/>
      <c r="CI37" s="216"/>
      <c r="CJ37" s="216"/>
      <c r="CK37" s="216"/>
      <c r="CL37" s="216"/>
      <c r="CM37" s="216"/>
      <c r="CN37" s="225"/>
      <c r="CO37" s="226"/>
      <c r="CP37" s="227"/>
      <c r="CQ37" s="227"/>
      <c r="CR37" s="227"/>
      <c r="CS37" s="227"/>
      <c r="CT37" s="227"/>
      <c r="CU37" s="234"/>
      <c r="CV37" s="226"/>
      <c r="CW37" s="227"/>
      <c r="CX37" s="234"/>
    </row>
    <row r="38" spans="1:102" ht="151.5" hidden="1" customHeight="1">
      <c r="A38" s="582"/>
      <c r="B38" s="585"/>
      <c r="C38" s="585"/>
      <c r="D38" s="585"/>
      <c r="E38" s="590"/>
      <c r="F38" s="590"/>
      <c r="G38" s="595"/>
      <c r="H38" s="598"/>
      <c r="I38" s="601"/>
      <c r="J38" s="597"/>
      <c r="K38" s="594"/>
      <c r="L38" s="598"/>
      <c r="M38" s="595"/>
      <c r="N38" s="335" t="str">
        <f>+IF(ISTEXT(D37),"G","")</f>
        <v>G</v>
      </c>
      <c r="O38" s="337">
        <f>IF(ISTEXT(D37),1+O37,"")</f>
        <v>26</v>
      </c>
      <c r="P38" s="337" t="str">
        <f>IF(ISTEXT(D37),CONCATENATE(N38,O38),"")</f>
        <v>G26</v>
      </c>
      <c r="Q38" s="286" t="s">
        <v>735</v>
      </c>
      <c r="R38" s="337" t="str">
        <f t="shared" si="17"/>
        <v>Probabilidad</v>
      </c>
      <c r="S38" s="299" t="s">
        <v>381</v>
      </c>
      <c r="T38" s="299" t="s">
        <v>382</v>
      </c>
      <c r="U38" s="339" t="str">
        <f t="shared" ref="U38:U43" si="18">IF(AND(S38="Preventivo",T38="Automático"),"50%",IF(AND(S38="Preventivo",T38="Manual"),"40%",IF(AND(S38="Detectivo",T38="Automático"),"40%",IF(AND(S38="Detectivo",T38="Manual"),"30%",IF(AND(S38="Correctivo",T38="Automático"),"35%",IF(AND(S38="Correctivo",T38="Manual"),"25%",""))))))</f>
        <v>40%</v>
      </c>
      <c r="V38" s="299" t="s">
        <v>383</v>
      </c>
      <c r="W38" s="299" t="s">
        <v>384</v>
      </c>
      <c r="X38" s="299" t="s">
        <v>385</v>
      </c>
      <c r="Y38" s="613"/>
      <c r="Z38" s="618"/>
      <c r="AA38" s="598"/>
      <c r="AB38" s="618"/>
      <c r="AC38" s="598"/>
      <c r="AD38" s="617"/>
      <c r="AE38" s="609"/>
      <c r="AF38" s="300" t="s">
        <v>736</v>
      </c>
      <c r="AG38" s="300" t="s">
        <v>737</v>
      </c>
      <c r="AH38" s="300" t="s">
        <v>724</v>
      </c>
      <c r="AI38" s="273"/>
      <c r="AJ38" s="273"/>
      <c r="AK38" s="273"/>
      <c r="AL38" s="304"/>
      <c r="AM38" s="304"/>
      <c r="AN38" s="273"/>
      <c r="AO38" s="273"/>
      <c r="AP38" s="273"/>
      <c r="AQ38" s="273"/>
      <c r="AR38" s="273"/>
      <c r="AS38" s="273"/>
      <c r="AT38" s="373" t="s">
        <v>738</v>
      </c>
      <c r="AU38" s="374" t="s">
        <v>739</v>
      </c>
      <c r="AV38" s="163"/>
      <c r="AW38" s="163"/>
      <c r="AX38" s="163"/>
      <c r="AY38" s="163"/>
      <c r="AZ38" s="163"/>
      <c r="BA38" s="163"/>
      <c r="BB38" s="171"/>
      <c r="BC38" s="323" t="s">
        <v>732</v>
      </c>
      <c r="BD38" s="324" t="s">
        <v>404</v>
      </c>
      <c r="BE38" s="181" t="s">
        <v>719</v>
      </c>
      <c r="BF38" s="329"/>
      <c r="BG38" s="181" t="s">
        <v>402</v>
      </c>
      <c r="BH38" s="181" t="s">
        <v>402</v>
      </c>
      <c r="BI38" s="183" t="s">
        <v>401</v>
      </c>
      <c r="BJ38" s="323" t="s">
        <v>740</v>
      </c>
      <c r="BK38" s="327" t="s">
        <v>408</v>
      </c>
      <c r="BL38" s="641"/>
      <c r="BM38" s="193"/>
      <c r="BN38" s="194"/>
      <c r="BO38" s="194"/>
      <c r="BP38" s="194"/>
      <c r="BQ38" s="194"/>
      <c r="BR38" s="194"/>
      <c r="BS38" s="194"/>
      <c r="BT38" s="194"/>
      <c r="BU38" s="204"/>
      <c r="BV38" s="205"/>
      <c r="BW38" s="206"/>
      <c r="BX38" s="206"/>
      <c r="BY38" s="206"/>
      <c r="BZ38" s="206"/>
      <c r="CA38" s="206"/>
      <c r="CB38" s="213"/>
      <c r="CC38" s="214"/>
      <c r="CD38" s="206"/>
      <c r="CE38" s="213"/>
      <c r="CF38" s="215"/>
      <c r="CG38" s="216"/>
      <c r="CH38" s="216"/>
      <c r="CI38" s="216"/>
      <c r="CJ38" s="216"/>
      <c r="CK38" s="216"/>
      <c r="CL38" s="216"/>
      <c r="CM38" s="216"/>
      <c r="CN38" s="225"/>
      <c r="CO38" s="226"/>
      <c r="CP38" s="227"/>
      <c r="CQ38" s="227"/>
      <c r="CR38" s="227"/>
      <c r="CS38" s="227"/>
      <c r="CT38" s="227"/>
      <c r="CU38" s="234"/>
      <c r="CV38" s="226"/>
      <c r="CW38" s="227"/>
      <c r="CX38" s="234"/>
    </row>
    <row r="39" spans="1:102" ht="174.75" hidden="1" customHeight="1">
      <c r="A39" s="581">
        <v>22</v>
      </c>
      <c r="B39" s="584" t="str">
        <f>IFERROR(VLOOKUP($A39,Riesgos!$A$7:$H$84,2,FALSE),"")</f>
        <v>Gestión Contractual</v>
      </c>
      <c r="C39" s="584" t="str">
        <f>IFERROR(VLOOKUP($A39,Riesgos!$A$7:$H$84,7,FALSE),"")</f>
        <v xml:space="preserve">Debilidad en el control de verificación de la información precontratcual, contractual, poscontractual publicada en SECOP de acuerdo a lo establecido en las listas de chequeo
Debilidad en el cargue y control de verificación de la información  precontratcual, contractual, poscontractual del expediente ORFEO. </v>
      </c>
      <c r="D39" s="584" t="str">
        <f>IFERROR(VLOOKUP($A39,Riesgos!$A$7:$H$84,8,FALSE),"")</f>
        <v xml:space="preserve">Posibilidad de afectación económica por incumplimiento, inoportunidad y errores de la publicación de los documentos de las etapas  precontratcual, contractual, poscontractual publicada en SECOP, debido a debilidad en el control de verificación de la información precontractual, contractual, poscontractual publicada en SECOP de acuerdo a la información que reposa en el expediente  expediente ORFEO. </v>
      </c>
      <c r="E39" s="589" t="s">
        <v>574</v>
      </c>
      <c r="F39" s="589">
        <v>968</v>
      </c>
      <c r="G39" s="594" t="str">
        <f>IF(F39&lt;=0,"",IF(F39&lt;='Listas y tablas'!$B$3,"Muy Baja",IF(F39&lt;='Listas y tablas'!$B$4,"Baja",IF(F39&lt;='Listas y tablas'!$B$5,"Media",IF(F39&lt;='Listas y tablas'!$B$6,"Alta","Muy Alta")))))</f>
        <v>Alta</v>
      </c>
      <c r="H39" s="597">
        <f>IF(G39="","",IF(G39="Muy Baja",'Listas y tablas'!$C$3,IF(G39="Baja",'Listas y tablas'!$C$4,IF(G39="Media",'Listas y tablas'!$C$5,IF(G39="Alta",'Listas y tablas'!$C$6,IF(G39="Muy Alta",'Listas y tablas'!$C$7,))))))</f>
        <v>0.8</v>
      </c>
      <c r="I39" s="600" t="s">
        <v>721</v>
      </c>
      <c r="J39" s="597" t="str">
        <f>IF(NOT(ISERROR(MATCH(I39,'Tabla Impacto'!$B$221:$B$223,0))),'Tabla Impacto'!$F$223&amp;"Por favor no seleccionar los criterios de impacto(Afectación Económica o presupuestal y Pérdida Reputacional)",I39)</f>
        <v xml:space="preserve">     Entre 50 y 100 SMLMV </v>
      </c>
      <c r="K39" s="594" t="str">
        <f>IF(OR(J39='Tabla Impacto'!$C$11,J39='Tabla Impacto'!$D$11),"Leve",IF(OR(J39='Tabla Impacto'!$C$12,J39='Tabla Impacto'!$D$12),"Menor",IF(OR(J39='Tabla Impacto'!$C$13,J39='Tabla Impacto'!$D$13),"Moderado",IF(OR(J39='Tabla Impacto'!$C$14,J39='Tabla Impacto'!$D$14),"Mayor",IF(OR(J39='Tabla Impacto'!$C$15,J39='Tabla Impacto'!$D$15),"Catastrófico","")))))</f>
        <v>Moderado</v>
      </c>
      <c r="L39" s="597">
        <f>IF(K39="","",IF(K39="Leve",'Listas y tablas'!$F$3,IF(K39="Menor",'Listas y tablas'!$F$4,IF(K39="Moderado",'Listas y tablas'!$F$5,IF(K39="Mayor",'Listas y tablas'!$F$6,IF(K39="Catastrófico",'Listas y tablas'!$F$7,))))))</f>
        <v>0.6</v>
      </c>
      <c r="M39" s="594" t="str">
        <f t="shared" si="1"/>
        <v>Alto</v>
      </c>
      <c r="N39" s="335" t="str">
        <f t="shared" si="2"/>
        <v>G</v>
      </c>
      <c r="O39" s="337">
        <f>IF(ISTEXT(D39),1+O38,"")</f>
        <v>27</v>
      </c>
      <c r="P39" s="337" t="str">
        <f t="shared" si="4"/>
        <v>G27</v>
      </c>
      <c r="Q39" s="286" t="s">
        <v>741</v>
      </c>
      <c r="R39" s="337" t="str">
        <f t="shared" si="17"/>
        <v>Probabilidad</v>
      </c>
      <c r="S39" s="299" t="s">
        <v>381</v>
      </c>
      <c r="T39" s="299" t="s">
        <v>382</v>
      </c>
      <c r="U39" s="339" t="str">
        <f t="shared" si="18"/>
        <v>40%</v>
      </c>
      <c r="V39" s="299" t="s">
        <v>383</v>
      </c>
      <c r="W39" s="299" t="s">
        <v>384</v>
      </c>
      <c r="X39" s="299" t="s">
        <v>742</v>
      </c>
      <c r="Y39" s="612">
        <f>IF(A38=A39,IFERROR(IF(AND(R38="Probabilidad",R39="Probabilidad"),(AA38-(+AA38*U39)),IF(R39="Probabilidad",(H38-(+H38*U39)),IF(R39="Impacto",AA38,""))),""),IFERROR(IF(R39="Probabilidad",(H39-(+H39*U39)),IF(R39="Impacto",K39,"")),""))</f>
        <v>0.48</v>
      </c>
      <c r="Z39" s="617" t="str">
        <f>IFERROR(IF(Y39="","",IF(Y39&lt;='Listas y tablas'!$L$3,"Muy Baja",IF(Y39&lt;='Listas y tablas'!$L$4,"Baja",IF(Y39&lt;='Listas y tablas'!$L$5,"Media",IF(Y39&lt;='Listas y tablas'!$L$6,"Alta","Muy Alta"))))),"")</f>
        <v>Media</v>
      </c>
      <c r="AA39" s="597">
        <f t="shared" si="6"/>
        <v>0.48</v>
      </c>
      <c r="AB39" s="617" t="str">
        <f>IFERROR(IF(AC39="","",IF(AC39&lt;='Listas y tablas'!$O$3,"Leve",IF(AC39&lt;='Listas y tablas'!$O$4,"Menor",IF(AC39&lt;='Listas y tablas'!$O$5,"Moderado",IF(AC39&lt;='Listas y tablas'!$O$6,"Mayor","Catastrófico"))))),"")</f>
        <v>Catastrófico</v>
      </c>
      <c r="AC39" s="597">
        <f>IF(A38=A39,IFERROR(IF(AND(R38="Impacto",R39="Impacto"),(AC38-(+AC38*U39)),IF(R39="Impacto",($F38-(+$F38*U39)),IF(R39="Probabilidad",AC38,""))),""),IFERROR(IF(R39="Impacto",(F39-(+F39*U39)),IF(R39="Probabilidad",F39,"")),""))</f>
        <v>968</v>
      </c>
      <c r="AD39" s="345" t="str">
        <f t="shared" si="9"/>
        <v>Extremo</v>
      </c>
      <c r="AE39" s="305" t="s">
        <v>743</v>
      </c>
      <c r="AF39" s="300" t="s">
        <v>744</v>
      </c>
      <c r="AG39" s="364"/>
      <c r="AH39" s="364"/>
      <c r="AI39" s="273" t="s">
        <v>745</v>
      </c>
      <c r="AJ39" s="273" t="s">
        <v>746</v>
      </c>
      <c r="AK39" s="273" t="s">
        <v>727</v>
      </c>
      <c r="AL39" s="365"/>
      <c r="AM39" s="365"/>
      <c r="AN39" s="273" t="s">
        <v>747</v>
      </c>
      <c r="AO39" s="273" t="s">
        <v>748</v>
      </c>
      <c r="AP39" s="273" t="s">
        <v>749</v>
      </c>
      <c r="AQ39" s="273" t="s">
        <v>750</v>
      </c>
      <c r="AR39" s="273" t="s">
        <v>751</v>
      </c>
      <c r="AS39" s="273" t="s">
        <v>752</v>
      </c>
      <c r="AT39" s="375" t="s">
        <v>753</v>
      </c>
      <c r="AU39" s="376" t="s">
        <v>754</v>
      </c>
      <c r="AV39" s="163">
        <v>1</v>
      </c>
      <c r="AW39" s="163">
        <v>0</v>
      </c>
      <c r="AX39" s="320" t="s">
        <v>755</v>
      </c>
      <c r="AY39" s="320" t="s">
        <v>755</v>
      </c>
      <c r="AZ39" s="163"/>
      <c r="BA39" s="163"/>
      <c r="BB39" s="171"/>
      <c r="BC39" s="323" t="s">
        <v>756</v>
      </c>
      <c r="BD39" s="324" t="s">
        <v>404</v>
      </c>
      <c r="BE39" s="181"/>
      <c r="BF39" s="329" t="s">
        <v>406</v>
      </c>
      <c r="BG39" s="181" t="s">
        <v>402</v>
      </c>
      <c r="BH39" s="181" t="s">
        <v>402</v>
      </c>
      <c r="BI39" s="183" t="s">
        <v>401</v>
      </c>
      <c r="BJ39" s="323" t="s">
        <v>757</v>
      </c>
      <c r="BK39" s="327" t="s">
        <v>408</v>
      </c>
      <c r="BL39" s="330" t="s">
        <v>402</v>
      </c>
      <c r="BM39" s="193"/>
      <c r="BN39" s="194"/>
      <c r="BO39" s="194"/>
      <c r="BP39" s="194"/>
      <c r="BQ39" s="194"/>
      <c r="BR39" s="194"/>
      <c r="BS39" s="194"/>
      <c r="BT39" s="194"/>
      <c r="BU39" s="204"/>
      <c r="BV39" s="205"/>
      <c r="BW39" s="206"/>
      <c r="BX39" s="206"/>
      <c r="BY39" s="206"/>
      <c r="BZ39" s="206"/>
      <c r="CA39" s="206"/>
      <c r="CB39" s="213"/>
      <c r="CC39" s="214"/>
      <c r="CD39" s="206"/>
      <c r="CE39" s="213"/>
      <c r="CF39" s="215"/>
      <c r="CG39" s="216"/>
      <c r="CH39" s="216"/>
      <c r="CI39" s="216"/>
      <c r="CJ39" s="216"/>
      <c r="CK39" s="216"/>
      <c r="CL39" s="216"/>
      <c r="CM39" s="216"/>
      <c r="CN39" s="225"/>
      <c r="CO39" s="226"/>
      <c r="CP39" s="227"/>
      <c r="CQ39" s="227"/>
      <c r="CR39" s="227"/>
      <c r="CS39" s="227"/>
      <c r="CT39" s="227"/>
      <c r="CU39" s="234"/>
      <c r="CV39" s="226"/>
      <c r="CW39" s="227"/>
      <c r="CX39" s="234"/>
    </row>
    <row r="40" spans="1:102" ht="151.5" hidden="1" customHeight="1">
      <c r="A40" s="582"/>
      <c r="B40" s="585"/>
      <c r="C40" s="585"/>
      <c r="D40" s="585"/>
      <c r="E40" s="590"/>
      <c r="F40" s="590"/>
      <c r="G40" s="595"/>
      <c r="H40" s="598"/>
      <c r="I40" s="601"/>
      <c r="J40" s="598"/>
      <c r="K40" s="595"/>
      <c r="L40" s="598"/>
      <c r="M40" s="595"/>
      <c r="N40" s="335" t="str">
        <f>+IF(ISTEXT(D39),"G","")</f>
        <v>G</v>
      </c>
      <c r="O40" s="337">
        <f>IF(ISTEXT(D39),1+O39,"")</f>
        <v>28</v>
      </c>
      <c r="P40" s="337" t="str">
        <f>IF(ISTEXT(D39),CONCATENATE(N40,O40),"")</f>
        <v>G28</v>
      </c>
      <c r="Q40" s="286" t="s">
        <v>758</v>
      </c>
      <c r="R40" s="337" t="str">
        <f t="shared" ref="R40:R45" si="19">IF(OR(S40="Preventivo",S40="Detectivo"),"Probabilidad",IF(S40="Correctivo","Impacto",""))</f>
        <v>Probabilidad</v>
      </c>
      <c r="S40" s="299" t="s">
        <v>381</v>
      </c>
      <c r="T40" s="299" t="s">
        <v>382</v>
      </c>
      <c r="U40" s="339" t="str">
        <f t="shared" si="18"/>
        <v>40%</v>
      </c>
      <c r="V40" s="299" t="s">
        <v>383</v>
      </c>
      <c r="W40" s="299" t="s">
        <v>384</v>
      </c>
      <c r="X40" s="299" t="s">
        <v>742</v>
      </c>
      <c r="Y40" s="613"/>
      <c r="Z40" s="618"/>
      <c r="AA40" s="598"/>
      <c r="AB40" s="618"/>
      <c r="AC40" s="598"/>
      <c r="AD40" s="147"/>
      <c r="AE40" s="307"/>
      <c r="AF40" s="300" t="s">
        <v>759</v>
      </c>
      <c r="AG40" s="300"/>
      <c r="AH40" s="300"/>
      <c r="AI40" s="273"/>
      <c r="AJ40" s="273"/>
      <c r="AK40" s="273"/>
      <c r="AL40" s="304"/>
      <c r="AM40" s="304"/>
      <c r="AN40" s="273"/>
      <c r="AO40" s="273"/>
      <c r="AP40" s="273"/>
      <c r="AQ40" s="273"/>
      <c r="AR40" s="273"/>
      <c r="AS40" s="273"/>
      <c r="AT40" s="319" t="s">
        <v>760</v>
      </c>
      <c r="AU40" s="313" t="s">
        <v>761</v>
      </c>
      <c r="AV40" s="163"/>
      <c r="AW40" s="163"/>
      <c r="AX40" s="163"/>
      <c r="AY40" s="163"/>
      <c r="AZ40" s="163"/>
      <c r="BA40" s="163"/>
      <c r="BB40" s="171"/>
      <c r="BC40" s="323" t="s">
        <v>756</v>
      </c>
      <c r="BD40" s="324" t="s">
        <v>404</v>
      </c>
      <c r="BE40" s="324" t="s">
        <v>762</v>
      </c>
      <c r="BF40" s="329" t="s">
        <v>556</v>
      </c>
      <c r="BG40" s="181" t="s">
        <v>402</v>
      </c>
      <c r="BH40" s="181" t="s">
        <v>402</v>
      </c>
      <c r="BI40" s="183" t="s">
        <v>401</v>
      </c>
      <c r="BJ40" s="323" t="s">
        <v>763</v>
      </c>
      <c r="BK40" s="327" t="s">
        <v>408</v>
      </c>
      <c r="BL40" s="331"/>
      <c r="BM40" s="193"/>
      <c r="BN40" s="194"/>
      <c r="BO40" s="194"/>
      <c r="BP40" s="194"/>
      <c r="BQ40" s="194"/>
      <c r="BR40" s="194"/>
      <c r="BS40" s="194"/>
      <c r="BT40" s="194"/>
      <c r="BU40" s="204"/>
      <c r="BV40" s="205"/>
      <c r="BW40" s="206"/>
      <c r="BX40" s="206"/>
      <c r="BY40" s="206"/>
      <c r="BZ40" s="206"/>
      <c r="CA40" s="206"/>
      <c r="CB40" s="213"/>
      <c r="CC40" s="214"/>
      <c r="CD40" s="206"/>
      <c r="CE40" s="213"/>
      <c r="CF40" s="215"/>
      <c r="CG40" s="216"/>
      <c r="CH40" s="216"/>
      <c r="CI40" s="216"/>
      <c r="CJ40" s="216"/>
      <c r="CK40" s="216"/>
      <c r="CL40" s="216"/>
      <c r="CM40" s="216"/>
      <c r="CN40" s="225"/>
      <c r="CO40" s="226"/>
      <c r="CP40" s="227"/>
      <c r="CQ40" s="227"/>
      <c r="CR40" s="227"/>
      <c r="CS40" s="227"/>
      <c r="CT40" s="227"/>
      <c r="CU40" s="234"/>
      <c r="CV40" s="226"/>
      <c r="CW40" s="227"/>
      <c r="CX40" s="234"/>
    </row>
    <row r="41" spans="1:102" ht="151.5" hidden="1" customHeight="1">
      <c r="A41" s="581">
        <v>23</v>
      </c>
      <c r="B41" s="584" t="str">
        <f>IFERROR(VLOOKUP($A41,Riesgos!$A$7:$H$84,2,FALSE),"")</f>
        <v>Gestión Contractual</v>
      </c>
      <c r="C41" s="584" t="str">
        <f>IFERROR(VLOOKUP($A41,Riesgos!$A$7:$H$84,7,FALSE),"")</f>
        <v xml:space="preserve">Debilidad en el diligenciamiento de información de las bases de datos, debido a que el registro de información se realiza de manera manual.
Debilidad en el cruce de información de la base de datos de gestión contractual y la información presupuestal
</v>
      </c>
      <c r="D41" s="584" t="str">
        <f>IFERROR(VLOOKUP($A41,Riesgos!$A$7:$H$84,8,FALSE),"")</f>
        <v>Posibilidad de afectación reputacional por bases de datos de contratación con información incompleta e incorrecta, debido a que el registro de información se realiza de manera manual y hay 
debilidad en la conciliación de información presupuestal.</v>
      </c>
      <c r="E41" s="589" t="s">
        <v>574</v>
      </c>
      <c r="F41" s="589">
        <v>43076</v>
      </c>
      <c r="G41" s="594" t="str">
        <f>IF(F41&lt;=0,"",IF(F41&lt;='Listas y tablas'!$B$3,"Muy Baja",IF(F41&lt;='Listas y tablas'!$B$4,"Baja",IF(F41&lt;='Listas y tablas'!$B$5,"Media",IF(F41&lt;='Listas y tablas'!$B$6,"Alta","Muy Alta")))))</f>
        <v>Muy Alta</v>
      </c>
      <c r="H41" s="597">
        <f>IF(G41="","",IF(G41="Muy Baja",'Listas y tablas'!$C$3,IF(G41="Baja",'Listas y tablas'!$C$4,IF(G41="Media",'Listas y tablas'!$C$5,IF(G41="Alta",'Listas y tablas'!$C$6,IF(G41="Muy Alta",'Listas y tablas'!$C$7,))))))</f>
        <v>1</v>
      </c>
      <c r="I41" s="600" t="s">
        <v>721</v>
      </c>
      <c r="J41" s="597" t="str">
        <f>IF(NOT(ISERROR(MATCH(I41,'Tabla Impacto'!$B$221:$B$223,0))),'Tabla Impacto'!$F$223&amp;"Por favor no seleccionar los criterios de impacto(Afectación Económica o presupuestal y Pérdida Reputacional)",I41)</f>
        <v xml:space="preserve">     Entre 50 y 100 SMLMV </v>
      </c>
      <c r="K41" s="594" t="str">
        <f>IF(OR(J41='Tabla Impacto'!$C$11,J41='Tabla Impacto'!$D$11),"Leve",IF(OR(J41='Tabla Impacto'!$C$12,J41='Tabla Impacto'!$D$12),"Menor",IF(OR(J41='Tabla Impacto'!$C$13,J41='Tabla Impacto'!$D$13),"Moderado",IF(OR(J41='Tabla Impacto'!$C$14,J41='Tabla Impacto'!$D$14),"Mayor",IF(OR(J41='Tabla Impacto'!$C$15,J41='Tabla Impacto'!$D$15),"Catastrófico","")))))</f>
        <v>Moderado</v>
      </c>
      <c r="L41" s="597">
        <f>IF(K41="","",IF(K41="Leve",'Listas y tablas'!$F$3,IF(K41="Menor",'Listas y tablas'!$F$4,IF(K41="Moderado",'Listas y tablas'!$F$5,IF(K41="Mayor",'Listas y tablas'!$F$6,IF(K41="Catastrófico",'Listas y tablas'!$F$7,))))))</f>
        <v>0.6</v>
      </c>
      <c r="M41" s="594" t="str">
        <f t="shared" si="1"/>
        <v>Alto</v>
      </c>
      <c r="N41" s="335" t="str">
        <f t="shared" si="2"/>
        <v>G</v>
      </c>
      <c r="O41" s="337">
        <f t="shared" ref="O41:O48" si="20">IF(ISTEXT(D41),1+O40,"")</f>
        <v>29</v>
      </c>
      <c r="P41" s="337" t="str">
        <f t="shared" si="4"/>
        <v>G29</v>
      </c>
      <c r="Q41" s="286" t="s">
        <v>764</v>
      </c>
      <c r="R41" s="337" t="str">
        <f t="shared" si="19"/>
        <v>Probabilidad</v>
      </c>
      <c r="S41" s="299" t="s">
        <v>381</v>
      </c>
      <c r="T41" s="299" t="s">
        <v>382</v>
      </c>
      <c r="U41" s="339" t="str">
        <f t="shared" si="18"/>
        <v>40%</v>
      </c>
      <c r="V41" s="299" t="s">
        <v>491</v>
      </c>
      <c r="W41" s="299" t="s">
        <v>765</v>
      </c>
      <c r="X41" s="299" t="s">
        <v>385</v>
      </c>
      <c r="Y41" s="612">
        <f t="shared" si="5"/>
        <v>0.6</v>
      </c>
      <c r="Z41" s="617" t="str">
        <f>IFERROR(IF(Y41="","",IF(Y41&lt;='Listas y tablas'!$L$3,"Muy Baja",IF(Y41&lt;='Listas y tablas'!$L$4,"Baja",IF(Y41&lt;='Listas y tablas'!$L$5,"Media",IF(Y41&lt;='Listas y tablas'!$L$6,"Alta","Muy Alta"))))),"")</f>
        <v>Media</v>
      </c>
      <c r="AA41" s="597">
        <f t="shared" si="6"/>
        <v>0.6</v>
      </c>
      <c r="AB41" s="617" t="str">
        <f>IFERROR(IF(AC41="","",IF(AC41&lt;='Listas y tablas'!$O$3,"Leve",IF(AC41&lt;='Listas y tablas'!$O$4,"Menor",IF(AC41&lt;='Listas y tablas'!$O$5,"Moderado",IF(AC41&lt;='Listas y tablas'!$O$6,"Mayor","Catastrófico"))))),"")</f>
        <v>Catastrófico</v>
      </c>
      <c r="AC41" s="597">
        <f t="shared" si="10"/>
        <v>43076</v>
      </c>
      <c r="AD41" s="617" t="str">
        <f t="shared" si="9"/>
        <v>Extremo</v>
      </c>
      <c r="AE41" s="609" t="s">
        <v>386</v>
      </c>
      <c r="AF41" s="300" t="s">
        <v>766</v>
      </c>
      <c r="AG41" s="300" t="s">
        <v>767</v>
      </c>
      <c r="AH41" s="300" t="s">
        <v>768</v>
      </c>
      <c r="AI41" s="273" t="s">
        <v>769</v>
      </c>
      <c r="AJ41" s="273" t="s">
        <v>770</v>
      </c>
      <c r="AK41" s="273" t="s">
        <v>771</v>
      </c>
      <c r="AL41" s="304">
        <v>44958</v>
      </c>
      <c r="AM41" s="304">
        <v>45291</v>
      </c>
      <c r="AN41" s="273" t="s">
        <v>772</v>
      </c>
      <c r="AO41" s="273" t="s">
        <v>773</v>
      </c>
      <c r="AP41" s="273" t="s">
        <v>774</v>
      </c>
      <c r="AQ41" s="273" t="s">
        <v>775</v>
      </c>
      <c r="AR41" s="273" t="s">
        <v>776</v>
      </c>
      <c r="AS41" s="273" t="s">
        <v>777</v>
      </c>
      <c r="AT41" s="373" t="s">
        <v>778</v>
      </c>
      <c r="AU41" s="313" t="s">
        <v>779</v>
      </c>
      <c r="AV41" s="163">
        <v>1</v>
      </c>
      <c r="AW41" s="163">
        <v>0</v>
      </c>
      <c r="AX41" s="320" t="s">
        <v>780</v>
      </c>
      <c r="AY41" s="320" t="s">
        <v>755</v>
      </c>
      <c r="AZ41" s="163"/>
      <c r="BA41" s="163"/>
      <c r="BB41" s="171"/>
      <c r="BC41" s="323" t="s">
        <v>756</v>
      </c>
      <c r="BD41" s="324" t="s">
        <v>404</v>
      </c>
      <c r="BE41" s="181"/>
      <c r="BF41" s="329" t="s">
        <v>434</v>
      </c>
      <c r="BG41" s="181" t="s">
        <v>422</v>
      </c>
      <c r="BH41" s="181" t="s">
        <v>422</v>
      </c>
      <c r="BI41" s="395" t="s">
        <v>781</v>
      </c>
      <c r="BJ41" s="323" t="s">
        <v>782</v>
      </c>
      <c r="BK41" s="327" t="s">
        <v>408</v>
      </c>
      <c r="BL41" s="641" t="s">
        <v>422</v>
      </c>
      <c r="BM41" s="193"/>
      <c r="BN41" s="194"/>
      <c r="BO41" s="194"/>
      <c r="BP41" s="194"/>
      <c r="BQ41" s="194"/>
      <c r="BR41" s="194"/>
      <c r="BS41" s="194"/>
      <c r="BT41" s="194"/>
      <c r="BU41" s="204"/>
      <c r="BV41" s="205"/>
      <c r="BW41" s="206"/>
      <c r="BX41" s="206"/>
      <c r="BY41" s="206"/>
      <c r="BZ41" s="206"/>
      <c r="CA41" s="206"/>
      <c r="CB41" s="213"/>
      <c r="CC41" s="214"/>
      <c r="CD41" s="206"/>
      <c r="CE41" s="213"/>
      <c r="CF41" s="215"/>
      <c r="CG41" s="216"/>
      <c r="CH41" s="216"/>
      <c r="CI41" s="216"/>
      <c r="CJ41" s="216"/>
      <c r="CK41" s="216"/>
      <c r="CL41" s="216"/>
      <c r="CM41" s="216"/>
      <c r="CN41" s="225"/>
      <c r="CO41" s="226"/>
      <c r="CP41" s="227"/>
      <c r="CQ41" s="227"/>
      <c r="CR41" s="227"/>
      <c r="CS41" s="227"/>
      <c r="CT41" s="227"/>
      <c r="CU41" s="234"/>
      <c r="CV41" s="226"/>
      <c r="CW41" s="227"/>
      <c r="CX41" s="234"/>
    </row>
    <row r="42" spans="1:102" ht="151.5" hidden="1" customHeight="1">
      <c r="A42" s="582"/>
      <c r="B42" s="585"/>
      <c r="C42" s="585"/>
      <c r="D42" s="585"/>
      <c r="E42" s="590"/>
      <c r="F42" s="590"/>
      <c r="G42" s="595"/>
      <c r="H42" s="598"/>
      <c r="I42" s="601"/>
      <c r="J42" s="598"/>
      <c r="K42" s="595"/>
      <c r="L42" s="598"/>
      <c r="M42" s="595"/>
      <c r="N42" s="335" t="str">
        <f>+IF(ISTEXT(D41),"G","")</f>
        <v>G</v>
      </c>
      <c r="O42" s="337">
        <f>IF(ISTEXT(D41),1+O41,"")</f>
        <v>30</v>
      </c>
      <c r="P42" s="337" t="str">
        <f>IF(ISTEXT(D41),CONCATENATE(N42,O42),"")</f>
        <v>G30</v>
      </c>
      <c r="Q42" s="286" t="s">
        <v>783</v>
      </c>
      <c r="R42" s="337" t="str">
        <f t="shared" si="19"/>
        <v>Probabilidad</v>
      </c>
      <c r="S42" s="299" t="s">
        <v>417</v>
      </c>
      <c r="T42" s="299" t="s">
        <v>382</v>
      </c>
      <c r="U42" s="339" t="str">
        <f t="shared" si="18"/>
        <v>30%</v>
      </c>
      <c r="V42" s="299" t="s">
        <v>491</v>
      </c>
      <c r="W42" s="299" t="s">
        <v>765</v>
      </c>
      <c r="X42" s="299" t="s">
        <v>385</v>
      </c>
      <c r="Y42" s="613"/>
      <c r="Z42" s="618"/>
      <c r="AA42" s="598"/>
      <c r="AB42" s="618"/>
      <c r="AC42" s="598"/>
      <c r="AD42" s="618"/>
      <c r="AE42" s="611"/>
      <c r="AF42" s="300" t="s">
        <v>784</v>
      </c>
      <c r="AG42" s="300" t="s">
        <v>767</v>
      </c>
      <c r="AH42" s="300" t="s">
        <v>768</v>
      </c>
      <c r="AI42" s="273"/>
      <c r="AJ42" s="273"/>
      <c r="AK42" s="273"/>
      <c r="AL42" s="304"/>
      <c r="AM42" s="304"/>
      <c r="AN42" s="273"/>
      <c r="AO42" s="273"/>
      <c r="AP42" s="273"/>
      <c r="AQ42" s="273"/>
      <c r="AR42" s="273"/>
      <c r="AS42" s="273"/>
      <c r="AT42" s="373" t="s">
        <v>785</v>
      </c>
      <c r="AU42" s="313" t="s">
        <v>786</v>
      </c>
      <c r="AV42" s="163"/>
      <c r="AW42" s="163"/>
      <c r="AX42" s="163"/>
      <c r="AY42" s="163"/>
      <c r="AZ42" s="163"/>
      <c r="BA42" s="163"/>
      <c r="BB42" s="171"/>
      <c r="BC42" s="323" t="s">
        <v>756</v>
      </c>
      <c r="BD42" s="324" t="s">
        <v>404</v>
      </c>
      <c r="BE42" s="324" t="s">
        <v>719</v>
      </c>
      <c r="BF42" s="329"/>
      <c r="BG42" s="181" t="s">
        <v>402</v>
      </c>
      <c r="BH42" s="181" t="s">
        <v>402</v>
      </c>
      <c r="BI42" s="183" t="s">
        <v>401</v>
      </c>
      <c r="BJ42" s="323" t="s">
        <v>787</v>
      </c>
      <c r="BK42" s="327" t="s">
        <v>408</v>
      </c>
      <c r="BL42" s="642"/>
      <c r="BM42" s="193"/>
      <c r="BN42" s="194"/>
      <c r="BO42" s="194"/>
      <c r="BP42" s="194"/>
      <c r="BQ42" s="194"/>
      <c r="BR42" s="194"/>
      <c r="BS42" s="194"/>
      <c r="BT42" s="194"/>
      <c r="BU42" s="204"/>
      <c r="BV42" s="205"/>
      <c r="BW42" s="206"/>
      <c r="BX42" s="206"/>
      <c r="BY42" s="206"/>
      <c r="BZ42" s="206"/>
      <c r="CA42" s="206"/>
      <c r="CB42" s="213"/>
      <c r="CC42" s="214"/>
      <c r="CD42" s="206"/>
      <c r="CE42" s="213"/>
      <c r="CF42" s="215"/>
      <c r="CG42" s="216"/>
      <c r="CH42" s="216"/>
      <c r="CI42" s="216"/>
      <c r="CJ42" s="216"/>
      <c r="CK42" s="216"/>
      <c r="CL42" s="216"/>
      <c r="CM42" s="216"/>
      <c r="CN42" s="225"/>
      <c r="CO42" s="226"/>
      <c r="CP42" s="227"/>
      <c r="CQ42" s="227"/>
      <c r="CR42" s="227"/>
      <c r="CS42" s="227"/>
      <c r="CT42" s="227"/>
      <c r="CU42" s="234"/>
      <c r="CV42" s="226"/>
      <c r="CW42" s="227"/>
      <c r="CX42" s="234"/>
    </row>
    <row r="43" spans="1:102" ht="151.5" hidden="1" customHeight="1">
      <c r="A43" s="581">
        <v>24</v>
      </c>
      <c r="B43" s="587" t="str">
        <f>IFERROR(VLOOKUP($A43,Riesgos!$A$7:$H$84,2,FALSE),"")</f>
        <v>Gestión Contractual</v>
      </c>
      <c r="C43" s="584" t="str">
        <f>IFERROR(VLOOKUP($A43,Riesgos!$A$7:$H$84,7,FALSE),"")</f>
        <v>Debilidad en los controles de supervisión de contratos en la etapa poscontractual
Debilidad en el seguimiento a la totalidad de los contratos que requieren liquidación</v>
      </c>
      <c r="D43" s="584" t="str">
        <f>IFERROR(VLOOKUP($A43,Riesgos!$A$7:$H$84,8,FALSE),"")</f>
        <v>Posibilidad de afectación económica por contratos sin liquidar dentro de los términos señalados en la Ley, debido a la debilidad en los controles de supervisión de contratos en la etapa poscontractual y el el seguimiento a la totalidad de los contratos que requieren liquidación.</v>
      </c>
      <c r="E43" s="589" t="s">
        <v>574</v>
      </c>
      <c r="F43" s="589">
        <v>125</v>
      </c>
      <c r="G43" s="594" t="str">
        <f>IF(F43&lt;=0,"",IF(F43&lt;='Listas y tablas'!$B$3,"Muy Baja",IF(F43&lt;='Listas y tablas'!$B$4,"Baja",IF(F43&lt;='Listas y tablas'!$B$5,"Media",IF(F43&lt;='Listas y tablas'!$B$6,"Alta","Muy Alta")))))</f>
        <v>Media</v>
      </c>
      <c r="H43" s="597">
        <f>IF(G43="","",IF(G43="Muy Baja",'Listas y tablas'!$C$3,IF(G43="Baja",'Listas y tablas'!$C$4,IF(G43="Media",'Listas y tablas'!$C$5,IF(G43="Alta",'Listas y tablas'!$C$6,IF(G43="Muy Alta",'Listas y tablas'!$C$7,))))))</f>
        <v>0.6</v>
      </c>
      <c r="I43" s="600" t="s">
        <v>721</v>
      </c>
      <c r="J43" s="597" t="str">
        <f>IF(NOT(ISERROR(MATCH(I43,'Tabla Impacto'!$B$221:$B$223,0))),'Tabla Impacto'!$F$223&amp;"Por favor no seleccionar los criterios de impacto(Afectación Económica o presupuestal y Pérdida Reputacional)",I43)</f>
        <v xml:space="preserve">     Entre 50 y 100 SMLMV </v>
      </c>
      <c r="K43" s="594" t="str">
        <f>IF(OR(J43='Tabla Impacto'!$C$11,J43='Tabla Impacto'!$D$11),"Leve",IF(OR(J43='Tabla Impacto'!$C$12,J43='Tabla Impacto'!$D$12),"Menor",IF(OR(J43='Tabla Impacto'!$C$13,J43='Tabla Impacto'!$D$13),"Moderado",IF(OR(J43='Tabla Impacto'!$C$14,J43='Tabla Impacto'!$D$14),"Mayor",IF(OR(J43='Tabla Impacto'!$C$15,J43='Tabla Impacto'!$D$15),"Catastrófico","")))))</f>
        <v>Moderado</v>
      </c>
      <c r="L43" s="597">
        <f>IF(K43="","",IF(K43="Leve",'Listas y tablas'!$F$3,IF(K43="Menor",'Listas y tablas'!$F$4,IF(K43="Moderado",'Listas y tablas'!$F$5,IF(K43="Mayor",'Listas y tablas'!$F$6,IF(K43="Catastrófico",'Listas y tablas'!$F$7,))))))</f>
        <v>0.6</v>
      </c>
      <c r="M43" s="594" t="str">
        <f t="shared" si="1"/>
        <v>Moderado</v>
      </c>
      <c r="N43" s="335" t="str">
        <f t="shared" si="2"/>
        <v>G</v>
      </c>
      <c r="O43" s="337">
        <f t="shared" si="20"/>
        <v>31</v>
      </c>
      <c r="P43" s="337" t="str">
        <f t="shared" si="4"/>
        <v>G31</v>
      </c>
      <c r="Q43" s="286" t="s">
        <v>788</v>
      </c>
      <c r="R43" s="337" t="str">
        <f t="shared" si="19"/>
        <v>Probabilidad</v>
      </c>
      <c r="S43" s="299" t="s">
        <v>417</v>
      </c>
      <c r="T43" s="299" t="s">
        <v>382</v>
      </c>
      <c r="U43" s="339" t="str">
        <f t="shared" si="18"/>
        <v>30%</v>
      </c>
      <c r="V43" s="299" t="s">
        <v>383</v>
      </c>
      <c r="W43" s="299" t="s">
        <v>765</v>
      </c>
      <c r="X43" s="299" t="s">
        <v>385</v>
      </c>
      <c r="Y43" s="612">
        <f t="shared" si="5"/>
        <v>0.42</v>
      </c>
      <c r="Z43" s="617" t="str">
        <f>IFERROR(IF(Y43="","",IF(Y43&lt;='Listas y tablas'!$L$3,"Muy Baja",IF(Y43&lt;='Listas y tablas'!$L$4,"Baja",IF(Y43&lt;='Listas y tablas'!$L$5,"Media",IF(Y43&lt;='Listas y tablas'!$L$6,"Alta","Muy Alta"))))),"")</f>
        <v>Media</v>
      </c>
      <c r="AA43" s="597">
        <f t="shared" si="6"/>
        <v>0.42</v>
      </c>
      <c r="AB43" s="617" t="str">
        <f>IFERROR(IF(AC43="","",IF(AC43&lt;='Listas y tablas'!$O$3,"Leve",IF(AC43&lt;='Listas y tablas'!$O$4,"Menor",IF(AC43&lt;='Listas y tablas'!$O$5,"Moderado",IF(AC43&lt;='Listas y tablas'!$O$6,"Mayor","Catastrófico"))))),"")</f>
        <v>Catastrófico</v>
      </c>
      <c r="AC43" s="597">
        <f t="shared" si="10"/>
        <v>125</v>
      </c>
      <c r="AD43" s="617" t="str">
        <f t="shared" si="9"/>
        <v>Extremo</v>
      </c>
      <c r="AE43" s="609" t="s">
        <v>386</v>
      </c>
      <c r="AF43" s="300" t="s">
        <v>789</v>
      </c>
      <c r="AG43" s="300" t="s">
        <v>439</v>
      </c>
      <c r="AH43" s="300" t="s">
        <v>768</v>
      </c>
      <c r="AI43" s="273" t="s">
        <v>790</v>
      </c>
      <c r="AJ43" s="273" t="s">
        <v>791</v>
      </c>
      <c r="AK43" s="273" t="s">
        <v>727</v>
      </c>
      <c r="AL43" s="304">
        <v>45047</v>
      </c>
      <c r="AM43" s="304">
        <v>45291</v>
      </c>
      <c r="AN43" s="273" t="s">
        <v>792</v>
      </c>
      <c r="AO43" s="273" t="s">
        <v>793</v>
      </c>
      <c r="AP43" s="273" t="s">
        <v>794</v>
      </c>
      <c r="AQ43" s="273" t="s">
        <v>795</v>
      </c>
      <c r="AR43" s="273" t="s">
        <v>796</v>
      </c>
      <c r="AS43" s="273" t="s">
        <v>797</v>
      </c>
      <c r="AT43" s="319" t="s">
        <v>798</v>
      </c>
      <c r="AU43" s="163" t="s">
        <v>799</v>
      </c>
      <c r="AV43" s="163">
        <v>2</v>
      </c>
      <c r="AW43" s="163">
        <v>1</v>
      </c>
      <c r="AX43" s="313" t="s">
        <v>800</v>
      </c>
      <c r="AY43" s="163" t="s">
        <v>801</v>
      </c>
      <c r="AZ43" s="163"/>
      <c r="BA43" s="163"/>
      <c r="BB43" s="171"/>
      <c r="BC43" s="323" t="s">
        <v>802</v>
      </c>
      <c r="BD43" s="324" t="s">
        <v>404</v>
      </c>
      <c r="BE43" s="324" t="s">
        <v>803</v>
      </c>
      <c r="BF43" s="329" t="s">
        <v>434</v>
      </c>
      <c r="BG43" s="181" t="s">
        <v>402</v>
      </c>
      <c r="BH43" s="181" t="s">
        <v>402</v>
      </c>
      <c r="BI43" s="183" t="s">
        <v>401</v>
      </c>
      <c r="BJ43" s="323" t="s">
        <v>804</v>
      </c>
      <c r="BK43" s="327" t="s">
        <v>408</v>
      </c>
      <c r="BL43" s="641" t="s">
        <v>402</v>
      </c>
      <c r="BM43" s="193"/>
      <c r="BN43" s="194"/>
      <c r="BO43" s="194"/>
      <c r="BP43" s="194"/>
      <c r="BQ43" s="194"/>
      <c r="BR43" s="194"/>
      <c r="BS43" s="194"/>
      <c r="BT43" s="194"/>
      <c r="BU43" s="204"/>
      <c r="BV43" s="205"/>
      <c r="BW43" s="206"/>
      <c r="BX43" s="206"/>
      <c r="BY43" s="206"/>
      <c r="BZ43" s="206"/>
      <c r="CA43" s="206"/>
      <c r="CB43" s="213"/>
      <c r="CC43" s="214"/>
      <c r="CD43" s="206"/>
      <c r="CE43" s="213"/>
      <c r="CF43" s="215"/>
      <c r="CG43" s="216"/>
      <c r="CH43" s="216"/>
      <c r="CI43" s="216"/>
      <c r="CJ43" s="216"/>
      <c r="CK43" s="216"/>
      <c r="CL43" s="216"/>
      <c r="CM43" s="216"/>
      <c r="CN43" s="225"/>
      <c r="CO43" s="226"/>
      <c r="CP43" s="227"/>
      <c r="CQ43" s="227"/>
      <c r="CR43" s="227"/>
      <c r="CS43" s="227"/>
      <c r="CT43" s="227"/>
      <c r="CU43" s="234"/>
      <c r="CV43" s="226"/>
      <c r="CW43" s="227"/>
      <c r="CX43" s="234"/>
    </row>
    <row r="44" spans="1:102" ht="151.5" hidden="1" customHeight="1">
      <c r="A44" s="582"/>
      <c r="B44" s="588"/>
      <c r="C44" s="585"/>
      <c r="D44" s="585"/>
      <c r="E44" s="590"/>
      <c r="F44" s="590"/>
      <c r="G44" s="595"/>
      <c r="H44" s="598"/>
      <c r="I44" s="601"/>
      <c r="J44" s="598"/>
      <c r="K44" s="595"/>
      <c r="L44" s="598"/>
      <c r="M44" s="595"/>
      <c r="N44" s="335" t="str">
        <f>+IF(ISTEXT(D43),"G","")</f>
        <v>G</v>
      </c>
      <c r="O44" s="337">
        <f>IF(ISTEXT(D43),1+O43,"")</f>
        <v>32</v>
      </c>
      <c r="P44" s="337" t="str">
        <f>IF(ISTEXT(D43),CONCATENATE(N44,O44),"")</f>
        <v>G32</v>
      </c>
      <c r="Q44" s="286" t="s">
        <v>805</v>
      </c>
      <c r="R44" s="337" t="str">
        <f t="shared" si="19"/>
        <v>Probabilidad</v>
      </c>
      <c r="S44" s="299" t="s">
        <v>417</v>
      </c>
      <c r="T44" s="299" t="s">
        <v>382</v>
      </c>
      <c r="U44" s="339" t="str">
        <f t="shared" ref="U44:U48" si="21">IF(AND(S44="Preventivo",T44="Automático"),"50%",IF(AND(S44="Preventivo",T44="Manual"),"40%",IF(AND(S44="Detectivo",T44="Automático"),"40%",IF(AND(S44="Detectivo",T44="Manual"),"30%",IF(AND(S44="Correctivo",T44="Automático"),"35%",IF(AND(S44="Correctivo",T44="Manual"),"25%",""))))))</f>
        <v>30%</v>
      </c>
      <c r="V44" s="299" t="s">
        <v>383</v>
      </c>
      <c r="W44" s="299" t="s">
        <v>384</v>
      </c>
      <c r="X44" s="299" t="s">
        <v>385</v>
      </c>
      <c r="Y44" s="613"/>
      <c r="Z44" s="618"/>
      <c r="AA44" s="598"/>
      <c r="AB44" s="618"/>
      <c r="AC44" s="598"/>
      <c r="AD44" s="618"/>
      <c r="AE44" s="611"/>
      <c r="AF44" s="300" t="s">
        <v>806</v>
      </c>
      <c r="AG44" s="300" t="s">
        <v>388</v>
      </c>
      <c r="AH44" s="300" t="s">
        <v>768</v>
      </c>
      <c r="AI44" s="273"/>
      <c r="AJ44" s="273"/>
      <c r="AK44" s="273"/>
      <c r="AL44" s="304"/>
      <c r="AM44" s="304"/>
      <c r="AN44" s="273"/>
      <c r="AO44" s="273"/>
      <c r="AP44" s="273"/>
      <c r="AQ44" s="273"/>
      <c r="AR44" s="273"/>
      <c r="AS44" s="273"/>
      <c r="AT44" s="319" t="s">
        <v>807</v>
      </c>
      <c r="AU44" s="377" t="s">
        <v>808</v>
      </c>
      <c r="AV44" s="163"/>
      <c r="AW44" s="163"/>
      <c r="AX44" s="163"/>
      <c r="AY44" s="163"/>
      <c r="AZ44" s="163"/>
      <c r="BA44" s="163"/>
      <c r="BB44" s="171"/>
      <c r="BC44" s="323" t="s">
        <v>802</v>
      </c>
      <c r="BD44" s="324" t="s">
        <v>404</v>
      </c>
      <c r="BE44" s="181" t="s">
        <v>809</v>
      </c>
      <c r="BF44" s="329"/>
      <c r="BG44" s="181" t="s">
        <v>402</v>
      </c>
      <c r="BH44" s="181" t="s">
        <v>402</v>
      </c>
      <c r="BI44" s="183" t="s">
        <v>401</v>
      </c>
      <c r="BJ44" s="323" t="s">
        <v>810</v>
      </c>
      <c r="BK44" s="327" t="s">
        <v>408</v>
      </c>
      <c r="BL44" s="642"/>
      <c r="BM44" s="193"/>
      <c r="BN44" s="194"/>
      <c r="BO44" s="194"/>
      <c r="BP44" s="194"/>
      <c r="BQ44" s="194"/>
      <c r="BR44" s="194"/>
      <c r="BS44" s="194"/>
      <c r="BT44" s="194"/>
      <c r="BU44" s="204"/>
      <c r="BV44" s="205"/>
      <c r="BW44" s="206"/>
      <c r="BX44" s="206"/>
      <c r="BY44" s="206"/>
      <c r="BZ44" s="206"/>
      <c r="CA44" s="206"/>
      <c r="CB44" s="213"/>
      <c r="CC44" s="214"/>
      <c r="CD44" s="206"/>
      <c r="CE44" s="213"/>
      <c r="CF44" s="215"/>
      <c r="CG44" s="216"/>
      <c r="CH44" s="216"/>
      <c r="CI44" s="216"/>
      <c r="CJ44" s="216"/>
      <c r="CK44" s="216"/>
      <c r="CL44" s="216"/>
      <c r="CM44" s="216"/>
      <c r="CN44" s="225"/>
      <c r="CO44" s="226"/>
      <c r="CP44" s="227"/>
      <c r="CQ44" s="227"/>
      <c r="CR44" s="227"/>
      <c r="CS44" s="227"/>
      <c r="CT44" s="227"/>
      <c r="CU44" s="234"/>
      <c r="CV44" s="226"/>
      <c r="CW44" s="227"/>
      <c r="CX44" s="234"/>
    </row>
    <row r="45" spans="1:102" ht="151.5" hidden="1" customHeight="1">
      <c r="A45" s="271">
        <v>25</v>
      </c>
      <c r="B45" s="272" t="str">
        <f>IFERROR(VLOOKUP($A45,Riesgos!$A$7:$H$84,2,FALSE),"")</f>
        <v>Gestión Contractual</v>
      </c>
      <c r="C45" s="272" t="str">
        <f>IFERROR(VLOOKUP($A45,Riesgos!$A$7:$H$84,7,FALSE),"")</f>
        <v xml:space="preserve">Debilidad en el seguimiento adecuado a la ejecucion contractual.
Debilidad en la estructuración de los informes para actuar de conformidad con lo establecido en el articulo 86 de la Ley 1474 de 2011
</v>
      </c>
      <c r="D45" s="272" t="str">
        <f>IFERROR(VLOOKUP($A45,Riesgos!$A$7:$H$84,8,FALSE),"")</f>
        <v>Posibilidad de afectación económica por incumplimiento de las condiciones del contrato sin que el supervisor realice la gestión requerida,  debido a debilidades seguimiento adecuado a la ejecución contractual y la estructuración de los informes para actuar de conformidad con lo establecido en el articulo 86 de la Ley 1474 de 2011.</v>
      </c>
      <c r="E45" s="273" t="s">
        <v>574</v>
      </c>
      <c r="F45" s="273">
        <v>2</v>
      </c>
      <c r="G45" s="335" t="str">
        <f>IF(F45&lt;=0,"",IF(F45&lt;='Listas y tablas'!$B$3,"Muy Baja",IF(F45&lt;='Listas y tablas'!$B$4,"Baja",IF(F45&lt;='Listas y tablas'!$B$5,"Media",IF(F45&lt;='Listas y tablas'!$B$6,"Alta","Muy Alta")))))</f>
        <v>Muy Baja</v>
      </c>
      <c r="H45" s="336">
        <f>IF(G45="","",IF(G45="Muy Baja",'Listas y tablas'!$C$3,IF(G45="Baja",'Listas y tablas'!$C$4,IF(G45="Media",'Listas y tablas'!$C$5,IF(G45="Alta",'Listas y tablas'!$C$6,IF(G45="Muy Alta",'Listas y tablas'!$C$7,))))))</f>
        <v>0.2</v>
      </c>
      <c r="I45" s="338" t="s">
        <v>811</v>
      </c>
      <c r="J45" s="336" t="str">
        <f>IF(NOT(ISERROR(MATCH(I45,'Tabla Impacto'!$B$221:$B$223,0))),'Tabla Impacto'!$F$223&amp;"Por favor no seleccionar los criterios de impacto(Afectación Económica o presupuestal y Pérdida Reputacional)",I45)</f>
        <v xml:space="preserve">     Entre 10 y 50 SMLMV </v>
      </c>
      <c r="K45" s="335" t="str">
        <f>IF(OR(J45='Tabla Impacto'!$C$11,J45='Tabla Impacto'!$D$11),"Leve",IF(OR(J45='Tabla Impacto'!$C$12,J45='Tabla Impacto'!$D$12),"Menor",IF(OR(J45='Tabla Impacto'!$C$13,J45='Tabla Impacto'!$D$13),"Moderado",IF(OR(J45='Tabla Impacto'!$C$14,J45='Tabla Impacto'!$D$14),"Mayor",IF(OR(J45='Tabla Impacto'!$C$15,J45='Tabla Impacto'!$D$15),"Catastrófico","")))))</f>
        <v>Menor</v>
      </c>
      <c r="L45" s="336">
        <f>IF(K45="","",IF(K45="Leve",'Listas y tablas'!$F$3,IF(K45="Menor",'Listas y tablas'!$F$4,IF(K45="Moderado",'Listas y tablas'!$F$5,IF(K45="Mayor",'Listas y tablas'!$F$6,IF(K45="Catastrófico",'Listas y tablas'!$F$7,))))))</f>
        <v>0.4</v>
      </c>
      <c r="M45" s="335" t="str">
        <f t="shared" si="1"/>
        <v>Bajo</v>
      </c>
      <c r="N45" s="335" t="str">
        <f t="shared" si="2"/>
        <v>G</v>
      </c>
      <c r="O45" s="337">
        <f t="shared" si="20"/>
        <v>33</v>
      </c>
      <c r="P45" s="337" t="str">
        <f t="shared" si="4"/>
        <v>G33</v>
      </c>
      <c r="Q45" s="286" t="s">
        <v>812</v>
      </c>
      <c r="R45" s="337" t="str">
        <f t="shared" si="19"/>
        <v>Impacto</v>
      </c>
      <c r="S45" s="299" t="s">
        <v>813</v>
      </c>
      <c r="T45" s="299" t="s">
        <v>382</v>
      </c>
      <c r="U45" s="339" t="str">
        <f t="shared" si="21"/>
        <v>25%</v>
      </c>
      <c r="V45" s="299" t="s">
        <v>383</v>
      </c>
      <c r="W45" s="299" t="s">
        <v>384</v>
      </c>
      <c r="X45" s="299" t="s">
        <v>385</v>
      </c>
      <c r="Y45" s="346" t="str">
        <f t="shared" si="5"/>
        <v>Menor</v>
      </c>
      <c r="Z45" s="154" t="str">
        <f>IFERROR(IF(Y45="","",IF(Y45&lt;='Listas y tablas'!$L$3,"Muy Baja",IF(Y45&lt;='Listas y tablas'!$L$4,"Baja",IF(Y45&lt;='Listas y tablas'!$L$5,"Media",IF(Y45&lt;='Listas y tablas'!$L$6,"Alta","Muy Alta"))))),"")</f>
        <v>Muy Alta</v>
      </c>
      <c r="AA45" s="339" t="str">
        <f t="shared" si="6"/>
        <v>Menor</v>
      </c>
      <c r="AB45" s="154" t="str">
        <f>IFERROR(IF(AC45="","",IF(AC45&lt;='Listas y tablas'!$O$3,"Leve",IF(AC45&lt;='Listas y tablas'!$O$4,"Menor",IF(AC45&lt;='Listas y tablas'!$O$5,"Moderado",IF(AC45&lt;='Listas y tablas'!$O$6,"Mayor","Catastrófico"))))),"")</f>
        <v>Catastrófico</v>
      </c>
      <c r="AC45" s="339">
        <f t="shared" si="10"/>
        <v>1.5</v>
      </c>
      <c r="AD45" s="154" t="str">
        <f t="shared" si="9"/>
        <v>Extremo</v>
      </c>
      <c r="AE45" s="299" t="s">
        <v>386</v>
      </c>
      <c r="AF45" s="300" t="s">
        <v>814</v>
      </c>
      <c r="AG45" s="300" t="s">
        <v>815</v>
      </c>
      <c r="AH45" s="300" t="s">
        <v>768</v>
      </c>
      <c r="AI45" s="273" t="s">
        <v>816</v>
      </c>
      <c r="AJ45" s="273" t="s">
        <v>817</v>
      </c>
      <c r="AK45" s="273" t="s">
        <v>818</v>
      </c>
      <c r="AL45" s="304">
        <v>44927</v>
      </c>
      <c r="AM45" s="304">
        <v>45291</v>
      </c>
      <c r="AN45" s="273"/>
      <c r="AO45" s="273"/>
      <c r="AP45" s="273"/>
      <c r="AQ45" s="273"/>
      <c r="AR45" s="273"/>
      <c r="AS45" s="273"/>
      <c r="AT45" s="319" t="s">
        <v>819</v>
      </c>
      <c r="AU45" s="163" t="s">
        <v>820</v>
      </c>
      <c r="AV45" s="163">
        <v>1</v>
      </c>
      <c r="AW45" s="163">
        <v>0</v>
      </c>
      <c r="AX45" s="313" t="s">
        <v>821</v>
      </c>
      <c r="AY45" s="163" t="s">
        <v>801</v>
      </c>
      <c r="AZ45" s="163"/>
      <c r="BA45" s="163"/>
      <c r="BB45" s="171"/>
      <c r="BC45" s="323" t="s">
        <v>822</v>
      </c>
      <c r="BD45" s="324" t="s">
        <v>404</v>
      </c>
      <c r="BE45" s="324" t="s">
        <v>803</v>
      </c>
      <c r="BF45" s="329" t="s">
        <v>434</v>
      </c>
      <c r="BG45" s="181" t="s">
        <v>402</v>
      </c>
      <c r="BH45" s="181" t="s">
        <v>402</v>
      </c>
      <c r="BI45" s="183" t="s">
        <v>401</v>
      </c>
      <c r="BJ45" s="323" t="s">
        <v>823</v>
      </c>
      <c r="BK45" s="327" t="s">
        <v>408</v>
      </c>
      <c r="BL45" s="192" t="s">
        <v>402</v>
      </c>
      <c r="BM45" s="193"/>
      <c r="BN45" s="194"/>
      <c r="BO45" s="194"/>
      <c r="BP45" s="194"/>
      <c r="BQ45" s="194"/>
      <c r="BR45" s="194"/>
      <c r="BS45" s="194"/>
      <c r="BT45" s="194"/>
      <c r="BU45" s="204"/>
      <c r="BV45" s="205"/>
      <c r="BW45" s="206"/>
      <c r="BX45" s="206"/>
      <c r="BY45" s="206"/>
      <c r="BZ45" s="206"/>
      <c r="CA45" s="206"/>
      <c r="CB45" s="213"/>
      <c r="CC45" s="214"/>
      <c r="CD45" s="206"/>
      <c r="CE45" s="213"/>
      <c r="CF45" s="215"/>
      <c r="CG45" s="216"/>
      <c r="CH45" s="216"/>
      <c r="CI45" s="216"/>
      <c r="CJ45" s="216"/>
      <c r="CK45" s="216"/>
      <c r="CL45" s="216"/>
      <c r="CM45" s="216"/>
      <c r="CN45" s="225"/>
      <c r="CO45" s="226"/>
      <c r="CP45" s="227"/>
      <c r="CQ45" s="227"/>
      <c r="CR45" s="227"/>
      <c r="CS45" s="227"/>
      <c r="CT45" s="227"/>
      <c r="CU45" s="234"/>
      <c r="CV45" s="226"/>
      <c r="CW45" s="227"/>
      <c r="CX45" s="234"/>
    </row>
    <row r="46" spans="1:102" ht="151.5" hidden="1" customHeight="1">
      <c r="A46" s="271">
        <v>27</v>
      </c>
      <c r="B46" s="272" t="str">
        <f>IFERROR(VLOOKUP($A46,Riesgos!$A$7:$H$84,2,FALSE),"")</f>
        <v>Gestión Contractual</v>
      </c>
      <c r="C46" s="272" t="str">
        <f>IFERROR(VLOOKUP($A46,Riesgos!$A$7:$H$84,7,FALSE),"")</f>
        <v xml:space="preserve">Debilidades en la estructuración y planeación de las necesidades en los estudios previos relacionada con el caracter excepcional, objeto, obligaciones específicas, plazo y honorarios.
Debilidades en la supervisión de los contratos relacionada con la coordinación en el marco del respeto por la autonomia de la ejecución del objeto y obligaciones contractuales. </v>
      </c>
      <c r="D46" s="272" t="str">
        <f>IFERROR(VLOOKUP($A46,Riesgos!$A$7:$H$84,8,FALSE),"")</f>
        <v xml:space="preserve">Posibilidad de afectación económica por configuración de un contrato realidad  por relaciones laborales encubiertas en los contratos de prestación de servicios con personas naturales debido a debilidades en la estructuración, planeación, contratación y supervisión contractual </v>
      </c>
      <c r="E46" s="273" t="s">
        <v>453</v>
      </c>
      <c r="F46" s="273">
        <v>451</v>
      </c>
      <c r="G46" s="335" t="str">
        <f>IF(F46&lt;=0,"",IF(F46&lt;='Listas y tablas'!$B$3,"Muy Baja",IF(F46&lt;='Listas y tablas'!$B$4,"Baja",IF(F46&lt;='Listas y tablas'!$B$5,"Media",IF(F46&lt;='Listas y tablas'!$B$6,"Alta","Muy Alta")))))</f>
        <v>Media</v>
      </c>
      <c r="H46" s="336">
        <f>IF(G46="","",IF(G46="Muy Baja",'Listas y tablas'!$C$3,IF(G46="Baja",'Listas y tablas'!$C$4,IF(G46="Media",'Listas y tablas'!$C$5,IF(G46="Alta",'Listas y tablas'!$C$6,IF(G46="Muy Alta",'Listas y tablas'!$C$7,))))))</f>
        <v>0.6</v>
      </c>
      <c r="I46" s="338" t="s">
        <v>721</v>
      </c>
      <c r="J46" s="336" t="str">
        <f>IF(NOT(ISERROR(MATCH(I46,'Tabla Impacto'!$B$221:$B$223,0))),'Tabla Impacto'!$F$223&amp;"Por favor no seleccionar los criterios de impacto(Afectación Económica o presupuestal y Pérdida Reputacional)",I46)</f>
        <v xml:space="preserve">     Entre 50 y 100 SMLMV </v>
      </c>
      <c r="K46" s="335" t="str">
        <f>IF(OR(J46='Tabla Impacto'!$C$11,J46='Tabla Impacto'!$D$11),"Leve",IF(OR(J46='Tabla Impacto'!$C$12,J46='Tabla Impacto'!$D$12),"Menor",IF(OR(J46='Tabla Impacto'!$C$13,J46='Tabla Impacto'!$D$13),"Moderado",IF(OR(J46='Tabla Impacto'!$C$14,J46='Tabla Impacto'!$D$14),"Mayor",IF(OR(J46='Tabla Impacto'!$C$15,J46='Tabla Impacto'!$D$15),"Catastrófico","")))))</f>
        <v>Moderado</v>
      </c>
      <c r="L46" s="336">
        <f>IF(K46="","",IF(K46="Leve",'Listas y tablas'!$F$3,IF(K46="Menor",'Listas y tablas'!$F$4,IF(K46="Moderado",'Listas y tablas'!$F$5,IF(K46="Mayor",'Listas y tablas'!$F$6,IF(K46="Catastrófico",'Listas y tablas'!$F$7,))))))</f>
        <v>0.6</v>
      </c>
      <c r="M46" s="335" t="str">
        <f t="shared" si="1"/>
        <v>Moderado</v>
      </c>
      <c r="N46" s="335" t="str">
        <f t="shared" si="2"/>
        <v>G</v>
      </c>
      <c r="O46" s="337">
        <f t="shared" si="20"/>
        <v>34</v>
      </c>
      <c r="P46" s="337" t="str">
        <f t="shared" si="4"/>
        <v>G34</v>
      </c>
      <c r="Q46" s="286" t="s">
        <v>824</v>
      </c>
      <c r="R46" s="337" t="str">
        <f t="shared" ref="R46:R48" si="22">IF(OR(S46="Preventivo",S46="Detectivo"),"Probabilidad",IF(S46="Correctivo","Impacto",""))</f>
        <v>Probabilidad</v>
      </c>
      <c r="S46" s="299" t="s">
        <v>381</v>
      </c>
      <c r="T46" s="299" t="s">
        <v>382</v>
      </c>
      <c r="U46" s="339" t="str">
        <f t="shared" si="21"/>
        <v>40%</v>
      </c>
      <c r="V46" s="299" t="s">
        <v>383</v>
      </c>
      <c r="W46" s="299" t="s">
        <v>384</v>
      </c>
      <c r="X46" s="299" t="s">
        <v>385</v>
      </c>
      <c r="Y46" s="346">
        <f t="shared" si="5"/>
        <v>0.36</v>
      </c>
      <c r="Z46" s="154" t="str">
        <f>IFERROR(IF(Y46="","",IF(Y46&lt;='Listas y tablas'!$L$3,"Muy Baja",IF(Y46&lt;='Listas y tablas'!$L$4,"Baja",IF(Y46&lt;='Listas y tablas'!$L$5,"Media",IF(Y46&lt;='Listas y tablas'!$L$6,"Alta","Muy Alta"))))),"")</f>
        <v>Baja</v>
      </c>
      <c r="AA46" s="339">
        <f t="shared" si="6"/>
        <v>0.36</v>
      </c>
      <c r="AB46" s="154" t="str">
        <f>IFERROR(IF(AC46="","",IF(AC46&lt;='Listas y tablas'!$O$3,"Leve",IF(AC46&lt;='Listas y tablas'!$O$4,"Menor",IF(AC46&lt;='Listas y tablas'!$O$5,"Moderado",IF(AC46&lt;='Listas y tablas'!$O$6,"Mayor","Catastrófico"))))),"")</f>
        <v>Catastrófico</v>
      </c>
      <c r="AC46" s="339">
        <f t="shared" si="10"/>
        <v>451</v>
      </c>
      <c r="AD46" s="154" t="str">
        <f t="shared" si="9"/>
        <v>Extremo</v>
      </c>
      <c r="AE46" s="299" t="s">
        <v>386</v>
      </c>
      <c r="AF46" s="300" t="s">
        <v>825</v>
      </c>
      <c r="AG46" s="300" t="s">
        <v>388</v>
      </c>
      <c r="AH46" s="300" t="s">
        <v>768</v>
      </c>
      <c r="AI46" s="273" t="s">
        <v>826</v>
      </c>
      <c r="AJ46" s="273" t="s">
        <v>827</v>
      </c>
      <c r="AK46" s="273" t="s">
        <v>818</v>
      </c>
      <c r="AL46" s="304">
        <v>45200</v>
      </c>
      <c r="AM46" s="304">
        <v>45291</v>
      </c>
      <c r="AN46" s="273"/>
      <c r="AO46" s="273"/>
      <c r="AP46" s="273"/>
      <c r="AQ46" s="273"/>
      <c r="AR46" s="273"/>
      <c r="AS46" s="273"/>
      <c r="AT46" s="314" t="s">
        <v>828</v>
      </c>
      <c r="AU46" s="378" t="s">
        <v>829</v>
      </c>
      <c r="AV46" s="163">
        <v>0</v>
      </c>
      <c r="AW46" s="163">
        <v>0</v>
      </c>
      <c r="AX46" s="387" t="s">
        <v>755</v>
      </c>
      <c r="AY46" s="388" t="s">
        <v>755</v>
      </c>
      <c r="AZ46" s="163"/>
      <c r="BA46" s="163"/>
      <c r="BB46" s="171"/>
      <c r="BC46" s="323" t="s">
        <v>802</v>
      </c>
      <c r="BD46" s="324" t="s">
        <v>404</v>
      </c>
      <c r="BE46" s="324" t="s">
        <v>830</v>
      </c>
      <c r="BF46" s="329" t="s">
        <v>406</v>
      </c>
      <c r="BG46" s="181" t="s">
        <v>402</v>
      </c>
      <c r="BH46" s="181" t="s">
        <v>402</v>
      </c>
      <c r="BI46" s="183" t="s">
        <v>401</v>
      </c>
      <c r="BJ46" s="323" t="s">
        <v>831</v>
      </c>
      <c r="BK46" s="327" t="s">
        <v>408</v>
      </c>
      <c r="BL46" s="192" t="s">
        <v>402</v>
      </c>
      <c r="BM46" s="193"/>
      <c r="BN46" s="194"/>
      <c r="BO46" s="194"/>
      <c r="BP46" s="194"/>
      <c r="BQ46" s="194"/>
      <c r="BR46" s="194"/>
      <c r="BS46" s="194"/>
      <c r="BT46" s="194"/>
      <c r="BU46" s="204"/>
      <c r="BV46" s="205"/>
      <c r="BW46" s="206"/>
      <c r="BX46" s="206"/>
      <c r="BY46" s="206"/>
      <c r="BZ46" s="206"/>
      <c r="CA46" s="206"/>
      <c r="CB46" s="213"/>
      <c r="CC46" s="214"/>
      <c r="CD46" s="206"/>
      <c r="CE46" s="213"/>
      <c r="CF46" s="215"/>
      <c r="CG46" s="216"/>
      <c r="CH46" s="216"/>
      <c r="CI46" s="216"/>
      <c r="CJ46" s="216"/>
      <c r="CK46" s="216"/>
      <c r="CL46" s="216"/>
      <c r="CM46" s="216"/>
      <c r="CN46" s="225"/>
      <c r="CO46" s="226"/>
      <c r="CP46" s="227"/>
      <c r="CQ46" s="227"/>
      <c r="CR46" s="227"/>
      <c r="CS46" s="227"/>
      <c r="CT46" s="227"/>
      <c r="CU46" s="234"/>
      <c r="CV46" s="226"/>
      <c r="CW46" s="227"/>
      <c r="CX46" s="234"/>
    </row>
    <row r="47" spans="1:102" ht="151.5" hidden="1" customHeight="1">
      <c r="A47" s="271">
        <v>29</v>
      </c>
      <c r="B47" s="272" t="str">
        <f>IFERROR(VLOOKUP($A47,Riesgos!$A$7:$H$84,2,FALSE),"")</f>
        <v>Gestión de Talento Humano</v>
      </c>
      <c r="C47" s="272" t="str">
        <f>IFERROR(VLOOKUP($A47,Riesgos!$A$7:$H$84,7,FALSE),"")</f>
        <v xml:space="preserve"> debido a la falta de parametrización del sistema,  desconocimiento de la normatividad aplicable y/o debilidades en la revisión de la nómina.</v>
      </c>
      <c r="D47" s="272" t="str">
        <f>IFERROR(VLOOKUP($A47,Riesgos!$A$7:$H$84,8,FALSE),"")</f>
        <v>Posibilidad de afectación legal, reputacional y/o económica por inconsistencias e inoportunidad en el pago de la nómina debido a la falta de parametrización del sistema, desconocimiento de la normatividad aplicable y/o debilidades en la revisión de la nómina.</v>
      </c>
      <c r="E47" s="273" t="s">
        <v>574</v>
      </c>
      <c r="F47" s="273">
        <v>20</v>
      </c>
      <c r="G47" s="335" t="str">
        <f>IF(F47&lt;=0,"",IF(F47&lt;='Listas y tablas'!$B$3,"Muy Baja",IF(F47&lt;='Listas y tablas'!$B$4,"Baja",IF(F47&lt;='Listas y tablas'!$B$5,"Media",IF(F47&lt;='Listas y tablas'!$B$6,"Alta","Muy Alta")))))</f>
        <v>Baja</v>
      </c>
      <c r="H47" s="336">
        <f>IF(G47="","",IF(G47="Muy Baja",'Listas y tablas'!$C$3,IF(G47="Baja",'Listas y tablas'!$C$4,IF(G47="Media",'Listas y tablas'!$C$5,IF(G47="Alta",'Listas y tablas'!$C$6,IF(G47="Muy Alta",'Listas y tablas'!$C$7,))))))</f>
        <v>0.4</v>
      </c>
      <c r="I47" s="338" t="s">
        <v>721</v>
      </c>
      <c r="J47" s="336" t="str">
        <f>IF(NOT(ISERROR(MATCH(I47,'Tabla Impacto'!$B$221:$B$223,0))),'Tabla Impacto'!$F$223&amp;"Por favor no seleccionar los criterios de impacto(Afectación Económica o presupuestal y Pérdida Reputacional)",I47)</f>
        <v xml:space="preserve">     Entre 50 y 100 SMLMV </v>
      </c>
      <c r="K47" s="335" t="str">
        <f>IF(OR(J47='Tabla Impacto'!$C$11,J47='Tabla Impacto'!$D$11),"Leve",IF(OR(J47='Tabla Impacto'!$C$12,J47='Tabla Impacto'!$D$12),"Menor",IF(OR(J47='Tabla Impacto'!$C$13,J47='Tabla Impacto'!$D$13),"Moderado",IF(OR(J47='Tabla Impacto'!$C$14,J47='Tabla Impacto'!$D$14),"Mayor",IF(OR(J47='Tabla Impacto'!$C$15,J47='Tabla Impacto'!$D$15),"Catastrófico","")))))</f>
        <v>Moderado</v>
      </c>
      <c r="L47" s="336">
        <f>IF(K47="","",IF(K47="Leve",'Listas y tablas'!$F$3,IF(K47="Menor",'Listas y tablas'!$F$4,IF(K47="Moderado",'Listas y tablas'!$F$5,IF(K47="Mayor",'Listas y tablas'!$F$6,IF(K47="Catastrófico",'Listas y tablas'!$F$7,))))))</f>
        <v>0.6</v>
      </c>
      <c r="M47" s="335" t="str">
        <f t="shared" si="1"/>
        <v>Moderado</v>
      </c>
      <c r="N47" s="335" t="str">
        <f t="shared" si="2"/>
        <v>G</v>
      </c>
      <c r="O47" s="337">
        <f t="shared" si="20"/>
        <v>35</v>
      </c>
      <c r="P47" s="337" t="str">
        <f t="shared" si="4"/>
        <v>G35</v>
      </c>
      <c r="Q47" s="286" t="s">
        <v>832</v>
      </c>
      <c r="R47" s="337" t="str">
        <f t="shared" si="22"/>
        <v>Probabilidad</v>
      </c>
      <c r="S47" s="299" t="s">
        <v>381</v>
      </c>
      <c r="T47" s="299" t="s">
        <v>382</v>
      </c>
      <c r="U47" s="339" t="str">
        <f t="shared" si="21"/>
        <v>40%</v>
      </c>
      <c r="V47" s="299" t="s">
        <v>383</v>
      </c>
      <c r="W47" s="299" t="s">
        <v>384</v>
      </c>
      <c r="X47" s="299" t="s">
        <v>385</v>
      </c>
      <c r="Y47" s="346">
        <f t="shared" si="5"/>
        <v>0.24</v>
      </c>
      <c r="Z47" s="154" t="str">
        <f>IFERROR(IF(Y47="","",IF(Y47&lt;='Listas y tablas'!$L$3,"Muy Baja",IF(Y47&lt;='Listas y tablas'!$L$4,"Baja",IF(Y47&lt;='Listas y tablas'!$L$5,"Media",IF(Y47&lt;='Listas y tablas'!$L$6,"Alta","Muy Alta"))))),"")</f>
        <v>Baja</v>
      </c>
      <c r="AA47" s="339">
        <f t="shared" si="6"/>
        <v>0.24</v>
      </c>
      <c r="AB47" s="154" t="str">
        <f>IFERROR(IF(AC47="","",IF(AC47&lt;='Listas y tablas'!$O$3,"Leve",IF(AC47&lt;='Listas y tablas'!$O$4,"Menor",IF(AC47&lt;='Listas y tablas'!$O$5,"Moderado",IF(AC47&lt;='Listas y tablas'!$O$6,"Mayor","Catastrófico"))))),"")</f>
        <v>Catastrófico</v>
      </c>
      <c r="AC47" s="339">
        <f t="shared" si="10"/>
        <v>20</v>
      </c>
      <c r="AD47" s="154" t="str">
        <f t="shared" si="9"/>
        <v>Extremo</v>
      </c>
      <c r="AE47" s="299" t="s">
        <v>386</v>
      </c>
      <c r="AF47" s="300" t="s">
        <v>833</v>
      </c>
      <c r="AG47" s="300" t="s">
        <v>388</v>
      </c>
      <c r="AH47" s="300" t="s">
        <v>834</v>
      </c>
      <c r="AI47" s="273" t="s">
        <v>835</v>
      </c>
      <c r="AJ47" s="273" t="s">
        <v>836</v>
      </c>
      <c r="AK47" s="273" t="s">
        <v>837</v>
      </c>
      <c r="AL47" s="304">
        <v>44986</v>
      </c>
      <c r="AM47" s="304">
        <v>45046</v>
      </c>
      <c r="AN47" s="273" t="s">
        <v>838</v>
      </c>
      <c r="AO47" s="273" t="s">
        <v>401</v>
      </c>
      <c r="AP47" s="273" t="s">
        <v>837</v>
      </c>
      <c r="AQ47" s="273" t="s">
        <v>839</v>
      </c>
      <c r="AR47" s="273" t="s">
        <v>840</v>
      </c>
      <c r="AS47" s="273" t="s">
        <v>841</v>
      </c>
      <c r="AT47" s="316" t="s">
        <v>842</v>
      </c>
      <c r="AU47" s="317" t="s">
        <v>843</v>
      </c>
      <c r="AV47" s="317" t="s">
        <v>844</v>
      </c>
      <c r="AW47" s="317" t="s">
        <v>845</v>
      </c>
      <c r="AX47" s="317" t="s">
        <v>846</v>
      </c>
      <c r="AY47" s="313" t="s">
        <v>847</v>
      </c>
      <c r="AZ47" s="163" t="s">
        <v>402</v>
      </c>
      <c r="BA47" s="163" t="s">
        <v>402</v>
      </c>
      <c r="BB47" s="171" t="s">
        <v>401</v>
      </c>
      <c r="BC47" s="323" t="s">
        <v>848</v>
      </c>
      <c r="BD47" s="324" t="s">
        <v>404</v>
      </c>
      <c r="BE47" s="324" t="s">
        <v>849</v>
      </c>
      <c r="BF47" s="329" t="s">
        <v>556</v>
      </c>
      <c r="BG47" s="181" t="s">
        <v>402</v>
      </c>
      <c r="BH47" s="181" t="s">
        <v>402</v>
      </c>
      <c r="BI47" s="183" t="s">
        <v>401</v>
      </c>
      <c r="BJ47" s="323" t="s">
        <v>850</v>
      </c>
      <c r="BK47" s="327" t="s">
        <v>558</v>
      </c>
      <c r="BL47" s="192" t="s">
        <v>402</v>
      </c>
      <c r="BM47" s="193"/>
      <c r="BN47" s="194"/>
      <c r="BO47" s="194"/>
      <c r="BP47" s="194"/>
      <c r="BQ47" s="194"/>
      <c r="BR47" s="194"/>
      <c r="BS47" s="194"/>
      <c r="BT47" s="194"/>
      <c r="BU47" s="204"/>
      <c r="BV47" s="205"/>
      <c r="BW47" s="206"/>
      <c r="BX47" s="206"/>
      <c r="BY47" s="206"/>
      <c r="BZ47" s="206"/>
      <c r="CA47" s="206"/>
      <c r="CB47" s="213"/>
      <c r="CC47" s="214"/>
      <c r="CD47" s="206"/>
      <c r="CE47" s="213"/>
      <c r="CF47" s="215"/>
      <c r="CG47" s="216"/>
      <c r="CH47" s="216"/>
      <c r="CI47" s="216"/>
      <c r="CJ47" s="216"/>
      <c r="CK47" s="216"/>
      <c r="CL47" s="216"/>
      <c r="CM47" s="216"/>
      <c r="CN47" s="225"/>
      <c r="CO47" s="226"/>
      <c r="CP47" s="227"/>
      <c r="CQ47" s="227"/>
      <c r="CR47" s="227"/>
      <c r="CS47" s="227"/>
      <c r="CT47" s="227"/>
      <c r="CU47" s="234"/>
      <c r="CV47" s="226"/>
      <c r="CW47" s="227"/>
      <c r="CX47" s="234"/>
    </row>
    <row r="48" spans="1:102" ht="180.75" hidden="1" customHeight="1">
      <c r="A48" s="581">
        <v>30</v>
      </c>
      <c r="B48" s="587" t="str">
        <f>IFERROR(VLOOKUP($A48,Riesgos!$A$7:$H$84,2,FALSE),"")</f>
        <v>Gestión Documental</v>
      </c>
      <c r="C48" s="584" t="str">
        <f>IFERROR(VLOOKUP($A48,Riesgos!$A$7:$H$84,7,FALSE),"")</f>
        <v>Debilidades en los controles de prestamo y las dependencias no  anexan la información en los expedientes.</v>
      </c>
      <c r="D48" s="584" t="str">
        <f>IFERROR(VLOOKUP($A48,Riesgos!$A$7:$H$84,8,FALSE),"")</f>
        <v>Posibilidad de afectación reputacional por expedientes incompletos y perdida de documentos debido a debilidades en los controles de prestamo y a que las dependencias no anexan la información en los expedientes.</v>
      </c>
      <c r="E48" s="589" t="s">
        <v>453</v>
      </c>
      <c r="F48" s="589">
        <v>249</v>
      </c>
      <c r="G48" s="594" t="str">
        <f>IF(F48&lt;=0,"",IF(F48&lt;='Listas y tablas'!$B$3,"Muy Baja",IF(F48&lt;='Listas y tablas'!$B$4,"Baja",IF(F48&lt;='Listas y tablas'!$B$5,"Media",IF(F48&lt;='Listas y tablas'!$B$6,"Alta","Muy Alta")))))</f>
        <v>Media</v>
      </c>
      <c r="H48" s="597">
        <f>IF(G48="","",IF(G48="Muy Baja",'Listas y tablas'!$C$3,IF(G48="Baja",'Listas y tablas'!$C$4,IF(G48="Media",'Listas y tablas'!$C$5,IF(G48="Alta",'Listas y tablas'!$C$6,IF(G48="Muy Alta",'Listas y tablas'!$C$7,))))))</f>
        <v>0.6</v>
      </c>
      <c r="I48" s="600" t="s">
        <v>423</v>
      </c>
      <c r="J48" s="597" t="str">
        <f>IF(NOT(ISERROR(MATCH(I48,'Tabla Impacto'!$B$221:$B$223,0))),'Tabla Impacto'!$F$223&amp;"Por favor no seleccionar los criterios de impacto(Afectación Económica o presupuestal y Pérdida Reputacional)",I48)</f>
        <v xml:space="preserve">     El riesgo afecta la imagen de la entidad con algunos usuarios de relevancia frente al logro de los objetivos</v>
      </c>
      <c r="K48" s="594" t="str">
        <f>IF(OR(J48='Tabla Impacto'!$C$11,J48='Tabla Impacto'!$D$11),"Leve",IF(OR(J48='Tabla Impacto'!$C$12,J48='Tabla Impacto'!$D$12),"Menor",IF(OR(J48='Tabla Impacto'!$C$13,J48='Tabla Impacto'!$D$13),"Moderado",IF(OR(J48='Tabla Impacto'!$C$14,J48='Tabla Impacto'!$D$14),"Mayor",IF(OR(J48='Tabla Impacto'!$C$15,J48='Tabla Impacto'!$D$15),"Catastrófico","")))))</f>
        <v>Moderado</v>
      </c>
      <c r="L48" s="597">
        <f>IF(K48="","",IF(K48="Leve",'Listas y tablas'!$F$3,IF(K48="Menor",'Listas y tablas'!$F$4,IF(K48="Moderado",'Listas y tablas'!$F$5,IF(K48="Mayor",'Listas y tablas'!$F$6,IF(K48="Catastrófico",'Listas y tablas'!$F$7,))))))</f>
        <v>0.6</v>
      </c>
      <c r="M48" s="594" t="str">
        <f t="shared" si="1"/>
        <v>Moderado</v>
      </c>
      <c r="N48" s="335" t="str">
        <f t="shared" si="2"/>
        <v>G</v>
      </c>
      <c r="O48" s="337">
        <f t="shared" si="20"/>
        <v>36</v>
      </c>
      <c r="P48" s="337" t="str">
        <f t="shared" si="4"/>
        <v>G36</v>
      </c>
      <c r="Q48" s="286" t="s">
        <v>851</v>
      </c>
      <c r="R48" s="337" t="str">
        <f t="shared" si="22"/>
        <v>Probabilidad</v>
      </c>
      <c r="S48" s="299" t="s">
        <v>381</v>
      </c>
      <c r="T48" s="299" t="s">
        <v>382</v>
      </c>
      <c r="U48" s="339" t="str">
        <f t="shared" si="21"/>
        <v>40%</v>
      </c>
      <c r="V48" s="299" t="s">
        <v>383</v>
      </c>
      <c r="W48" s="299" t="s">
        <v>384</v>
      </c>
      <c r="X48" s="299" t="s">
        <v>385</v>
      </c>
      <c r="Y48" s="612">
        <f t="shared" si="5"/>
        <v>0.36</v>
      </c>
      <c r="Z48" s="617" t="str">
        <f>IFERROR(IF(Y48="","",IF(Y48&lt;='Listas y tablas'!$L$3,"Muy Baja",IF(Y48&lt;='Listas y tablas'!$L$4,"Baja",IF(Y48&lt;='Listas y tablas'!$L$5,"Media",IF(Y48&lt;='Listas y tablas'!$L$6,"Alta","Muy Alta"))))),"")</f>
        <v>Baja</v>
      </c>
      <c r="AA48" s="597">
        <f t="shared" si="6"/>
        <v>0.36</v>
      </c>
      <c r="AB48" s="617" t="str">
        <f>IFERROR(IF(AC48="","",IF(AC48&lt;='Listas y tablas'!$O$3,"Leve",IF(AC48&lt;='Listas y tablas'!$O$4,"Menor",IF(AC48&lt;='Listas y tablas'!$O$5,"Moderado",IF(AC48&lt;='Listas y tablas'!$O$6,"Mayor","Catastrófico"))))),"")</f>
        <v>Catastrófico</v>
      </c>
      <c r="AC48" s="597">
        <f t="shared" si="10"/>
        <v>249</v>
      </c>
      <c r="AD48" s="617" t="str">
        <f t="shared" si="9"/>
        <v>Extremo</v>
      </c>
      <c r="AE48" s="299" t="s">
        <v>386</v>
      </c>
      <c r="AF48" s="300" t="s">
        <v>852</v>
      </c>
      <c r="AG48" s="300" t="s">
        <v>853</v>
      </c>
      <c r="AH48" s="300" t="s">
        <v>854</v>
      </c>
      <c r="AI48" s="273" t="s">
        <v>855</v>
      </c>
      <c r="AJ48" s="273" t="s">
        <v>856</v>
      </c>
      <c r="AK48" s="273" t="s">
        <v>857</v>
      </c>
      <c r="AL48" s="304" t="s">
        <v>858</v>
      </c>
      <c r="AM48" s="304" t="s">
        <v>859</v>
      </c>
      <c r="AN48" s="273"/>
      <c r="AO48" s="273"/>
      <c r="AP48" s="273"/>
      <c r="AQ48" s="273"/>
      <c r="AR48" s="273"/>
      <c r="AS48" s="273"/>
      <c r="AT48" s="312" t="s">
        <v>860</v>
      </c>
      <c r="AU48" s="313" t="s">
        <v>861</v>
      </c>
      <c r="AV48" s="163">
        <v>1</v>
      </c>
      <c r="AW48" s="163">
        <v>1</v>
      </c>
      <c r="AX48" s="313" t="s">
        <v>862</v>
      </c>
      <c r="AY48" s="313" t="s">
        <v>861</v>
      </c>
      <c r="AZ48" s="163"/>
      <c r="BA48" s="163"/>
      <c r="BB48" s="171"/>
      <c r="BC48" s="389" t="s">
        <v>863</v>
      </c>
      <c r="BD48" s="324" t="s">
        <v>404</v>
      </c>
      <c r="BE48" s="389" t="s">
        <v>864</v>
      </c>
      <c r="BF48" s="329" t="s">
        <v>434</v>
      </c>
      <c r="BG48" s="181"/>
      <c r="BH48" s="181"/>
      <c r="BI48" s="183"/>
      <c r="BJ48" s="323" t="s">
        <v>865</v>
      </c>
      <c r="BK48" s="327" t="s">
        <v>558</v>
      </c>
      <c r="BL48" s="641" t="s">
        <v>402</v>
      </c>
      <c r="BM48" s="193"/>
      <c r="BN48" s="194"/>
      <c r="BO48" s="194"/>
      <c r="BP48" s="194"/>
      <c r="BQ48" s="194"/>
      <c r="BR48" s="194"/>
      <c r="BS48" s="194"/>
      <c r="BT48" s="194"/>
      <c r="BU48" s="204"/>
      <c r="BV48" s="205"/>
      <c r="BW48" s="206"/>
      <c r="BX48" s="206"/>
      <c r="BY48" s="206"/>
      <c r="BZ48" s="206"/>
      <c r="CA48" s="206"/>
      <c r="CB48" s="213"/>
      <c r="CC48" s="214"/>
      <c r="CD48" s="206"/>
      <c r="CE48" s="213"/>
      <c r="CF48" s="215"/>
      <c r="CG48" s="216"/>
      <c r="CH48" s="216"/>
      <c r="CI48" s="216"/>
      <c r="CJ48" s="216"/>
      <c r="CK48" s="216"/>
      <c r="CL48" s="216"/>
      <c r="CM48" s="216"/>
      <c r="CN48" s="225"/>
      <c r="CO48" s="226"/>
      <c r="CP48" s="227"/>
      <c r="CQ48" s="227"/>
      <c r="CR48" s="227"/>
      <c r="CS48" s="227"/>
      <c r="CT48" s="227"/>
      <c r="CU48" s="234"/>
      <c r="CV48" s="226"/>
      <c r="CW48" s="227"/>
      <c r="CX48" s="234"/>
    </row>
    <row r="49" spans="1:102" ht="151.5" hidden="1" customHeight="1">
      <c r="A49" s="582"/>
      <c r="B49" s="588"/>
      <c r="C49" s="585"/>
      <c r="D49" s="585"/>
      <c r="E49" s="590"/>
      <c r="F49" s="590"/>
      <c r="G49" s="595"/>
      <c r="H49" s="598"/>
      <c r="I49" s="601"/>
      <c r="J49" s="598"/>
      <c r="K49" s="595"/>
      <c r="L49" s="598"/>
      <c r="M49" s="595"/>
      <c r="N49" s="335" t="str">
        <f>+IF(ISTEXT(D48),"G","")</f>
        <v>G</v>
      </c>
      <c r="O49" s="337">
        <f>IF(ISTEXT(D48),1+O48,"")</f>
        <v>37</v>
      </c>
      <c r="P49" s="337" t="str">
        <f>IF(ISTEXT(D48),CONCATENATE(N49,O49),"")</f>
        <v>G37</v>
      </c>
      <c r="Q49" s="286" t="s">
        <v>866</v>
      </c>
      <c r="R49" s="337" t="str">
        <f t="shared" ref="R49:R93" si="23">IF(OR(S49="Preventivo",S49="Detectivo"),"Probabilidad",IF(S49="Correctivo","Impacto",""))</f>
        <v>Probabilidad</v>
      </c>
      <c r="S49" s="299" t="s">
        <v>417</v>
      </c>
      <c r="T49" s="299" t="s">
        <v>382</v>
      </c>
      <c r="U49" s="339" t="str">
        <f t="shared" ref="U49:U93" si="24">IF(AND(S49="Preventivo",T49="Automático"),"50%",IF(AND(S49="Preventivo",T49="Manual"),"40%",IF(AND(S49="Detectivo",T49="Automático"),"40%",IF(AND(S49="Detectivo",T49="Manual"),"30%",IF(AND(S49="Correctivo",T49="Automático"),"35%",IF(AND(S49="Correctivo",T49="Manual"),"25%",""))))))</f>
        <v>30%</v>
      </c>
      <c r="V49" s="299" t="s">
        <v>383</v>
      </c>
      <c r="W49" s="299" t="s">
        <v>384</v>
      </c>
      <c r="X49" s="299" t="s">
        <v>385</v>
      </c>
      <c r="Y49" s="613"/>
      <c r="Z49" s="618"/>
      <c r="AA49" s="598"/>
      <c r="AB49" s="618"/>
      <c r="AC49" s="598"/>
      <c r="AD49" s="618"/>
      <c r="AE49" s="299"/>
      <c r="AF49" s="300" t="s">
        <v>867</v>
      </c>
      <c r="AG49" s="364" t="s">
        <v>439</v>
      </c>
      <c r="AH49" s="364" t="s">
        <v>854</v>
      </c>
      <c r="AI49" s="273" t="s">
        <v>868</v>
      </c>
      <c r="AJ49" s="273" t="s">
        <v>869</v>
      </c>
      <c r="AK49" s="273" t="s">
        <v>857</v>
      </c>
      <c r="AL49" s="304" t="s">
        <v>858</v>
      </c>
      <c r="AM49" s="304" t="s">
        <v>870</v>
      </c>
      <c r="AN49" s="273"/>
      <c r="AO49" s="273"/>
      <c r="AP49" s="273"/>
      <c r="AQ49" s="273"/>
      <c r="AR49" s="273"/>
      <c r="AS49" s="273"/>
      <c r="AT49" s="150"/>
      <c r="AU49" s="163"/>
      <c r="AV49" s="163"/>
      <c r="AW49" s="163"/>
      <c r="AX49" s="163"/>
      <c r="AY49" s="163"/>
      <c r="AZ49" s="163"/>
      <c r="BA49" s="163"/>
      <c r="BB49" s="171"/>
      <c r="BC49" s="389" t="s">
        <v>864</v>
      </c>
      <c r="BD49" s="324" t="s">
        <v>404</v>
      </c>
      <c r="BE49" s="389" t="s">
        <v>864</v>
      </c>
      <c r="BF49" s="329" t="s">
        <v>434</v>
      </c>
      <c r="BG49" s="181"/>
      <c r="BH49" s="181"/>
      <c r="BI49" s="183"/>
      <c r="BJ49" s="323" t="s">
        <v>871</v>
      </c>
      <c r="BK49" s="327" t="s">
        <v>408</v>
      </c>
      <c r="BL49" s="642"/>
      <c r="BM49" s="193"/>
      <c r="BN49" s="194"/>
      <c r="BO49" s="194"/>
      <c r="BP49" s="194"/>
      <c r="BQ49" s="194"/>
      <c r="BR49" s="194"/>
      <c r="BS49" s="194"/>
      <c r="BT49" s="194"/>
      <c r="BU49" s="204"/>
      <c r="BV49" s="205"/>
      <c r="BW49" s="206"/>
      <c r="BX49" s="206"/>
      <c r="BY49" s="206"/>
      <c r="BZ49" s="206"/>
      <c r="CA49" s="206"/>
      <c r="CB49" s="213"/>
      <c r="CC49" s="214"/>
      <c r="CD49" s="206"/>
      <c r="CE49" s="213"/>
      <c r="CF49" s="215"/>
      <c r="CG49" s="216"/>
      <c r="CH49" s="216"/>
      <c r="CI49" s="216"/>
      <c r="CJ49" s="216"/>
      <c r="CK49" s="216"/>
      <c r="CL49" s="216"/>
      <c r="CM49" s="216"/>
      <c r="CN49" s="225"/>
      <c r="CO49" s="226"/>
      <c r="CP49" s="227"/>
      <c r="CQ49" s="227"/>
      <c r="CR49" s="227"/>
      <c r="CS49" s="227"/>
      <c r="CT49" s="227"/>
      <c r="CU49" s="234"/>
      <c r="CV49" s="226"/>
      <c r="CW49" s="227"/>
      <c r="CX49" s="234"/>
    </row>
    <row r="50" spans="1:102" ht="151.5" hidden="1" customHeight="1">
      <c r="A50" s="581">
        <v>31</v>
      </c>
      <c r="B50" s="587" t="str">
        <f>IFERROR(VLOOKUP($A50,Riesgos!$A$7:$H$84,2,FALSE),"")</f>
        <v>Gestión Documental</v>
      </c>
      <c r="C50" s="584" t="str">
        <f>IFERROR(VLOOKUP($A50,Riesgos!$A$7:$H$84,7,FALSE),"")</f>
        <v>Manipulación inadecuada de los documentos o factores ambientales y biologicos en las áreas de mobiliario y unidades de almacenamiento de archivo.</v>
      </c>
      <c r="D50" s="584" t="str">
        <f>IFERROR(VLOOKUP($A50,Riesgos!$A$7:$H$84,8,FALSE),"")</f>
        <v>Posibilidad de afectación reputacional por deterioro físico de la documentación que alberga el instituto debido a manipulación inadecuada de los documentos o por factores ambientales y biológicos en las áreas de mobiliario y unidades de almacenamiento.</v>
      </c>
      <c r="E50" s="589" t="s">
        <v>453</v>
      </c>
      <c r="F50" s="589">
        <v>365</v>
      </c>
      <c r="G50" s="594" t="str">
        <f>IF(F50&lt;=0,"",IF(F50&lt;='Listas y tablas'!$B$3,"Muy Baja",IF(F50&lt;='Listas y tablas'!$B$4,"Baja",IF(F50&lt;='Listas y tablas'!$B$5,"Media",IF(F50&lt;='Listas y tablas'!$B$6,"Alta","Muy Alta")))))</f>
        <v>Media</v>
      </c>
      <c r="H50" s="597">
        <f>IF(G50="","",IF(G50="Muy Baja",'Listas y tablas'!$C$3,IF(G50="Baja",'Listas y tablas'!$C$4,IF(G50="Media",'Listas y tablas'!$C$5,IF(G50="Alta",'Listas y tablas'!$C$6,IF(G50="Muy Alta",'Listas y tablas'!$C$7,))))))</f>
        <v>0.6</v>
      </c>
      <c r="I50" s="600" t="s">
        <v>423</v>
      </c>
      <c r="J50" s="597" t="str">
        <f>IF(NOT(ISERROR(MATCH(I50,'Tabla Impacto'!$B$221:$B$223,0))),'Tabla Impacto'!$F$223&amp;"Por favor no seleccionar los criterios de impacto(Afectación Económica o presupuestal y Pérdida Reputacional)",I50)</f>
        <v xml:space="preserve">     El riesgo afecta la imagen de la entidad con algunos usuarios de relevancia frente al logro de los objetivos</v>
      </c>
      <c r="K50" s="594" t="str">
        <f>IF(OR(J50='Tabla Impacto'!$C$11,J50='Tabla Impacto'!$D$11),"Leve",IF(OR(J50='Tabla Impacto'!$C$12,J50='Tabla Impacto'!$D$12),"Menor",IF(OR(J50='Tabla Impacto'!$C$13,J50='Tabla Impacto'!$D$13),"Moderado",IF(OR(J50='Tabla Impacto'!$C$14,J50='Tabla Impacto'!$D$14),"Mayor",IF(OR(J50='Tabla Impacto'!$C$15,J50='Tabla Impacto'!$D$15),"Catastrófico","")))))</f>
        <v>Moderado</v>
      </c>
      <c r="L50" s="597">
        <f>IF(K50="","",IF(K50="Leve",'Listas y tablas'!$F$3,IF(K50="Menor",'Listas y tablas'!$F$4,IF(K50="Moderado",'Listas y tablas'!$F$5,IF(K50="Mayor",'Listas y tablas'!$F$6,IF(K50="Catastrófico",'Listas y tablas'!$F$7,))))))</f>
        <v>0.6</v>
      </c>
      <c r="M50" s="594" t="str">
        <f t="shared" ref="M50:M93" si="25">IF(OR(AND(G50="Muy Baja",K50="Leve"),AND(G50="Muy Baja",K50="Menor"),AND(G50="Baja",K50="Leve")),"Bajo",IF(OR(AND(G50="Muy baja",K50="Moderado"),AND(G50="Baja",K50="Menor"),AND(G50="Baja",K50="Moderado"),AND(G50="Media",K50="Leve"),AND(G50="Media",K50="Menor"),AND(G50="Media",K50="Moderado"),AND(G50="Alta",K50="Leve"),AND(G50="Alta",K50="Menor")),"Moderado",IF(OR(AND(G50="Muy Baja",K50="Mayor"),AND(G50="Baja",K50="Mayor"),AND(G50="Media",K50="Mayor"),AND(G50="Alta",K50="Moderado"),AND(G50="Alta",K50="Mayor"),AND(G50="Muy Alta",K50="Leve"),AND(G50="Muy Alta",K50="Menor"),AND(G50="Muy Alta",K50="Moderado"),AND(G50="Muy Alta",K50="Mayor")),"Alto",IF(OR(AND(G50="Muy Baja",K50="Catastrófico"),AND(G50="Baja",K50="Catastrófico"),AND(G50="Media",K50="Catastrófico"),AND(G50="Alta",K50="Catastrófico"),AND(G50="Muy Alta",K50="Catastrófico")),"Extremo",""))))</f>
        <v>Moderado</v>
      </c>
      <c r="N50" s="335" t="str">
        <f t="shared" ref="N50:N93" si="26">+IF(ISTEXT(D50),"G","")</f>
        <v>G</v>
      </c>
      <c r="O50" s="337">
        <f t="shared" ref="O50:O93" si="27">IF(ISTEXT(D50),1+O49,"")</f>
        <v>38</v>
      </c>
      <c r="P50" s="337" t="str">
        <f t="shared" ref="P50:P93" si="28">IF(ISTEXT(D50),CONCATENATE(N50,O50),"")</f>
        <v>G38</v>
      </c>
      <c r="Q50" s="286" t="s">
        <v>872</v>
      </c>
      <c r="R50" s="337" t="str">
        <f t="shared" si="23"/>
        <v>Probabilidad</v>
      </c>
      <c r="S50" s="299" t="s">
        <v>381</v>
      </c>
      <c r="T50" s="299" t="s">
        <v>382</v>
      </c>
      <c r="U50" s="339" t="str">
        <f t="shared" si="24"/>
        <v>40%</v>
      </c>
      <c r="V50" s="299" t="s">
        <v>383</v>
      </c>
      <c r="W50" s="299" t="s">
        <v>384</v>
      </c>
      <c r="X50" s="299" t="s">
        <v>385</v>
      </c>
      <c r="Y50" s="612">
        <f t="shared" ref="Y50:Y93" si="29">IF(A49=A50,IFERROR(IF(AND(R49="Probabilidad",R50="Probabilidad"),(AA49-(+AA49*U50)),IF(R50="Probabilidad",(H49-(+H49*U50)),IF(R50="Impacto",AA49,""))),""),IFERROR(IF(R50="Probabilidad",(H50-(+H50*U50)),IF(R50="Impacto",K50,"")),""))</f>
        <v>0.36</v>
      </c>
      <c r="Z50" s="617" t="str">
        <f>IFERROR(IF(Y50="","",IF(Y50&lt;='Listas y tablas'!$L$3,"Muy Baja",IF(Y50&lt;='Listas y tablas'!$L$4,"Baja",IF(Y50&lt;='Listas y tablas'!$L$5,"Media",IF(Y50&lt;='Listas y tablas'!$L$6,"Alta","Muy Alta"))))),"")</f>
        <v>Baja</v>
      </c>
      <c r="AA50" s="597">
        <f t="shared" ref="AA50:AA93" si="30">+Y50</f>
        <v>0.36</v>
      </c>
      <c r="AB50" s="617" t="str">
        <f>IFERROR(IF(AC50="","",IF(AC50&lt;='Listas y tablas'!$O$3,"Leve",IF(AC50&lt;='Listas y tablas'!$O$4,"Menor",IF(AC50&lt;='Listas y tablas'!$O$5,"Moderado",IF(AC50&lt;='Listas y tablas'!$O$6,"Mayor","Catastrófico"))))),"")</f>
        <v>Catastrófico</v>
      </c>
      <c r="AC50" s="597">
        <f t="shared" ref="AC50:AC93" si="31">IF(A49=A50,IFERROR(IF(AND(R49="Impacto",R50="Impacto"),(AC49-(+AC49*U50)),IF(R50="Impacto",($F49-(+$F49*U50)),IF(R50="Probabilidad",AC49,""))),""),IFERROR(IF(R50="Impacto",(F50-(+F50*U50)),IF(R50="Probabilidad",F50,"")),""))</f>
        <v>365</v>
      </c>
      <c r="AD50" s="617" t="str">
        <f t="shared" ref="AD50:AD93" si="32">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Extremo</v>
      </c>
      <c r="AE50" s="609" t="s">
        <v>386</v>
      </c>
      <c r="AF50" s="300" t="s">
        <v>873</v>
      </c>
      <c r="AG50" s="364"/>
      <c r="AH50" s="364"/>
      <c r="AI50" s="273" t="s">
        <v>874</v>
      </c>
      <c r="AJ50" s="273" t="s">
        <v>875</v>
      </c>
      <c r="AK50" s="273" t="s">
        <v>857</v>
      </c>
      <c r="AL50" s="304">
        <v>44927</v>
      </c>
      <c r="AM50" s="304">
        <v>45260</v>
      </c>
      <c r="AN50" s="273"/>
      <c r="AO50" s="273"/>
      <c r="AP50" s="273"/>
      <c r="AQ50" s="273"/>
      <c r="AR50" s="273"/>
      <c r="AS50" s="273"/>
      <c r="AT50" s="368" t="s">
        <v>876</v>
      </c>
      <c r="AU50" s="313" t="s">
        <v>877</v>
      </c>
      <c r="AV50" s="163">
        <v>1</v>
      </c>
      <c r="AW50" s="163">
        <v>1</v>
      </c>
      <c r="AX50" s="312" t="s">
        <v>878</v>
      </c>
      <c r="AY50" s="313" t="s">
        <v>877</v>
      </c>
      <c r="AZ50" s="163"/>
      <c r="BA50" s="163"/>
      <c r="BB50" s="171"/>
      <c r="BC50" s="389" t="s">
        <v>864</v>
      </c>
      <c r="BD50" s="324" t="s">
        <v>404</v>
      </c>
      <c r="BE50" s="389" t="s">
        <v>864</v>
      </c>
      <c r="BF50" s="329" t="s">
        <v>434</v>
      </c>
      <c r="BG50" s="181"/>
      <c r="BH50" s="181"/>
      <c r="BI50" s="183"/>
      <c r="BJ50" s="323" t="s">
        <v>879</v>
      </c>
      <c r="BK50" s="327" t="s">
        <v>408</v>
      </c>
      <c r="BL50" s="641" t="s">
        <v>402</v>
      </c>
      <c r="BM50" s="193"/>
      <c r="BN50" s="194"/>
      <c r="BO50" s="194"/>
      <c r="BP50" s="194"/>
      <c r="BQ50" s="194"/>
      <c r="BR50" s="194"/>
      <c r="BS50" s="194"/>
      <c r="BT50" s="194"/>
      <c r="BU50" s="204"/>
      <c r="BV50" s="205"/>
      <c r="BW50" s="206"/>
      <c r="BX50" s="206"/>
      <c r="BY50" s="206"/>
      <c r="BZ50" s="206"/>
      <c r="CA50" s="206"/>
      <c r="CB50" s="213"/>
      <c r="CC50" s="214"/>
      <c r="CD50" s="206"/>
      <c r="CE50" s="213"/>
      <c r="CF50" s="215"/>
      <c r="CG50" s="216"/>
      <c r="CH50" s="216"/>
      <c r="CI50" s="216"/>
      <c r="CJ50" s="216"/>
      <c r="CK50" s="216"/>
      <c r="CL50" s="216"/>
      <c r="CM50" s="216"/>
      <c r="CN50" s="225"/>
      <c r="CO50" s="226"/>
      <c r="CP50" s="227"/>
      <c r="CQ50" s="227"/>
      <c r="CR50" s="227"/>
      <c r="CS50" s="227"/>
      <c r="CT50" s="227"/>
      <c r="CU50" s="234"/>
      <c r="CV50" s="226"/>
      <c r="CW50" s="227"/>
      <c r="CX50" s="234"/>
    </row>
    <row r="51" spans="1:102" ht="151.5" hidden="1" customHeight="1">
      <c r="A51" s="582"/>
      <c r="B51" s="588"/>
      <c r="C51" s="585"/>
      <c r="D51" s="585"/>
      <c r="E51" s="590"/>
      <c r="F51" s="590"/>
      <c r="G51" s="595"/>
      <c r="H51" s="598"/>
      <c r="I51" s="601"/>
      <c r="J51" s="598"/>
      <c r="K51" s="595"/>
      <c r="L51" s="598"/>
      <c r="M51" s="595"/>
      <c r="N51" s="335" t="str">
        <f>+IF(ISTEXT(D50),"G","")</f>
        <v>G</v>
      </c>
      <c r="O51" s="337">
        <f>IF(ISTEXT(D50),1+O50,"")</f>
        <v>39</v>
      </c>
      <c r="P51" s="337" t="str">
        <f>IF(ISTEXT(D50),CONCATENATE(N51,O51),"")</f>
        <v>G39</v>
      </c>
      <c r="Q51" s="286" t="s">
        <v>880</v>
      </c>
      <c r="R51" s="337" t="str">
        <f t="shared" si="23"/>
        <v>Probabilidad</v>
      </c>
      <c r="S51" s="299" t="s">
        <v>381</v>
      </c>
      <c r="T51" s="299" t="s">
        <v>382</v>
      </c>
      <c r="U51" s="339" t="str">
        <f t="shared" si="24"/>
        <v>40%</v>
      </c>
      <c r="V51" s="299" t="s">
        <v>383</v>
      </c>
      <c r="W51" s="299" t="s">
        <v>384</v>
      </c>
      <c r="X51" s="299" t="s">
        <v>385</v>
      </c>
      <c r="Y51" s="613"/>
      <c r="Z51" s="618"/>
      <c r="AA51" s="598"/>
      <c r="AB51" s="618"/>
      <c r="AC51" s="598"/>
      <c r="AD51" s="618"/>
      <c r="AE51" s="611"/>
      <c r="AF51" s="300" t="s">
        <v>881</v>
      </c>
      <c r="AG51" s="300"/>
      <c r="AH51" s="300"/>
      <c r="AI51" s="273"/>
      <c r="AJ51" s="273"/>
      <c r="AK51" s="273"/>
      <c r="AL51" s="304"/>
      <c r="AM51" s="304"/>
      <c r="AN51" s="273"/>
      <c r="AO51" s="273"/>
      <c r="AP51" s="273"/>
      <c r="AQ51" s="273"/>
      <c r="AR51" s="273"/>
      <c r="AS51" s="273"/>
      <c r="AT51" s="150"/>
      <c r="AU51" s="163"/>
      <c r="AV51" s="163"/>
      <c r="AW51" s="163"/>
      <c r="AX51" s="163"/>
      <c r="AY51" s="163"/>
      <c r="AZ51" s="163"/>
      <c r="BA51" s="163"/>
      <c r="BB51" s="171"/>
      <c r="BC51" s="389" t="s">
        <v>864</v>
      </c>
      <c r="BD51" s="324" t="s">
        <v>404</v>
      </c>
      <c r="BE51" s="181"/>
      <c r="BF51" s="329"/>
      <c r="BG51" s="181"/>
      <c r="BH51" s="181"/>
      <c r="BI51" s="183"/>
      <c r="BJ51" s="323" t="s">
        <v>882</v>
      </c>
      <c r="BK51" s="327" t="s">
        <v>408</v>
      </c>
      <c r="BL51" s="642"/>
      <c r="BM51" s="193"/>
      <c r="BN51" s="194"/>
      <c r="BO51" s="194"/>
      <c r="BP51" s="194"/>
      <c r="BQ51" s="194"/>
      <c r="BR51" s="194"/>
      <c r="BS51" s="194"/>
      <c r="BT51" s="194"/>
      <c r="BU51" s="204"/>
      <c r="BV51" s="205"/>
      <c r="BW51" s="206"/>
      <c r="BX51" s="206"/>
      <c r="BY51" s="206"/>
      <c r="BZ51" s="206"/>
      <c r="CA51" s="206"/>
      <c r="CB51" s="213"/>
      <c r="CC51" s="214"/>
      <c r="CD51" s="206"/>
      <c r="CE51" s="213"/>
      <c r="CF51" s="215"/>
      <c r="CG51" s="216"/>
      <c r="CH51" s="216"/>
      <c r="CI51" s="216"/>
      <c r="CJ51" s="216"/>
      <c r="CK51" s="216"/>
      <c r="CL51" s="216"/>
      <c r="CM51" s="216"/>
      <c r="CN51" s="225"/>
      <c r="CO51" s="226"/>
      <c r="CP51" s="227"/>
      <c r="CQ51" s="227"/>
      <c r="CR51" s="227"/>
      <c r="CS51" s="227"/>
      <c r="CT51" s="227"/>
      <c r="CU51" s="234"/>
      <c r="CV51" s="226"/>
      <c r="CW51" s="227"/>
      <c r="CX51" s="234"/>
    </row>
    <row r="52" spans="1:102" ht="151.5" hidden="1" customHeight="1">
      <c r="A52" s="271">
        <v>33</v>
      </c>
      <c r="B52" s="272" t="str">
        <f>IFERROR(VLOOKUP($A52,Riesgos!$A$7:$H$84,2,FALSE),"")</f>
        <v>Gestión Documental</v>
      </c>
      <c r="C52" s="272" t="str">
        <f>IFERROR(VLOOKUP($A52,Riesgos!$A$7:$H$84,7,FALSE),"")</f>
        <v xml:space="preserve">Debilidad en la aplicación de lineamientos archivisticos por parte de los colaboradores del area de correspondencia </v>
      </c>
      <c r="D52" s="272" t="str">
        <f>IFERROR(VLOOKUP($A52,Riesgos!$A$7:$H$84,8,FALSE),"")</f>
        <v>Posibilidad de afectación reputacional debido a la asignación y descripción de radicados de entrada y de salida de forma erronea por parte de la oficina de correspondencia.</v>
      </c>
      <c r="E52" s="273" t="s">
        <v>453</v>
      </c>
      <c r="F52" s="273">
        <v>365</v>
      </c>
      <c r="G52" s="335" t="str">
        <f>IF(F52&lt;=0,"",IF(F52&lt;='Listas y tablas'!$B$3,"Muy Baja",IF(F52&lt;='Listas y tablas'!$B$4,"Baja",IF(F52&lt;='Listas y tablas'!$B$5,"Media",IF(F52&lt;='Listas y tablas'!$B$6,"Alta","Muy Alta")))))</f>
        <v>Media</v>
      </c>
      <c r="H52" s="336">
        <f>IF(G52="","",IF(G52="Muy Baja",'Listas y tablas'!$C$3,IF(G52="Baja",'Listas y tablas'!$C$4,IF(G52="Media",'Listas y tablas'!$C$5,IF(G52="Alta",'Listas y tablas'!$C$6,IF(G52="Muy Alta",'Listas y tablas'!$C$7,))))))</f>
        <v>0.6</v>
      </c>
      <c r="I52" s="338" t="s">
        <v>423</v>
      </c>
      <c r="J52" s="336" t="str">
        <f>IF(NOT(ISERROR(MATCH(I52,'Tabla Impacto'!$B$221:$B$223,0))),'Tabla Impacto'!$F$223&amp;"Por favor no seleccionar los criterios de impacto(Afectación Económica o presupuestal y Pérdida Reputacional)",I52)</f>
        <v xml:space="preserve">     El riesgo afecta la imagen de la entidad con algunos usuarios de relevancia frente al logro de los objetivos</v>
      </c>
      <c r="K52" s="335" t="str">
        <f>IF(OR(J52='Tabla Impacto'!$C$11,J52='Tabla Impacto'!$D$11),"Leve",IF(OR(J52='Tabla Impacto'!$C$12,J52='Tabla Impacto'!$D$12),"Menor",IF(OR(J52='Tabla Impacto'!$C$13,J52='Tabla Impacto'!$D$13),"Moderado",IF(OR(J52='Tabla Impacto'!$C$14,J52='Tabla Impacto'!$D$14),"Mayor",IF(OR(J52='Tabla Impacto'!$C$15,J52='Tabla Impacto'!$D$15),"Catastrófico","")))))</f>
        <v>Moderado</v>
      </c>
      <c r="L52" s="336">
        <f>IF(K52="","",IF(K52="Leve",'Listas y tablas'!$F$3,IF(K52="Menor",'Listas y tablas'!$F$4,IF(K52="Moderado",'Listas y tablas'!$F$5,IF(K52="Mayor",'Listas y tablas'!$F$6,IF(K52="Catastrófico",'Listas y tablas'!$F$7,))))))</f>
        <v>0.6</v>
      </c>
      <c r="M52" s="335" t="str">
        <f t="shared" si="25"/>
        <v>Moderado</v>
      </c>
      <c r="N52" s="335" t="str">
        <f t="shared" si="26"/>
        <v>G</v>
      </c>
      <c r="O52" s="337">
        <f t="shared" si="27"/>
        <v>40</v>
      </c>
      <c r="P52" s="337" t="str">
        <f t="shared" si="28"/>
        <v>G40</v>
      </c>
      <c r="Q52" s="286" t="s">
        <v>883</v>
      </c>
      <c r="R52" s="337" t="str">
        <f t="shared" si="23"/>
        <v>Probabilidad</v>
      </c>
      <c r="S52" s="299" t="s">
        <v>381</v>
      </c>
      <c r="T52" s="299" t="s">
        <v>382</v>
      </c>
      <c r="U52" s="339" t="str">
        <f t="shared" si="24"/>
        <v>40%</v>
      </c>
      <c r="V52" s="299" t="s">
        <v>383</v>
      </c>
      <c r="W52" s="299" t="s">
        <v>384</v>
      </c>
      <c r="X52" s="299" t="s">
        <v>385</v>
      </c>
      <c r="Y52" s="346">
        <f t="shared" si="29"/>
        <v>0.36</v>
      </c>
      <c r="Z52" s="154" t="str">
        <f>IFERROR(IF(Y52="","",IF(Y52&lt;='Listas y tablas'!$L$3,"Muy Baja",IF(Y52&lt;='Listas y tablas'!$L$4,"Baja",IF(Y52&lt;='Listas y tablas'!$L$5,"Media",IF(Y52&lt;='Listas y tablas'!$L$6,"Alta","Muy Alta"))))),"")</f>
        <v>Baja</v>
      </c>
      <c r="AA52" s="339">
        <f t="shared" si="30"/>
        <v>0.36</v>
      </c>
      <c r="AB52" s="154" t="str">
        <f>IFERROR(IF(AC52="","",IF(AC52&lt;='Listas y tablas'!$O$3,"Leve",IF(AC52&lt;='Listas y tablas'!$O$4,"Menor",IF(AC52&lt;='Listas y tablas'!$O$5,"Moderado",IF(AC52&lt;='Listas y tablas'!$O$6,"Mayor","Catastrófico"))))),"")</f>
        <v>Catastrófico</v>
      </c>
      <c r="AC52" s="339">
        <f t="shared" si="31"/>
        <v>365</v>
      </c>
      <c r="AD52" s="154" t="str">
        <f t="shared" si="32"/>
        <v>Extremo</v>
      </c>
      <c r="AE52" s="299" t="s">
        <v>386</v>
      </c>
      <c r="AF52" s="300" t="s">
        <v>884</v>
      </c>
      <c r="AG52" s="300" t="s">
        <v>577</v>
      </c>
      <c r="AH52" s="300" t="s">
        <v>885</v>
      </c>
      <c r="AI52" s="273" t="s">
        <v>886</v>
      </c>
      <c r="AJ52" s="273" t="s">
        <v>887</v>
      </c>
      <c r="AK52" s="273" t="s">
        <v>857</v>
      </c>
      <c r="AL52" s="304">
        <v>44958</v>
      </c>
      <c r="AM52" s="304">
        <v>44926</v>
      </c>
      <c r="AN52" s="273"/>
      <c r="AO52" s="273"/>
      <c r="AP52" s="273"/>
      <c r="AQ52" s="273"/>
      <c r="AR52" s="273"/>
      <c r="AS52" s="273"/>
      <c r="AT52" s="312" t="s">
        <v>888</v>
      </c>
      <c r="AU52" s="313" t="s">
        <v>889</v>
      </c>
      <c r="AV52" s="163">
        <v>1</v>
      </c>
      <c r="AW52" s="163">
        <v>1</v>
      </c>
      <c r="AX52" s="313" t="s">
        <v>890</v>
      </c>
      <c r="AY52" s="313" t="s">
        <v>891</v>
      </c>
      <c r="AZ52" s="163"/>
      <c r="BA52" s="163"/>
      <c r="BB52" s="171"/>
      <c r="BC52" s="323" t="s">
        <v>892</v>
      </c>
      <c r="BD52" s="324" t="s">
        <v>414</v>
      </c>
      <c r="BE52" s="324" t="s">
        <v>893</v>
      </c>
      <c r="BF52" s="329" t="s">
        <v>894</v>
      </c>
      <c r="BG52" s="181"/>
      <c r="BH52" s="181"/>
      <c r="BI52" s="183"/>
      <c r="BJ52" s="323" t="s">
        <v>895</v>
      </c>
      <c r="BK52" s="327" t="s">
        <v>408</v>
      </c>
      <c r="BL52" s="192" t="s">
        <v>402</v>
      </c>
      <c r="BM52" s="193"/>
      <c r="BN52" s="194"/>
      <c r="BO52" s="194"/>
      <c r="BP52" s="194"/>
      <c r="BQ52" s="194"/>
      <c r="BR52" s="194"/>
      <c r="BS52" s="194"/>
      <c r="BT52" s="194"/>
      <c r="BU52" s="204"/>
      <c r="BV52" s="205"/>
      <c r="BW52" s="206"/>
      <c r="BX52" s="206"/>
      <c r="BY52" s="206"/>
      <c r="BZ52" s="206"/>
      <c r="CA52" s="206"/>
      <c r="CB52" s="213"/>
      <c r="CC52" s="214"/>
      <c r="CD52" s="206"/>
      <c r="CE52" s="213"/>
      <c r="CF52" s="215"/>
      <c r="CG52" s="216"/>
      <c r="CH52" s="216"/>
      <c r="CI52" s="216"/>
      <c r="CJ52" s="216"/>
      <c r="CK52" s="216"/>
      <c r="CL52" s="216"/>
      <c r="CM52" s="216"/>
      <c r="CN52" s="225"/>
      <c r="CO52" s="226"/>
      <c r="CP52" s="227"/>
      <c r="CQ52" s="227"/>
      <c r="CR52" s="227"/>
      <c r="CS52" s="227"/>
      <c r="CT52" s="227"/>
      <c r="CU52" s="234"/>
      <c r="CV52" s="226"/>
      <c r="CW52" s="227"/>
      <c r="CX52" s="234"/>
    </row>
    <row r="53" spans="1:102" ht="151.5" hidden="1" customHeight="1">
      <c r="A53" s="271">
        <v>34</v>
      </c>
      <c r="B53" s="272" t="str">
        <f>IFERROR(VLOOKUP($A53,Riesgos!$A$7:$H$84,2,FALSE),"")</f>
        <v>Gestión Financiera</v>
      </c>
      <c r="C53" s="272" t="str">
        <f>IFERROR(VLOOKUP($A53,Riesgos!$A$7:$H$84,7,FALSE),"")</f>
        <v xml:space="preserve">Debido a soportes con información errada, interpretación del analista de los datos o digitalización errada en el aplicativo. </v>
      </c>
      <c r="D53" s="272" t="str">
        <f>IFERROR(VLOOKUP($A53,Riesgos!$A$7:$H$84,8,FALSE),"")</f>
        <v xml:space="preserve">Posibilidad de afectación reputacional por subvaluación y/o  sobrevaluación de los estados financieros debido a soportes con información errada, interpretación del analista de los datos o digitalización errada en el aplicativo. </v>
      </c>
      <c r="E53" s="273" t="s">
        <v>574</v>
      </c>
      <c r="F53" s="273">
        <v>12</v>
      </c>
      <c r="G53" s="335" t="str">
        <f>IF(F53&lt;=0,"",IF(F53&lt;='Listas y tablas'!$B$3,"Muy Baja",IF(F53&lt;='Listas y tablas'!$B$4,"Baja",IF(F53&lt;='Listas y tablas'!$B$5,"Media",IF(F53&lt;='Listas y tablas'!$B$6,"Alta","Muy Alta")))))</f>
        <v>Baja</v>
      </c>
      <c r="H53" s="336">
        <f>IF(G53="","",IF(G53="Muy Baja",'Listas y tablas'!$C$3,IF(G53="Baja",'Listas y tablas'!$C$4,IF(G53="Media",'Listas y tablas'!$C$5,IF(G53="Alta",'Listas y tablas'!$C$6,IF(G53="Muy Alta",'Listas y tablas'!$C$7,))))))</f>
        <v>0.4</v>
      </c>
      <c r="I53" s="338" t="s">
        <v>811</v>
      </c>
      <c r="J53" s="336" t="str">
        <f>IF(NOT(ISERROR(MATCH(I53,'Tabla Impacto'!$B$221:$B$223,0))),'Tabla Impacto'!$F$223&amp;"Por favor no seleccionar los criterios de impacto(Afectación Económica o presupuestal y Pérdida Reputacional)",I53)</f>
        <v xml:space="preserve">     Entre 10 y 50 SMLMV </v>
      </c>
      <c r="K53" s="335" t="str">
        <f>IF(OR(J53='Tabla Impacto'!$C$11,J53='Tabla Impacto'!$D$11),"Leve",IF(OR(J53='Tabla Impacto'!$C$12,J53='Tabla Impacto'!$D$12),"Menor",IF(OR(J53='Tabla Impacto'!$C$13,J53='Tabla Impacto'!$D$13),"Moderado",IF(OR(J53='Tabla Impacto'!$C$14,J53='Tabla Impacto'!$D$14),"Mayor",IF(OR(J53='Tabla Impacto'!$C$15,J53='Tabla Impacto'!$D$15),"Catastrófico","")))))</f>
        <v>Menor</v>
      </c>
      <c r="L53" s="336">
        <f>IF(K53="","",IF(K53="Leve",'Listas y tablas'!$F$3,IF(K53="Menor",'Listas y tablas'!$F$4,IF(K53="Moderado",'Listas y tablas'!$F$5,IF(K53="Mayor",'Listas y tablas'!$F$6,IF(K53="Catastrófico",'Listas y tablas'!$F$7,))))))</f>
        <v>0.4</v>
      </c>
      <c r="M53" s="335" t="str">
        <f t="shared" si="25"/>
        <v>Moderado</v>
      </c>
      <c r="N53" s="335" t="str">
        <f t="shared" si="26"/>
        <v>G</v>
      </c>
      <c r="O53" s="337">
        <f t="shared" si="27"/>
        <v>41</v>
      </c>
      <c r="P53" s="337" t="str">
        <f t="shared" si="28"/>
        <v>G41</v>
      </c>
      <c r="Q53" s="286" t="s">
        <v>896</v>
      </c>
      <c r="R53" s="337" t="str">
        <f t="shared" si="23"/>
        <v>Probabilidad</v>
      </c>
      <c r="S53" s="299" t="s">
        <v>381</v>
      </c>
      <c r="T53" s="299" t="s">
        <v>382</v>
      </c>
      <c r="U53" s="339" t="str">
        <f t="shared" si="24"/>
        <v>40%</v>
      </c>
      <c r="V53" s="299" t="s">
        <v>383</v>
      </c>
      <c r="W53" s="299" t="s">
        <v>384</v>
      </c>
      <c r="X53" s="299" t="s">
        <v>385</v>
      </c>
      <c r="Y53" s="346">
        <f t="shared" si="29"/>
        <v>0.24</v>
      </c>
      <c r="Z53" s="154" t="str">
        <f>IFERROR(IF(Y53="","",IF(Y53&lt;='Listas y tablas'!$L$3,"Muy Baja",IF(Y53&lt;='Listas y tablas'!$L$4,"Baja",IF(Y53&lt;='Listas y tablas'!$L$5,"Media",IF(Y53&lt;='Listas y tablas'!$L$6,"Alta","Muy Alta"))))),"")</f>
        <v>Baja</v>
      </c>
      <c r="AA53" s="339">
        <f t="shared" si="30"/>
        <v>0.24</v>
      </c>
      <c r="AB53" s="154" t="str">
        <f>IFERROR(IF(AC53="","",IF(AC53&lt;='Listas y tablas'!$O$3,"Leve",IF(AC53&lt;='Listas y tablas'!$O$4,"Menor",IF(AC53&lt;='Listas y tablas'!$O$5,"Moderado",IF(AC53&lt;='Listas y tablas'!$O$6,"Mayor","Catastrófico"))))),"")</f>
        <v>Catastrófico</v>
      </c>
      <c r="AC53" s="339">
        <f t="shared" si="31"/>
        <v>12</v>
      </c>
      <c r="AD53" s="154" t="str">
        <f t="shared" si="32"/>
        <v>Extremo</v>
      </c>
      <c r="AE53" s="299" t="s">
        <v>386</v>
      </c>
      <c r="AF53" s="300" t="s">
        <v>897</v>
      </c>
      <c r="AG53" s="300" t="s">
        <v>388</v>
      </c>
      <c r="AH53" s="300" t="s">
        <v>898</v>
      </c>
      <c r="AI53" s="273" t="s">
        <v>899</v>
      </c>
      <c r="AJ53" s="273" t="s">
        <v>900</v>
      </c>
      <c r="AK53" s="273" t="s">
        <v>901</v>
      </c>
      <c r="AL53" s="304">
        <v>44927</v>
      </c>
      <c r="AM53" s="304">
        <v>45291</v>
      </c>
      <c r="AN53" s="273"/>
      <c r="AO53" s="273"/>
      <c r="AP53" s="273"/>
      <c r="AQ53" s="273"/>
      <c r="AR53" s="273"/>
      <c r="AS53" s="273"/>
      <c r="AT53" s="273" t="s">
        <v>902</v>
      </c>
      <c r="AU53" s="273" t="s">
        <v>903</v>
      </c>
      <c r="AV53" s="163"/>
      <c r="AW53" s="163"/>
      <c r="AX53" s="163"/>
      <c r="AY53" s="163"/>
      <c r="AZ53" s="163" t="s">
        <v>402</v>
      </c>
      <c r="BA53" s="163" t="s">
        <v>402</v>
      </c>
      <c r="BB53" s="171"/>
      <c r="BC53" s="323" t="s">
        <v>904</v>
      </c>
      <c r="BD53" s="324" t="s">
        <v>404</v>
      </c>
      <c r="BE53" s="324"/>
      <c r="BF53" s="329"/>
      <c r="BG53" s="181"/>
      <c r="BH53" s="181"/>
      <c r="BI53" s="183"/>
      <c r="BJ53" s="323" t="s">
        <v>905</v>
      </c>
      <c r="BK53" s="327" t="s">
        <v>408</v>
      </c>
      <c r="BL53" s="192" t="s">
        <v>402</v>
      </c>
      <c r="BM53" s="193"/>
      <c r="BN53" s="194"/>
      <c r="BO53" s="194"/>
      <c r="BP53" s="194"/>
      <c r="BQ53" s="194"/>
      <c r="BR53" s="194"/>
      <c r="BS53" s="194"/>
      <c r="BT53" s="194"/>
      <c r="BU53" s="204"/>
      <c r="BV53" s="205"/>
      <c r="BW53" s="206"/>
      <c r="BX53" s="206"/>
      <c r="BY53" s="206"/>
      <c r="BZ53" s="206"/>
      <c r="CA53" s="206"/>
      <c r="CB53" s="213"/>
      <c r="CC53" s="214"/>
      <c r="CD53" s="206"/>
      <c r="CE53" s="213"/>
      <c r="CF53" s="215"/>
      <c r="CG53" s="216"/>
      <c r="CH53" s="216"/>
      <c r="CI53" s="216"/>
      <c r="CJ53" s="216"/>
      <c r="CK53" s="216"/>
      <c r="CL53" s="216"/>
      <c r="CM53" s="216"/>
      <c r="CN53" s="225"/>
      <c r="CO53" s="226"/>
      <c r="CP53" s="227"/>
      <c r="CQ53" s="227"/>
      <c r="CR53" s="227"/>
      <c r="CS53" s="227"/>
      <c r="CT53" s="227"/>
      <c r="CU53" s="234"/>
      <c r="CV53" s="226"/>
      <c r="CW53" s="227"/>
      <c r="CX53" s="234"/>
    </row>
    <row r="54" spans="1:102" ht="188.25" hidden="1" customHeight="1">
      <c r="A54" s="581">
        <v>35</v>
      </c>
      <c r="B54" s="584" t="str">
        <f>IFERROR(VLOOKUP($A54,Riesgos!$A$7:$H$84,2,FALSE),"")</f>
        <v>Gestión Financiera</v>
      </c>
      <c r="C54" s="584" t="str">
        <f>IFERROR(VLOOKUP($A54,Riesgos!$A$7:$H$84,7,FALSE),"")</f>
        <v xml:space="preserve">Equivocación involuntaria en el registro de datos en la expedición del Certificado de Disponibilidad Presupuestal
Errores en los datos presupuestales registrados en el certificado de viabilidad para ejecución de recursos de inversión
Debilidades en el control de verificación de los datos financieros registrados en el Certificados de Registros Presupuestal (CRP) expedidos </v>
      </c>
      <c r="D54" s="584" t="str">
        <f>IFERROR(VLOOKUP($A54,Riesgos!$A$7:$H$84,8,FALSE),"")</f>
        <v>Posibilidad de afectación económica por errores de los datos relacionados en los Certificados de Disponibilidad Presupuestal-CDP o Certificados de Registro Presupuestal expedidos,  debido a equivocación involuntaria en el registro de los datos, errores en el certificado de viabilidad para ejecución de recursos de inversión, en la solicitud de Certificado de registro Presupuestal, así como debilidades en la verificación de los datos financieros registrados en el CDP y CRP.</v>
      </c>
      <c r="E54" s="589" t="s">
        <v>574</v>
      </c>
      <c r="F54" s="589">
        <v>2000</v>
      </c>
      <c r="G54" s="594" t="str">
        <f>IF(F54&lt;=0,"",IF(F54&lt;='Listas y tablas'!$B$3,"Muy Baja",IF(F54&lt;='Listas y tablas'!$B$4,"Baja",IF(F54&lt;='Listas y tablas'!$B$5,"Media",IF(F54&lt;='Listas y tablas'!$B$6,"Alta","Muy Alta")))))</f>
        <v>Alta</v>
      </c>
      <c r="H54" s="597">
        <f>IF(G54="","",IF(G54="Muy Baja",'Listas y tablas'!$C$3,IF(G54="Baja",'Listas y tablas'!$C$4,IF(G54="Media",'Listas y tablas'!$C$5,IF(G54="Alta",'Listas y tablas'!$C$6,IF(G54="Muy Alta",'Listas y tablas'!$C$7,))))))</f>
        <v>0.8</v>
      </c>
      <c r="I54" s="600" t="s">
        <v>721</v>
      </c>
      <c r="J54" s="597" t="str">
        <f>IF(NOT(ISERROR(MATCH(I54,'Tabla Impacto'!$B$221:$B$223,0))),'Tabla Impacto'!$F$223&amp;"Por favor no seleccionar los criterios de impacto(Afectación Económica o presupuestal y Pérdida Reputacional)",I54)</f>
        <v xml:space="preserve">     Entre 50 y 100 SMLMV </v>
      </c>
      <c r="K54" s="594" t="str">
        <f>IF(OR(J54='Tabla Impacto'!$C$11,J54='Tabla Impacto'!$D$11),"Leve",IF(OR(J54='Tabla Impacto'!$C$12,J54='Tabla Impacto'!$D$12),"Menor",IF(OR(J54='Tabla Impacto'!$C$13,J54='Tabla Impacto'!$D$13),"Moderado",IF(OR(J54='Tabla Impacto'!$C$14,J54='Tabla Impacto'!$D$14),"Mayor",IF(OR(J54='Tabla Impacto'!$C$15,J54='Tabla Impacto'!$D$15),"Catastrófico","")))))</f>
        <v>Moderado</v>
      </c>
      <c r="L54" s="597">
        <f>IF(K54="","",IF(K54="Leve",'Listas y tablas'!$F$3,IF(K54="Menor",'Listas y tablas'!$F$4,IF(K54="Moderado",'Listas y tablas'!$F$5,IF(K54="Mayor",'Listas y tablas'!$F$6,IF(K54="Catastrófico",'Listas y tablas'!$F$7,))))))</f>
        <v>0.6</v>
      </c>
      <c r="M54" s="594" t="str">
        <f t="shared" si="25"/>
        <v>Alto</v>
      </c>
      <c r="N54" s="335" t="str">
        <f t="shared" si="26"/>
        <v>G</v>
      </c>
      <c r="O54" s="337">
        <f t="shared" si="27"/>
        <v>42</v>
      </c>
      <c r="P54" s="337" t="str">
        <f t="shared" si="28"/>
        <v>G42</v>
      </c>
      <c r="Q54" s="286" t="s">
        <v>906</v>
      </c>
      <c r="R54" s="337" t="str">
        <f t="shared" si="23"/>
        <v>Probabilidad</v>
      </c>
      <c r="S54" s="299" t="s">
        <v>381</v>
      </c>
      <c r="T54" s="299" t="s">
        <v>382</v>
      </c>
      <c r="U54" s="339" t="str">
        <f t="shared" si="24"/>
        <v>40%</v>
      </c>
      <c r="V54" s="299" t="s">
        <v>383</v>
      </c>
      <c r="W54" s="299" t="s">
        <v>384</v>
      </c>
      <c r="X54" s="299" t="s">
        <v>385</v>
      </c>
      <c r="Y54" s="612">
        <f t="shared" si="29"/>
        <v>0.48</v>
      </c>
      <c r="Z54" s="617" t="str">
        <f>IFERROR(IF(Y54="","",IF(Y54&lt;='Listas y tablas'!$L$3,"Muy Baja",IF(Y54&lt;='Listas y tablas'!$L$4,"Baja",IF(Y54&lt;='Listas y tablas'!$L$5,"Media",IF(Y54&lt;='Listas y tablas'!$L$6,"Alta","Muy Alta"))))),"")</f>
        <v>Media</v>
      </c>
      <c r="AA54" s="597">
        <f t="shared" si="30"/>
        <v>0.48</v>
      </c>
      <c r="AB54" s="617" t="str">
        <f>IFERROR(IF(AC54="","",IF(AC54&lt;='Listas y tablas'!$O$3,"Leve",IF(AC54&lt;='Listas y tablas'!$O$4,"Menor",IF(AC54&lt;='Listas y tablas'!$O$5,"Moderado",IF(AC54&lt;='Listas y tablas'!$O$6,"Mayor","Catastrófico"))))),"")</f>
        <v>Catastrófico</v>
      </c>
      <c r="AC54" s="597">
        <f t="shared" si="31"/>
        <v>2000</v>
      </c>
      <c r="AD54" s="617" t="str">
        <f t="shared" si="32"/>
        <v>Extremo</v>
      </c>
      <c r="AE54" s="609" t="s">
        <v>386</v>
      </c>
      <c r="AF54" s="300" t="s">
        <v>907</v>
      </c>
      <c r="AG54" s="300" t="s">
        <v>908</v>
      </c>
      <c r="AH54" s="300" t="s">
        <v>909</v>
      </c>
      <c r="AI54" s="273" t="s">
        <v>910</v>
      </c>
      <c r="AJ54" s="273" t="s">
        <v>911</v>
      </c>
      <c r="AK54" s="273" t="s">
        <v>912</v>
      </c>
      <c r="AL54" s="304">
        <v>45000</v>
      </c>
      <c r="AM54" s="304">
        <v>45291</v>
      </c>
      <c r="AN54" s="273" t="s">
        <v>913</v>
      </c>
      <c r="AO54" s="273" t="s">
        <v>914</v>
      </c>
      <c r="AP54" s="273" t="s">
        <v>915</v>
      </c>
      <c r="AQ54" s="273" t="s">
        <v>916</v>
      </c>
      <c r="AR54" s="273" t="s">
        <v>917</v>
      </c>
      <c r="AS54" s="273" t="s">
        <v>918</v>
      </c>
      <c r="AT54" s="273" t="s">
        <v>919</v>
      </c>
      <c r="AU54" s="273" t="s">
        <v>920</v>
      </c>
      <c r="AV54" s="163"/>
      <c r="AW54" s="163"/>
      <c r="AX54" s="273" t="s">
        <v>921</v>
      </c>
      <c r="AY54" s="163" t="s">
        <v>922</v>
      </c>
      <c r="AZ54" s="163" t="s">
        <v>422</v>
      </c>
      <c r="BA54" s="163" t="s">
        <v>422</v>
      </c>
      <c r="BB54" s="273" t="s">
        <v>923</v>
      </c>
      <c r="BC54" s="323" t="s">
        <v>904</v>
      </c>
      <c r="BD54" s="324" t="s">
        <v>404</v>
      </c>
      <c r="BE54" s="324" t="s">
        <v>924</v>
      </c>
      <c r="BF54" s="329" t="s">
        <v>434</v>
      </c>
      <c r="BG54" s="181" t="s">
        <v>422</v>
      </c>
      <c r="BH54" s="181" t="s">
        <v>422</v>
      </c>
      <c r="BI54" s="395" t="s">
        <v>925</v>
      </c>
      <c r="BJ54" s="323" t="s">
        <v>926</v>
      </c>
      <c r="BK54" s="327" t="s">
        <v>408</v>
      </c>
      <c r="BL54" s="641" t="s">
        <v>422</v>
      </c>
      <c r="BM54" s="193"/>
      <c r="BN54" s="194"/>
      <c r="BO54" s="194"/>
      <c r="BP54" s="194"/>
      <c r="BQ54" s="194"/>
      <c r="BR54" s="194"/>
      <c r="BS54" s="194"/>
      <c r="BT54" s="194"/>
      <c r="BU54" s="204"/>
      <c r="BV54" s="205"/>
      <c r="BW54" s="206"/>
      <c r="BX54" s="206"/>
      <c r="BY54" s="206"/>
      <c r="BZ54" s="206"/>
      <c r="CA54" s="206"/>
      <c r="CB54" s="213"/>
      <c r="CC54" s="214"/>
      <c r="CD54" s="206"/>
      <c r="CE54" s="213"/>
      <c r="CF54" s="215"/>
      <c r="CG54" s="216"/>
      <c r="CH54" s="216"/>
      <c r="CI54" s="216"/>
      <c r="CJ54" s="216"/>
      <c r="CK54" s="216"/>
      <c r="CL54" s="216"/>
      <c r="CM54" s="216"/>
      <c r="CN54" s="225"/>
      <c r="CO54" s="226"/>
      <c r="CP54" s="227"/>
      <c r="CQ54" s="227"/>
      <c r="CR54" s="227"/>
      <c r="CS54" s="227"/>
      <c r="CT54" s="227"/>
      <c r="CU54" s="234"/>
      <c r="CV54" s="226"/>
      <c r="CW54" s="227"/>
      <c r="CX54" s="234"/>
    </row>
    <row r="55" spans="1:102" ht="166.5" hidden="1" customHeight="1">
      <c r="A55" s="582"/>
      <c r="B55" s="585"/>
      <c r="C55" s="585"/>
      <c r="D55" s="585"/>
      <c r="E55" s="590"/>
      <c r="F55" s="590"/>
      <c r="G55" s="595"/>
      <c r="H55" s="598"/>
      <c r="I55" s="601"/>
      <c r="J55" s="598"/>
      <c r="K55" s="595"/>
      <c r="L55" s="598"/>
      <c r="M55" s="595"/>
      <c r="N55" s="335" t="str">
        <f>+IF(ISTEXT(D54),"G","")</f>
        <v>G</v>
      </c>
      <c r="O55" s="337">
        <f>IF(ISTEXT(D54),1+O54,"")</f>
        <v>43</v>
      </c>
      <c r="P55" s="337" t="str">
        <f>IF(ISTEXT(D54),CONCATENATE(N55,O55),"")</f>
        <v>G43</v>
      </c>
      <c r="Q55" s="286" t="s">
        <v>927</v>
      </c>
      <c r="R55" s="337" t="str">
        <f t="shared" ref="R55" si="33">IF(OR(S55="Preventivo",S55="Detectivo"),"Probabilidad",IF(S55="Correctivo","Impacto",""))</f>
        <v>Probabilidad</v>
      </c>
      <c r="S55" s="299" t="s">
        <v>381</v>
      </c>
      <c r="T55" s="299" t="s">
        <v>382</v>
      </c>
      <c r="U55" s="339" t="str">
        <f t="shared" ref="U55" si="34">IF(AND(S55="Preventivo",T55="Automático"),"50%",IF(AND(S55="Preventivo",T55="Manual"),"40%",IF(AND(S55="Detectivo",T55="Automático"),"40%",IF(AND(S55="Detectivo",T55="Manual"),"30%",IF(AND(S55="Correctivo",T55="Automático"),"35%",IF(AND(S55="Correctivo",T55="Manual"),"25%",""))))))</f>
        <v>40%</v>
      </c>
      <c r="V55" s="299" t="s">
        <v>383</v>
      </c>
      <c r="W55" s="299" t="s">
        <v>384</v>
      </c>
      <c r="X55" s="299" t="s">
        <v>385</v>
      </c>
      <c r="Y55" s="613"/>
      <c r="Z55" s="618"/>
      <c r="AA55" s="598"/>
      <c r="AB55" s="618"/>
      <c r="AC55" s="598"/>
      <c r="AD55" s="618"/>
      <c r="AE55" s="611"/>
      <c r="AF55" s="300" t="s">
        <v>928</v>
      </c>
      <c r="AG55" s="300" t="s">
        <v>929</v>
      </c>
      <c r="AH55" s="300" t="s">
        <v>909</v>
      </c>
      <c r="AI55" s="273" t="s">
        <v>930</v>
      </c>
      <c r="AJ55" s="273" t="s">
        <v>931</v>
      </c>
      <c r="AK55" s="273" t="s">
        <v>912</v>
      </c>
      <c r="AL55" s="304">
        <v>45078</v>
      </c>
      <c r="AM55" s="304">
        <v>45291</v>
      </c>
      <c r="AN55" s="273" t="s">
        <v>932</v>
      </c>
      <c r="AO55" s="273" t="s">
        <v>933</v>
      </c>
      <c r="AP55" s="273" t="s">
        <v>915</v>
      </c>
      <c r="AQ55" s="273" t="s">
        <v>934</v>
      </c>
      <c r="AR55" s="273" t="s">
        <v>935</v>
      </c>
      <c r="AS55" s="273" t="s">
        <v>936</v>
      </c>
      <c r="AT55" s="150"/>
      <c r="AU55" s="163"/>
      <c r="AV55" s="163"/>
      <c r="AW55" s="163"/>
      <c r="AX55" s="163"/>
      <c r="AY55" s="163"/>
      <c r="AZ55" s="163"/>
      <c r="BA55" s="163"/>
      <c r="BB55" s="171"/>
      <c r="BC55" s="323" t="s">
        <v>904</v>
      </c>
      <c r="BD55" s="324" t="s">
        <v>404</v>
      </c>
      <c r="BE55" s="181"/>
      <c r="BF55" s="329"/>
      <c r="BG55" s="181"/>
      <c r="BH55" s="181"/>
      <c r="BI55" s="183"/>
      <c r="BJ55" s="323" t="s">
        <v>937</v>
      </c>
      <c r="BK55" s="327" t="s">
        <v>408</v>
      </c>
      <c r="BL55" s="642"/>
      <c r="BM55" s="193"/>
      <c r="BN55" s="194"/>
      <c r="BO55" s="194"/>
      <c r="BP55" s="194"/>
      <c r="BQ55" s="194"/>
      <c r="BR55" s="194"/>
      <c r="BS55" s="194"/>
      <c r="BT55" s="194"/>
      <c r="BU55" s="204"/>
      <c r="BV55" s="205"/>
      <c r="BW55" s="206"/>
      <c r="BX55" s="206"/>
      <c r="BY55" s="206"/>
      <c r="BZ55" s="206"/>
      <c r="CA55" s="206"/>
      <c r="CB55" s="213"/>
      <c r="CC55" s="214"/>
      <c r="CD55" s="206"/>
      <c r="CE55" s="213"/>
      <c r="CF55" s="215"/>
      <c r="CG55" s="216"/>
      <c r="CH55" s="216"/>
      <c r="CI55" s="216"/>
      <c r="CJ55" s="216"/>
      <c r="CK55" s="216"/>
      <c r="CL55" s="216"/>
      <c r="CM55" s="216"/>
      <c r="CN55" s="225"/>
      <c r="CO55" s="226"/>
      <c r="CP55" s="227"/>
      <c r="CQ55" s="227"/>
      <c r="CR55" s="227"/>
      <c r="CS55" s="227"/>
      <c r="CT55" s="227"/>
      <c r="CU55" s="234"/>
      <c r="CV55" s="226"/>
      <c r="CW55" s="227"/>
      <c r="CX55" s="234"/>
    </row>
    <row r="56" spans="1:102" ht="151.5" hidden="1" customHeight="1">
      <c r="A56" s="581">
        <v>36</v>
      </c>
      <c r="B56" s="584" t="str">
        <f>IFERROR(VLOOKUP($A56,Riesgos!$A$7:$H$84,2,FALSE),"")</f>
        <v>Gestión Financiera</v>
      </c>
      <c r="C56" s="584" t="str">
        <f>IFERROR(VLOOKUP($A56,Riesgos!$A$7:$H$84,7,FALSE),"")</f>
        <v xml:space="preserve">Error en el registro de información en el portal de pagos. 
Inconsistencias en la información contenida en la planilla de pagos. </v>
      </c>
      <c r="D56" s="584" t="str">
        <f>IFERROR(VLOOKUP($A56,Riesgos!$A$7:$H$84,8,FALSE),"")</f>
        <v xml:space="preserve">Posibilidad de afectación económica/presupuestal por duplicidad y/o error en los pagos, debido a inconsitencias en el registro de información en el portal y a la información contenida en la planilla de pagos. </v>
      </c>
      <c r="E56" s="589" t="s">
        <v>574</v>
      </c>
      <c r="F56" s="589">
        <v>5400</v>
      </c>
      <c r="G56" s="594" t="str">
        <f>IF(F56&lt;=0,"",IF(F56&lt;='Listas y tablas'!$B$3,"Muy Baja",IF(F56&lt;='Listas y tablas'!$B$4,"Baja",IF(F56&lt;='Listas y tablas'!$B$5,"Media",IF(F56&lt;='Listas y tablas'!$B$6,"Alta","Muy Alta")))))</f>
        <v>Muy Alta</v>
      </c>
      <c r="H56" s="597">
        <f>IF(G56="","",IF(G56="Muy Baja",'Listas y tablas'!$C$3,IF(G56="Baja",'Listas y tablas'!$C$4,IF(G56="Media",'Listas y tablas'!$C$5,IF(G56="Alta",'Listas y tablas'!$C$6,IF(G56="Muy Alta",'Listas y tablas'!$C$7,))))))</f>
        <v>1</v>
      </c>
      <c r="I56" s="600" t="s">
        <v>379</v>
      </c>
      <c r="J56" s="597" t="str">
        <f>IF(NOT(ISERROR(MATCH(I56,'Tabla Impacto'!$B$221:$B$223,0))),'Tabla Impacto'!$F$223&amp;"Por favor no seleccionar los criterios de impacto(Afectación Económica o presupuestal y Pérdida Reputacional)",I56)</f>
        <v xml:space="preserve">     Afectación menor a 10 SMLMV .</v>
      </c>
      <c r="K56" s="594" t="str">
        <f>IF(OR(J56='Tabla Impacto'!$C$11,J56='Tabla Impacto'!$D$11),"Leve",IF(OR(J56='Tabla Impacto'!$C$12,J56='Tabla Impacto'!$D$12),"Menor",IF(OR(J56='Tabla Impacto'!$C$13,J56='Tabla Impacto'!$D$13),"Moderado",IF(OR(J56='Tabla Impacto'!$C$14,J56='Tabla Impacto'!$D$14),"Mayor",IF(OR(J56='Tabla Impacto'!$C$15,J56='Tabla Impacto'!$D$15),"Catastrófico","")))))</f>
        <v>Leve</v>
      </c>
      <c r="L56" s="597">
        <f>IF(K56="","",IF(K56="Leve",'Listas y tablas'!$F$3,IF(K56="Menor",'Listas y tablas'!$F$4,IF(K56="Moderado",'Listas y tablas'!$F$5,IF(K56="Mayor",'Listas y tablas'!$F$6,IF(K56="Catastrófico",'Listas y tablas'!$F$7,))))))</f>
        <v>0.2</v>
      </c>
      <c r="M56" s="594" t="str">
        <f t="shared" si="25"/>
        <v>Alto</v>
      </c>
      <c r="N56" s="335" t="str">
        <f t="shared" si="26"/>
        <v>G</v>
      </c>
      <c r="O56" s="337">
        <f>IF(ISTEXT(D56),1+O55,"")</f>
        <v>44</v>
      </c>
      <c r="P56" s="337" t="str">
        <f t="shared" si="28"/>
        <v>G44</v>
      </c>
      <c r="Q56" s="286" t="s">
        <v>938</v>
      </c>
      <c r="R56" s="337" t="str">
        <f t="shared" si="23"/>
        <v>Probabilidad</v>
      </c>
      <c r="S56" s="299" t="s">
        <v>381</v>
      </c>
      <c r="T56" s="299" t="s">
        <v>382</v>
      </c>
      <c r="U56" s="339" t="str">
        <f t="shared" si="24"/>
        <v>40%</v>
      </c>
      <c r="V56" s="299" t="s">
        <v>383</v>
      </c>
      <c r="W56" s="299" t="s">
        <v>384</v>
      </c>
      <c r="X56" s="299" t="s">
        <v>385</v>
      </c>
      <c r="Y56" s="612">
        <f>IF(A54=A56,IFERROR(IF(AND(R54="Probabilidad",R56="Probabilidad"),(AA54-(+AA54*U56)),IF(R56="Probabilidad",(H54-(+H54*U56)),IF(R56="Impacto",AA54,""))),""),IFERROR(IF(R56="Probabilidad",(H56-(+H56*U56)),IF(R56="Impacto",K56,"")),""))</f>
        <v>0.6</v>
      </c>
      <c r="Z56" s="617" t="str">
        <f>IFERROR(IF(Y56="","",IF(Y56&lt;='Listas y tablas'!$L$3,"Muy Baja",IF(Y56&lt;='Listas y tablas'!$L$4,"Baja",IF(Y56&lt;='Listas y tablas'!$L$5,"Media",IF(Y56&lt;='Listas y tablas'!$L$6,"Alta","Muy Alta"))))),"")</f>
        <v>Media</v>
      </c>
      <c r="AA56" s="597">
        <f t="shared" si="30"/>
        <v>0.6</v>
      </c>
      <c r="AB56" s="617" t="str">
        <f>IFERROR(IF(AC56="","",IF(AC56&lt;='Listas y tablas'!$O$3,"Leve",IF(AC56&lt;='Listas y tablas'!$O$4,"Menor",IF(AC56&lt;='Listas y tablas'!$O$5,"Moderado",IF(AC56&lt;='Listas y tablas'!$O$6,"Mayor","Catastrófico"))))),"")</f>
        <v>Catastrófico</v>
      </c>
      <c r="AC56" s="597">
        <f>IF(A54=A56,IFERROR(IF(AND(R54="Impacto",R56="Impacto"),(AC54-(+AC54*U56)),IF(R56="Impacto",($F54-(+$F54*U56)),IF(R56="Probabilidad",AC54,""))),""),IFERROR(IF(R56="Impacto",(F56-(+F56*U56)),IF(R56="Probabilidad",F56,"")),""))</f>
        <v>5400</v>
      </c>
      <c r="AD56" s="617" t="str">
        <f t="shared" si="32"/>
        <v>Extremo</v>
      </c>
      <c r="AE56" s="609" t="s">
        <v>386</v>
      </c>
      <c r="AF56" s="300" t="s">
        <v>939</v>
      </c>
      <c r="AG56" s="300" t="s">
        <v>767</v>
      </c>
      <c r="AH56" s="300" t="s">
        <v>940</v>
      </c>
      <c r="AI56" s="273" t="s">
        <v>941</v>
      </c>
      <c r="AJ56" s="273" t="s">
        <v>942</v>
      </c>
      <c r="AK56" s="273" t="s">
        <v>943</v>
      </c>
      <c r="AL56" s="304">
        <v>44958</v>
      </c>
      <c r="AM56" s="304">
        <v>45291</v>
      </c>
      <c r="AN56" s="273" t="s">
        <v>944</v>
      </c>
      <c r="AO56" s="273" t="s">
        <v>945</v>
      </c>
      <c r="AP56" s="273" t="s">
        <v>946</v>
      </c>
      <c r="AQ56" s="273" t="s">
        <v>947</v>
      </c>
      <c r="AR56" s="273" t="s">
        <v>948</v>
      </c>
      <c r="AS56" s="273" t="s">
        <v>949</v>
      </c>
      <c r="AT56" s="316" t="s">
        <v>950</v>
      </c>
      <c r="AU56" s="313" t="s">
        <v>951</v>
      </c>
      <c r="AV56" s="163">
        <v>3</v>
      </c>
      <c r="AW56" s="163">
        <v>3</v>
      </c>
      <c r="AX56" s="313" t="s">
        <v>952</v>
      </c>
      <c r="AY56" s="313" t="s">
        <v>953</v>
      </c>
      <c r="AZ56" s="163" t="s">
        <v>422</v>
      </c>
      <c r="BA56" s="163" t="s">
        <v>422</v>
      </c>
      <c r="BB56" s="390" t="s">
        <v>954</v>
      </c>
      <c r="BC56" s="323" t="s">
        <v>904</v>
      </c>
      <c r="BD56" s="324" t="s">
        <v>404</v>
      </c>
      <c r="BE56" s="324" t="s">
        <v>955</v>
      </c>
      <c r="BF56" s="329" t="s">
        <v>434</v>
      </c>
      <c r="BG56" s="181" t="s">
        <v>422</v>
      </c>
      <c r="BH56" s="181" t="s">
        <v>422</v>
      </c>
      <c r="BI56" s="395" t="s">
        <v>925</v>
      </c>
      <c r="BJ56" s="323" t="s">
        <v>956</v>
      </c>
      <c r="BK56" s="327" t="s">
        <v>408</v>
      </c>
      <c r="BL56" s="641" t="s">
        <v>422</v>
      </c>
      <c r="BM56" s="193"/>
      <c r="BN56" s="194"/>
      <c r="BO56" s="194"/>
      <c r="BP56" s="194"/>
      <c r="BQ56" s="194"/>
      <c r="BR56" s="194"/>
      <c r="BS56" s="194"/>
      <c r="BT56" s="194"/>
      <c r="BU56" s="204"/>
      <c r="BV56" s="205"/>
      <c r="BW56" s="206"/>
      <c r="BX56" s="206"/>
      <c r="BY56" s="206"/>
      <c r="BZ56" s="206"/>
      <c r="CA56" s="206"/>
      <c r="CB56" s="213"/>
      <c r="CC56" s="214"/>
      <c r="CD56" s="206"/>
      <c r="CE56" s="213"/>
      <c r="CF56" s="215"/>
      <c r="CG56" s="216"/>
      <c r="CH56" s="216"/>
      <c r="CI56" s="216"/>
      <c r="CJ56" s="216"/>
      <c r="CK56" s="216"/>
      <c r="CL56" s="216"/>
      <c r="CM56" s="216"/>
      <c r="CN56" s="225"/>
      <c r="CO56" s="226"/>
      <c r="CP56" s="227"/>
      <c r="CQ56" s="227"/>
      <c r="CR56" s="227"/>
      <c r="CS56" s="227"/>
      <c r="CT56" s="227"/>
      <c r="CU56" s="234"/>
      <c r="CV56" s="226"/>
      <c r="CW56" s="227"/>
      <c r="CX56" s="234"/>
    </row>
    <row r="57" spans="1:102" ht="151.5" hidden="1" customHeight="1">
      <c r="A57" s="583"/>
      <c r="B57" s="586"/>
      <c r="C57" s="586"/>
      <c r="D57" s="586"/>
      <c r="E57" s="591"/>
      <c r="F57" s="591"/>
      <c r="G57" s="596"/>
      <c r="H57" s="599"/>
      <c r="I57" s="602"/>
      <c r="J57" s="599"/>
      <c r="K57" s="596"/>
      <c r="L57" s="599"/>
      <c r="M57" s="596"/>
      <c r="N57" s="335" t="str">
        <f>+IF(ISTEXT(D56),"G","")</f>
        <v>G</v>
      </c>
      <c r="O57" s="337">
        <f>IF(ISTEXT(D56),1+O56,"")</f>
        <v>45</v>
      </c>
      <c r="P57" s="337" t="str">
        <f>IF(ISTEXT(D56),CONCATENATE(N57,O57),"")</f>
        <v>G45</v>
      </c>
      <c r="Q57" s="286" t="s">
        <v>957</v>
      </c>
      <c r="R57" s="337" t="str">
        <f t="shared" si="23"/>
        <v>Probabilidad</v>
      </c>
      <c r="S57" s="299" t="s">
        <v>381</v>
      </c>
      <c r="T57" s="299" t="s">
        <v>382</v>
      </c>
      <c r="U57" s="339" t="str">
        <f t="shared" si="24"/>
        <v>40%</v>
      </c>
      <c r="V57" s="299" t="s">
        <v>383</v>
      </c>
      <c r="W57" s="299" t="s">
        <v>384</v>
      </c>
      <c r="X57" s="299" t="s">
        <v>385</v>
      </c>
      <c r="Y57" s="614"/>
      <c r="Z57" s="619"/>
      <c r="AA57" s="599"/>
      <c r="AB57" s="619"/>
      <c r="AC57" s="599"/>
      <c r="AD57" s="619"/>
      <c r="AE57" s="610"/>
      <c r="AF57" s="300" t="s">
        <v>958</v>
      </c>
      <c r="AG57" s="300" t="s">
        <v>767</v>
      </c>
      <c r="AH57" s="300" t="s">
        <v>940</v>
      </c>
      <c r="AI57" s="273" t="s">
        <v>959</v>
      </c>
      <c r="AJ57" s="273" t="s">
        <v>960</v>
      </c>
      <c r="AK57" s="273" t="s">
        <v>961</v>
      </c>
      <c r="AL57" s="304">
        <v>44958</v>
      </c>
      <c r="AM57" s="304">
        <v>45168</v>
      </c>
      <c r="AN57" s="273"/>
      <c r="AO57" s="273"/>
      <c r="AP57" s="273"/>
      <c r="AQ57" s="273"/>
      <c r="AR57" s="273"/>
      <c r="AS57" s="273"/>
      <c r="AT57" s="316" t="s">
        <v>962</v>
      </c>
      <c r="AU57" s="313" t="s">
        <v>963</v>
      </c>
      <c r="AV57" s="163"/>
      <c r="AW57" s="163"/>
      <c r="AX57" s="163"/>
      <c r="AY57" s="163"/>
      <c r="AZ57" s="163"/>
      <c r="BA57" s="163"/>
      <c r="BB57" s="171"/>
      <c r="BC57" s="323" t="s">
        <v>904</v>
      </c>
      <c r="BD57" s="324" t="s">
        <v>404</v>
      </c>
      <c r="BE57" s="324" t="s">
        <v>964</v>
      </c>
      <c r="BF57" s="329" t="s">
        <v>406</v>
      </c>
      <c r="BG57" s="181"/>
      <c r="BH57" s="181"/>
      <c r="BI57" s="183"/>
      <c r="BJ57" s="323" t="s">
        <v>965</v>
      </c>
      <c r="BK57" s="327" t="s">
        <v>966</v>
      </c>
      <c r="BL57" s="643"/>
      <c r="BM57" s="193"/>
      <c r="BN57" s="194"/>
      <c r="BO57" s="194"/>
      <c r="BP57" s="194"/>
      <c r="BQ57" s="194"/>
      <c r="BR57" s="194"/>
      <c r="BS57" s="194"/>
      <c r="BT57" s="194"/>
      <c r="BU57" s="204"/>
      <c r="BV57" s="205"/>
      <c r="BW57" s="206"/>
      <c r="BX57" s="206"/>
      <c r="BY57" s="206"/>
      <c r="BZ57" s="206"/>
      <c r="CA57" s="206"/>
      <c r="CB57" s="213"/>
      <c r="CC57" s="214"/>
      <c r="CD57" s="206"/>
      <c r="CE57" s="213"/>
      <c r="CF57" s="215"/>
      <c r="CG57" s="216"/>
      <c r="CH57" s="216"/>
      <c r="CI57" s="216"/>
      <c r="CJ57" s="216"/>
      <c r="CK57" s="216"/>
      <c r="CL57" s="216"/>
      <c r="CM57" s="216"/>
      <c r="CN57" s="225"/>
      <c r="CO57" s="226"/>
      <c r="CP57" s="227"/>
      <c r="CQ57" s="227"/>
      <c r="CR57" s="227"/>
      <c r="CS57" s="227"/>
      <c r="CT57" s="227"/>
      <c r="CU57" s="234"/>
      <c r="CV57" s="226"/>
      <c r="CW57" s="227"/>
      <c r="CX57" s="234"/>
    </row>
    <row r="58" spans="1:102" ht="151.5" hidden="1" customHeight="1">
      <c r="A58" s="582"/>
      <c r="B58" s="585"/>
      <c r="C58" s="585"/>
      <c r="D58" s="585"/>
      <c r="E58" s="590"/>
      <c r="F58" s="590"/>
      <c r="G58" s="595"/>
      <c r="H58" s="598"/>
      <c r="I58" s="601"/>
      <c r="J58" s="598"/>
      <c r="K58" s="595"/>
      <c r="L58" s="598"/>
      <c r="M58" s="595"/>
      <c r="N58" s="335" t="str">
        <f>+IF(ISTEXT(D56),"G","")</f>
        <v>G</v>
      </c>
      <c r="O58" s="337">
        <f>IF(ISTEXT(D56),1+O57,"")</f>
        <v>46</v>
      </c>
      <c r="P58" s="337" t="str">
        <f>IF(ISTEXT(D56),CONCATENATE(N58,O58),"")</f>
        <v>G46</v>
      </c>
      <c r="Q58" s="286" t="s">
        <v>967</v>
      </c>
      <c r="R58" s="337" t="str">
        <f t="shared" si="23"/>
        <v>Probabilidad</v>
      </c>
      <c r="S58" s="299" t="s">
        <v>381</v>
      </c>
      <c r="T58" s="299" t="s">
        <v>382</v>
      </c>
      <c r="U58" s="339" t="str">
        <f t="shared" si="24"/>
        <v>40%</v>
      </c>
      <c r="V58" s="299" t="s">
        <v>383</v>
      </c>
      <c r="W58" s="299" t="s">
        <v>384</v>
      </c>
      <c r="X58" s="299" t="s">
        <v>385</v>
      </c>
      <c r="Y58" s="613"/>
      <c r="Z58" s="618"/>
      <c r="AA58" s="598"/>
      <c r="AB58" s="618"/>
      <c r="AC58" s="598"/>
      <c r="AD58" s="618"/>
      <c r="AE58" s="611"/>
      <c r="AF58" s="300" t="s">
        <v>968</v>
      </c>
      <c r="AG58" s="300" t="s">
        <v>767</v>
      </c>
      <c r="AH58" s="300" t="s">
        <v>969</v>
      </c>
      <c r="AI58" s="273" t="s">
        <v>970</v>
      </c>
      <c r="AJ58" s="273" t="s">
        <v>971</v>
      </c>
      <c r="AK58" s="273" t="s">
        <v>972</v>
      </c>
      <c r="AL58" s="304">
        <v>44927</v>
      </c>
      <c r="AM58" s="304">
        <v>45291</v>
      </c>
      <c r="AN58" s="273"/>
      <c r="AO58" s="273"/>
      <c r="AP58" s="273"/>
      <c r="AQ58" s="273"/>
      <c r="AR58" s="273"/>
      <c r="AS58" s="273"/>
      <c r="AT58" s="316" t="s">
        <v>973</v>
      </c>
      <c r="AU58" s="313" t="s">
        <v>974</v>
      </c>
      <c r="AV58" s="163"/>
      <c r="AW58" s="163"/>
      <c r="AX58" s="163"/>
      <c r="AY58" s="163"/>
      <c r="AZ58" s="163"/>
      <c r="BA58" s="163"/>
      <c r="BB58" s="171"/>
      <c r="BC58" s="323" t="s">
        <v>904</v>
      </c>
      <c r="BD58" s="324" t="s">
        <v>404</v>
      </c>
      <c r="BE58" s="324" t="s">
        <v>964</v>
      </c>
      <c r="BF58" s="329" t="s">
        <v>406</v>
      </c>
      <c r="BG58" s="181"/>
      <c r="BH58" s="181"/>
      <c r="BI58" s="183"/>
      <c r="BJ58" s="323" t="s">
        <v>975</v>
      </c>
      <c r="BK58" s="327" t="s">
        <v>966</v>
      </c>
      <c r="BL58" s="642"/>
      <c r="BM58" s="193"/>
      <c r="BN58" s="194"/>
      <c r="BO58" s="194"/>
      <c r="BP58" s="194"/>
      <c r="BQ58" s="194"/>
      <c r="BR58" s="194"/>
      <c r="BS58" s="194"/>
      <c r="BT58" s="194"/>
      <c r="BU58" s="204"/>
      <c r="BV58" s="205"/>
      <c r="BW58" s="206"/>
      <c r="BX58" s="206"/>
      <c r="BY58" s="206"/>
      <c r="BZ58" s="206"/>
      <c r="CA58" s="206"/>
      <c r="CB58" s="213"/>
      <c r="CC58" s="214"/>
      <c r="CD58" s="206"/>
      <c r="CE58" s="213"/>
      <c r="CF58" s="215"/>
      <c r="CG58" s="216"/>
      <c r="CH58" s="216"/>
      <c r="CI58" s="216"/>
      <c r="CJ58" s="216"/>
      <c r="CK58" s="216"/>
      <c r="CL58" s="216"/>
      <c r="CM58" s="216"/>
      <c r="CN58" s="225"/>
      <c r="CO58" s="226"/>
      <c r="CP58" s="227"/>
      <c r="CQ58" s="227"/>
      <c r="CR58" s="227"/>
      <c r="CS58" s="227"/>
      <c r="CT58" s="227"/>
      <c r="CU58" s="234"/>
      <c r="CV58" s="226"/>
      <c r="CW58" s="227"/>
      <c r="CX58" s="234"/>
    </row>
    <row r="59" spans="1:102" ht="151.5" hidden="1" customHeight="1">
      <c r="A59" s="271">
        <v>38</v>
      </c>
      <c r="B59" s="272" t="str">
        <f>IFERROR(VLOOKUP($A59,Riesgos!$A$7:$H$84,2,FALSE),"")</f>
        <v>Gestión Jurídica</v>
      </c>
      <c r="C59" s="272" t="str">
        <f>IFERROR(VLOOKUP($A59,Riesgos!$A$7:$H$84,7,FALSE),"")</f>
        <v>debido a debilidades en los controles de verificación del trámite para la sustentación de los procesos judiciales.</v>
      </c>
      <c r="D59" s="272" t="str">
        <f>IFERROR(VLOOKUP($A59,Riesgos!$A$7:$H$84,8,FALSE),"")</f>
        <v>Posibilidad de afectación económica y/o disciplinaria por incumplimiento en los términos de las etapas o actividades para los procesos administrativos y/o judiciales que se adelantan para el IDPC, debido a debilidades en los controles de verificación del trámite para la sustentación y/o respuesta de los procesos judiciales.</v>
      </c>
      <c r="E59" s="273" t="s">
        <v>574</v>
      </c>
      <c r="F59" s="273">
        <v>60</v>
      </c>
      <c r="G59" s="335" t="str">
        <f>IF(F59&lt;=0,"",IF(F59&lt;='Listas y tablas'!$B$3,"Muy Baja",IF(F59&lt;='Listas y tablas'!$B$4,"Baja",IF(F59&lt;='Listas y tablas'!$B$5,"Media",IF(F59&lt;='Listas y tablas'!$B$6,"Alta","Muy Alta")))))</f>
        <v>Media</v>
      </c>
      <c r="H59" s="336">
        <f>IF(G59="","",IF(G59="Muy Baja",'Listas y tablas'!$C$3,IF(G59="Baja",'Listas y tablas'!$C$4,IF(G59="Media",'Listas y tablas'!$C$5,IF(G59="Alta",'Listas y tablas'!$C$6,IF(G59="Muy Alta",'Listas y tablas'!$C$7,))))))</f>
        <v>0.6</v>
      </c>
      <c r="I59" s="338" t="s">
        <v>721</v>
      </c>
      <c r="J59" s="336" t="str">
        <f>IF(NOT(ISERROR(MATCH(I59,'Tabla Impacto'!$B$221:$B$223,0))),'Tabla Impacto'!$F$223&amp;"Por favor no seleccionar los criterios de impacto(Afectación Económica o presupuestal y Pérdida Reputacional)",I59)</f>
        <v xml:space="preserve">     Entre 50 y 100 SMLMV </v>
      </c>
      <c r="K59" s="335" t="str">
        <f>IF(OR(J59='Tabla Impacto'!$C$11,J59='Tabla Impacto'!$D$11),"Leve",IF(OR(J59='Tabla Impacto'!$C$12,J59='Tabla Impacto'!$D$12),"Menor",IF(OR(J59='Tabla Impacto'!$C$13,J59='Tabla Impacto'!$D$13),"Moderado",IF(OR(J59='Tabla Impacto'!$C$14,J59='Tabla Impacto'!$D$14),"Mayor",IF(OR(J59='Tabla Impacto'!$C$15,J59='Tabla Impacto'!$D$15),"Catastrófico","")))))</f>
        <v>Moderado</v>
      </c>
      <c r="L59" s="336">
        <f>IF(K59="","",IF(K59="Leve",'Listas y tablas'!$F$3,IF(K59="Menor",'Listas y tablas'!$F$4,IF(K59="Moderado",'Listas y tablas'!$F$5,IF(K59="Mayor",'Listas y tablas'!$F$6,IF(K59="Catastrófico",'Listas y tablas'!$F$7,))))))</f>
        <v>0.6</v>
      </c>
      <c r="M59" s="335" t="str">
        <f t="shared" si="25"/>
        <v>Moderado</v>
      </c>
      <c r="N59" s="335" t="str">
        <f t="shared" si="26"/>
        <v>G</v>
      </c>
      <c r="O59" s="337">
        <f t="shared" si="27"/>
        <v>47</v>
      </c>
      <c r="P59" s="337" t="str">
        <f t="shared" si="28"/>
        <v>G47</v>
      </c>
      <c r="Q59" s="286" t="s">
        <v>976</v>
      </c>
      <c r="R59" s="337" t="str">
        <f t="shared" si="23"/>
        <v>Probabilidad</v>
      </c>
      <c r="S59" s="299" t="s">
        <v>417</v>
      </c>
      <c r="T59" s="299" t="s">
        <v>382</v>
      </c>
      <c r="U59" s="339" t="str">
        <f t="shared" si="24"/>
        <v>30%</v>
      </c>
      <c r="V59" s="299" t="s">
        <v>383</v>
      </c>
      <c r="W59" s="299" t="s">
        <v>384</v>
      </c>
      <c r="X59" s="299" t="s">
        <v>385</v>
      </c>
      <c r="Y59" s="346">
        <f t="shared" si="29"/>
        <v>0.42</v>
      </c>
      <c r="Z59" s="154" t="str">
        <f>IFERROR(IF(Y59="","",IF(Y59&lt;='Listas y tablas'!$L$3,"Muy Baja",IF(Y59&lt;='Listas y tablas'!$L$4,"Baja",IF(Y59&lt;='Listas y tablas'!$L$5,"Media",IF(Y59&lt;='Listas y tablas'!$L$6,"Alta","Muy Alta"))))),"")</f>
        <v>Media</v>
      </c>
      <c r="AA59" s="339">
        <f t="shared" si="30"/>
        <v>0.42</v>
      </c>
      <c r="AB59" s="154" t="str">
        <f>IFERROR(IF(AC59="","",IF(AC59&lt;='Listas y tablas'!$O$3,"Leve",IF(AC59&lt;='Listas y tablas'!$O$4,"Menor",IF(AC59&lt;='Listas y tablas'!$O$5,"Moderado",IF(AC59&lt;='Listas y tablas'!$O$6,"Mayor","Catastrófico"))))),"")</f>
        <v>Catastrófico</v>
      </c>
      <c r="AC59" s="339">
        <f t="shared" si="31"/>
        <v>60</v>
      </c>
      <c r="AD59" s="154" t="str">
        <f t="shared" si="32"/>
        <v>Extremo</v>
      </c>
      <c r="AE59" s="299" t="s">
        <v>386</v>
      </c>
      <c r="AF59" s="300" t="s">
        <v>977</v>
      </c>
      <c r="AG59" s="300" t="s">
        <v>767</v>
      </c>
      <c r="AH59" s="300" t="s">
        <v>978</v>
      </c>
      <c r="AI59" s="273"/>
      <c r="AJ59" s="273"/>
      <c r="AK59" s="273"/>
      <c r="AL59" s="304"/>
      <c r="AM59" s="304"/>
      <c r="AN59" s="273"/>
      <c r="AO59" s="273"/>
      <c r="AP59" s="273"/>
      <c r="AQ59" s="273"/>
      <c r="AR59" s="273"/>
      <c r="AS59" s="273"/>
      <c r="AT59" s="373" t="s">
        <v>979</v>
      </c>
      <c r="AU59" s="373" t="s">
        <v>980</v>
      </c>
      <c r="AV59" s="163">
        <v>0</v>
      </c>
      <c r="AW59" s="163">
        <v>0</v>
      </c>
      <c r="AX59" s="163"/>
      <c r="AY59" s="163"/>
      <c r="AZ59" s="163" t="s">
        <v>402</v>
      </c>
      <c r="BA59" s="163" t="s">
        <v>402</v>
      </c>
      <c r="BB59" s="171" t="s">
        <v>401</v>
      </c>
      <c r="BC59" s="323" t="s">
        <v>981</v>
      </c>
      <c r="BD59" s="324" t="s">
        <v>404</v>
      </c>
      <c r="BE59" s="324" t="s">
        <v>401</v>
      </c>
      <c r="BF59" s="329"/>
      <c r="BG59" s="181"/>
      <c r="BH59" s="181"/>
      <c r="BI59" s="183"/>
      <c r="BJ59" s="323" t="s">
        <v>982</v>
      </c>
      <c r="BK59" s="327" t="s">
        <v>408</v>
      </c>
      <c r="BL59" s="192" t="s">
        <v>402</v>
      </c>
      <c r="BM59" s="193"/>
      <c r="BN59" s="194"/>
      <c r="BO59" s="194"/>
      <c r="BP59" s="194"/>
      <c r="BQ59" s="194"/>
      <c r="BR59" s="194"/>
      <c r="BS59" s="194"/>
      <c r="BT59" s="194"/>
      <c r="BU59" s="204"/>
      <c r="BV59" s="205"/>
      <c r="BW59" s="206"/>
      <c r="BX59" s="206"/>
      <c r="BY59" s="206"/>
      <c r="BZ59" s="206"/>
      <c r="CA59" s="206"/>
      <c r="CB59" s="213"/>
      <c r="CC59" s="214"/>
      <c r="CD59" s="206"/>
      <c r="CE59" s="213"/>
      <c r="CF59" s="215"/>
      <c r="CG59" s="216"/>
      <c r="CH59" s="216"/>
      <c r="CI59" s="216"/>
      <c r="CJ59" s="216"/>
      <c r="CK59" s="216"/>
      <c r="CL59" s="216"/>
      <c r="CM59" s="216"/>
      <c r="CN59" s="225"/>
      <c r="CO59" s="226"/>
      <c r="CP59" s="227"/>
      <c r="CQ59" s="227"/>
      <c r="CR59" s="227"/>
      <c r="CS59" s="227"/>
      <c r="CT59" s="227"/>
      <c r="CU59" s="234"/>
      <c r="CV59" s="226"/>
      <c r="CW59" s="227"/>
      <c r="CX59" s="234"/>
    </row>
    <row r="60" spans="1:102" ht="187.5" hidden="1" customHeight="1">
      <c r="A60" s="581">
        <v>39</v>
      </c>
      <c r="B60" s="584" t="str">
        <f>IFERROR(VLOOKUP($A60,Riesgos!$A$7:$H$84,2,FALSE),"")</f>
        <v>Gestión Jurídica</v>
      </c>
      <c r="C60" s="584" t="str">
        <f>IFERROR(VLOOKUP($A60,Riesgos!$A$7:$H$84,7,FALSE),"")</f>
        <v>debido a la falta de una obligación específica del profesional designado para realizar la actualización, al incumplimiento de las obligaciones específicas del abogado encargado de la actualización o a la falta de capacitación en el manejo del aplicativo.</v>
      </c>
      <c r="D60" s="584" t="str">
        <f>IFERROR(VLOOKUP($A60,Riesgos!$A$7:$H$84,8,FALSE),"")</f>
        <v>Posibilidad de afectación reputacional por la omisión en la alimentación del Sistema de Procesos Judiciales (SIPROJ) por parte del abogado encargado de la defensa judicial, debido a la falta de una obligación específica del profesional designado para realizar la actualización, al incumplimiento de las obligaciones específicas del abogado encargado de la actualización o a la falta de capacitación en el manejo del aplicativo.</v>
      </c>
      <c r="E60" s="589" t="s">
        <v>574</v>
      </c>
      <c r="F60" s="589">
        <v>48</v>
      </c>
      <c r="G60" s="594" t="str">
        <f>IF(F60&lt;=0,"",IF(F60&lt;='Listas y tablas'!$B$3,"Muy Baja",IF(F60&lt;='Listas y tablas'!$B$4,"Baja",IF(F60&lt;='Listas y tablas'!$B$5,"Media",IF(F60&lt;='Listas y tablas'!$B$6,"Alta","Muy Alta")))))</f>
        <v>Media</v>
      </c>
      <c r="H60" s="597">
        <f>IF(G60="","",IF(G60="Muy Baja",'Listas y tablas'!$C$3,IF(G60="Baja",'Listas y tablas'!$C$4,IF(G60="Media",'Listas y tablas'!$C$5,IF(G60="Alta",'Listas y tablas'!$C$6,IF(G60="Muy Alta",'Listas y tablas'!$C$7,))))))</f>
        <v>0.6</v>
      </c>
      <c r="I60" s="600" t="s">
        <v>983</v>
      </c>
      <c r="J60" s="597" t="str">
        <f>IF(NOT(ISERROR(MATCH(I60,'Tabla Impacto'!$B$221:$B$223,0))),'Tabla Impacto'!$F$223&amp;"Por favor no seleccionar los criterios de impacto(Afectación Económica o presupuestal y Pérdida Reputacional)",I60)</f>
        <v xml:space="preserve">     El riesgo afecta la imagen de de la entidad con efecto publicitario sostenido a nivel de sector administrativo, nivel departamental o municipal</v>
      </c>
      <c r="K60" s="594" t="str">
        <f>IF(OR(J60='Tabla Impacto'!$C$11,J60='Tabla Impacto'!$D$11),"Leve",IF(OR(J60='Tabla Impacto'!$C$12,J60='Tabla Impacto'!$D$12),"Menor",IF(OR(J60='Tabla Impacto'!$C$13,J60='Tabla Impacto'!$D$13),"Moderado",IF(OR(J60='Tabla Impacto'!$C$14,J60='Tabla Impacto'!$D$14),"Mayor",IF(OR(J60='Tabla Impacto'!$C$15,J60='Tabla Impacto'!$D$15),"Catastrófico","")))))</f>
        <v>Mayor</v>
      </c>
      <c r="L60" s="597">
        <f>IF(K60="","",IF(K60="Leve",'Listas y tablas'!$F$3,IF(K60="Menor",'Listas y tablas'!$F$4,IF(K60="Moderado",'Listas y tablas'!$F$5,IF(K60="Mayor",'Listas y tablas'!$F$6,IF(K60="Catastrófico",'Listas y tablas'!$F$7,))))))</f>
        <v>0.8</v>
      </c>
      <c r="M60" s="594" t="str">
        <f t="shared" si="25"/>
        <v>Alto</v>
      </c>
      <c r="N60" s="335" t="str">
        <f t="shared" si="26"/>
        <v>G</v>
      </c>
      <c r="O60" s="337">
        <f t="shared" si="27"/>
        <v>48</v>
      </c>
      <c r="P60" s="337" t="str">
        <f t="shared" si="28"/>
        <v>G48</v>
      </c>
      <c r="Q60" s="286" t="s">
        <v>984</v>
      </c>
      <c r="R60" s="337" t="str">
        <f t="shared" si="23"/>
        <v>Impacto</v>
      </c>
      <c r="S60" s="299" t="s">
        <v>813</v>
      </c>
      <c r="T60" s="299" t="s">
        <v>382</v>
      </c>
      <c r="U60" s="339" t="str">
        <f t="shared" si="24"/>
        <v>25%</v>
      </c>
      <c r="V60" s="299" t="s">
        <v>383</v>
      </c>
      <c r="W60" s="299" t="s">
        <v>384</v>
      </c>
      <c r="X60" s="299" t="s">
        <v>385</v>
      </c>
      <c r="Y60" s="612" t="str">
        <f t="shared" si="29"/>
        <v>Mayor</v>
      </c>
      <c r="Z60" s="617" t="str">
        <f>IFERROR(IF(Y60="","",IF(Y60&lt;='Listas y tablas'!$L$3,"Muy Baja",IF(Y60&lt;='Listas y tablas'!$L$4,"Baja",IF(Y60&lt;='Listas y tablas'!$L$5,"Media",IF(Y60&lt;='Listas y tablas'!$L$6,"Alta","Muy Alta"))))),"")</f>
        <v>Muy Alta</v>
      </c>
      <c r="AA60" s="597" t="str">
        <f t="shared" si="30"/>
        <v>Mayor</v>
      </c>
      <c r="AB60" s="617" t="str">
        <f>IFERROR(IF(AC60="","",IF(AC60&lt;='Listas y tablas'!$O$3,"Leve",IF(AC60&lt;='Listas y tablas'!$O$4,"Menor",IF(AC60&lt;='Listas y tablas'!$O$5,"Moderado",IF(AC60&lt;='Listas y tablas'!$O$6,"Mayor","Catastrófico"))))),"")</f>
        <v>Catastrófico</v>
      </c>
      <c r="AC60" s="597">
        <f t="shared" si="31"/>
        <v>36</v>
      </c>
      <c r="AD60" s="617" t="str">
        <f t="shared" si="32"/>
        <v>Extremo</v>
      </c>
      <c r="AE60" s="609" t="s">
        <v>386</v>
      </c>
      <c r="AF60" s="300" t="s">
        <v>985</v>
      </c>
      <c r="AG60" s="300" t="s">
        <v>767</v>
      </c>
      <c r="AH60" s="300" t="s">
        <v>978</v>
      </c>
      <c r="AI60" s="273" t="s">
        <v>986</v>
      </c>
      <c r="AJ60" s="273" t="s">
        <v>987</v>
      </c>
      <c r="AK60" s="273" t="s">
        <v>988</v>
      </c>
      <c r="AL60" s="304">
        <v>44927</v>
      </c>
      <c r="AM60" s="304">
        <v>45291</v>
      </c>
      <c r="AN60" s="273"/>
      <c r="AO60" s="273"/>
      <c r="AP60" s="273"/>
      <c r="AQ60" s="273"/>
      <c r="AR60" s="273"/>
      <c r="AS60" s="273"/>
      <c r="AT60" s="373" t="s">
        <v>989</v>
      </c>
      <c r="AU60" s="373" t="s">
        <v>990</v>
      </c>
      <c r="AV60" s="163">
        <v>1</v>
      </c>
      <c r="AW60" s="163">
        <v>1</v>
      </c>
      <c r="AX60" s="373" t="s">
        <v>991</v>
      </c>
      <c r="AY60" s="373" t="s">
        <v>992</v>
      </c>
      <c r="AZ60" s="163" t="s">
        <v>402</v>
      </c>
      <c r="BA60" s="163" t="s">
        <v>402</v>
      </c>
      <c r="BB60" s="171"/>
      <c r="BC60" s="323" t="s">
        <v>993</v>
      </c>
      <c r="BD60" s="324" t="s">
        <v>404</v>
      </c>
      <c r="BE60" s="324" t="s">
        <v>994</v>
      </c>
      <c r="BF60" s="329" t="s">
        <v>434</v>
      </c>
      <c r="BG60" s="181" t="s">
        <v>402</v>
      </c>
      <c r="BH60" s="181" t="s">
        <v>402</v>
      </c>
      <c r="BI60" s="183" t="s">
        <v>401</v>
      </c>
      <c r="BJ60" s="323" t="s">
        <v>995</v>
      </c>
      <c r="BK60" s="327" t="s">
        <v>558</v>
      </c>
      <c r="BL60" s="641" t="s">
        <v>402</v>
      </c>
      <c r="BM60" s="193"/>
      <c r="BN60" s="194"/>
      <c r="BO60" s="194"/>
      <c r="BP60" s="194"/>
      <c r="BQ60" s="194"/>
      <c r="BR60" s="194"/>
      <c r="BS60" s="194"/>
      <c r="BT60" s="194"/>
      <c r="BU60" s="204"/>
      <c r="BV60" s="205"/>
      <c r="BW60" s="206"/>
      <c r="BX60" s="206"/>
      <c r="BY60" s="206"/>
      <c r="BZ60" s="206"/>
      <c r="CA60" s="206"/>
      <c r="CB60" s="213"/>
      <c r="CC60" s="214"/>
      <c r="CD60" s="206"/>
      <c r="CE60" s="213"/>
      <c r="CF60" s="215"/>
      <c r="CG60" s="216"/>
      <c r="CH60" s="216"/>
      <c r="CI60" s="216"/>
      <c r="CJ60" s="216"/>
      <c r="CK60" s="216"/>
      <c r="CL60" s="216"/>
      <c r="CM60" s="216"/>
      <c r="CN60" s="225"/>
      <c r="CO60" s="226"/>
      <c r="CP60" s="227"/>
      <c r="CQ60" s="227"/>
      <c r="CR60" s="227"/>
      <c r="CS60" s="227"/>
      <c r="CT60" s="227"/>
      <c r="CU60" s="234"/>
      <c r="CV60" s="226"/>
      <c r="CW60" s="227"/>
      <c r="CX60" s="234"/>
    </row>
    <row r="61" spans="1:102" ht="151.5" hidden="1" customHeight="1">
      <c r="A61" s="582"/>
      <c r="B61" s="585"/>
      <c r="C61" s="585"/>
      <c r="D61" s="585"/>
      <c r="E61" s="590"/>
      <c r="F61" s="590"/>
      <c r="G61" s="595"/>
      <c r="H61" s="598"/>
      <c r="I61" s="601"/>
      <c r="J61" s="598"/>
      <c r="K61" s="595"/>
      <c r="L61" s="598"/>
      <c r="M61" s="595"/>
      <c r="N61" s="335" t="str">
        <f>+IF(ISTEXT(D60),"G","")</f>
        <v>G</v>
      </c>
      <c r="O61" s="337">
        <f>IF(ISTEXT(D60),1+O60,"")</f>
        <v>49</v>
      </c>
      <c r="P61" s="337" t="str">
        <f>IF(ISTEXT(D60),CONCATENATE(N61,O61),"")</f>
        <v>G49</v>
      </c>
      <c r="Q61" s="286" t="s">
        <v>996</v>
      </c>
      <c r="R61" s="337" t="str">
        <f t="shared" si="23"/>
        <v>Probabilidad</v>
      </c>
      <c r="S61" s="299" t="s">
        <v>381</v>
      </c>
      <c r="T61" s="299" t="s">
        <v>382</v>
      </c>
      <c r="U61" s="339" t="str">
        <f t="shared" si="24"/>
        <v>40%</v>
      </c>
      <c r="V61" s="299" t="s">
        <v>383</v>
      </c>
      <c r="W61" s="299" t="s">
        <v>384</v>
      </c>
      <c r="X61" s="299" t="s">
        <v>385</v>
      </c>
      <c r="Y61" s="613"/>
      <c r="Z61" s="618"/>
      <c r="AA61" s="598"/>
      <c r="AB61" s="618"/>
      <c r="AC61" s="598"/>
      <c r="AD61" s="618"/>
      <c r="AE61" s="611"/>
      <c r="AF61" s="300" t="s">
        <v>997</v>
      </c>
      <c r="AG61" s="300" t="s">
        <v>439</v>
      </c>
      <c r="AH61" s="300" t="s">
        <v>727</v>
      </c>
      <c r="AI61" s="273" t="s">
        <v>998</v>
      </c>
      <c r="AJ61" s="273" t="s">
        <v>999</v>
      </c>
      <c r="AK61" s="273" t="s">
        <v>988</v>
      </c>
      <c r="AL61" s="304">
        <v>44927</v>
      </c>
      <c r="AM61" s="304">
        <v>45291</v>
      </c>
      <c r="AN61" s="273"/>
      <c r="AO61" s="273"/>
      <c r="AP61" s="273"/>
      <c r="AQ61" s="273"/>
      <c r="AR61" s="273"/>
      <c r="AS61" s="273"/>
      <c r="AT61" s="373" t="s">
        <v>1000</v>
      </c>
      <c r="AU61" s="379" t="s">
        <v>1001</v>
      </c>
      <c r="AV61" s="163">
        <v>0</v>
      </c>
      <c r="AW61" s="163">
        <v>0</v>
      </c>
      <c r="AX61" s="391" t="s">
        <v>554</v>
      </c>
      <c r="AY61" s="391" t="s">
        <v>554</v>
      </c>
      <c r="AZ61" s="163" t="s">
        <v>402</v>
      </c>
      <c r="BA61" s="163" t="s">
        <v>402</v>
      </c>
      <c r="BB61" s="171"/>
      <c r="BC61" s="323" t="s">
        <v>1002</v>
      </c>
      <c r="BD61" s="324" t="s">
        <v>404</v>
      </c>
      <c r="BE61" s="324" t="s">
        <v>1003</v>
      </c>
      <c r="BF61" s="329"/>
      <c r="BG61" s="181" t="s">
        <v>402</v>
      </c>
      <c r="BH61" s="181" t="s">
        <v>402</v>
      </c>
      <c r="BI61" s="183" t="s">
        <v>401</v>
      </c>
      <c r="BJ61" s="323" t="s">
        <v>1004</v>
      </c>
      <c r="BK61" s="327" t="s">
        <v>408</v>
      </c>
      <c r="BL61" s="642"/>
      <c r="BM61" s="193"/>
      <c r="BN61" s="194"/>
      <c r="BO61" s="194"/>
      <c r="BP61" s="194"/>
      <c r="BQ61" s="194"/>
      <c r="BR61" s="194"/>
      <c r="BS61" s="194"/>
      <c r="BT61" s="194"/>
      <c r="BU61" s="204"/>
      <c r="BV61" s="205"/>
      <c r="BW61" s="206"/>
      <c r="BX61" s="206"/>
      <c r="BY61" s="206"/>
      <c r="BZ61" s="206"/>
      <c r="CA61" s="206"/>
      <c r="CB61" s="213"/>
      <c r="CC61" s="214"/>
      <c r="CD61" s="206"/>
      <c r="CE61" s="213"/>
      <c r="CF61" s="215"/>
      <c r="CG61" s="216"/>
      <c r="CH61" s="216"/>
      <c r="CI61" s="216"/>
      <c r="CJ61" s="216"/>
      <c r="CK61" s="216"/>
      <c r="CL61" s="216"/>
      <c r="CM61" s="216"/>
      <c r="CN61" s="225"/>
      <c r="CO61" s="226"/>
      <c r="CP61" s="227"/>
      <c r="CQ61" s="227"/>
      <c r="CR61" s="227"/>
      <c r="CS61" s="227"/>
      <c r="CT61" s="227"/>
      <c r="CU61" s="234"/>
      <c r="CV61" s="226"/>
      <c r="CW61" s="227"/>
      <c r="CX61" s="234"/>
    </row>
    <row r="62" spans="1:102" ht="216" customHeight="1">
      <c r="A62" s="271">
        <v>41</v>
      </c>
      <c r="B62" s="272" t="str">
        <f>IFERROR(VLOOKUP($A62,Riesgos!$A$7:$H$84,2,FALSE),"")</f>
        <v>Gestión Territorial del Patrimonio</v>
      </c>
      <c r="C62" s="272" t="str">
        <f>IFERROR(VLOOKUP($A62,Riesgos!$A$7:$H$84,7,FALSE),"")</f>
        <v>Debilidad en el seguimiento en los cambio en los instrumentos,  normas y la regulación de patrimonio cultural del Distrital o Nacional.</v>
      </c>
      <c r="D62" s="272" t="str">
        <f>IFERROR(VLOOKUP($A62,Riesgos!$A$7:$H$84,8,FALSE),"")</f>
        <v>Posibilidad de afectación reputacional por incumplimiento en la ejecución funciones responsabilidades de la Subdirección de Gestión de Territorial de Patrimonio debido a debilidades en el seguimiento en los cambio en los instrumentos,  normas y la regulación de patrimonio cultural del Distrital o Nacional relaciondas con su misionalidad .</v>
      </c>
      <c r="E62" s="273" t="s">
        <v>453</v>
      </c>
      <c r="F62" s="273">
        <v>4</v>
      </c>
      <c r="G62" s="335" t="str">
        <f>IF(F62&lt;=0,"",IF(F62&lt;='Listas y tablas'!$B$3,"Muy Baja",IF(F62&lt;='Listas y tablas'!$B$4,"Baja",IF(F62&lt;='Listas y tablas'!$B$5,"Media",IF(F62&lt;='Listas y tablas'!$B$6,"Alta","Muy Alta")))))</f>
        <v>Baja</v>
      </c>
      <c r="H62" s="336">
        <f>IF(G62="","",IF(G62="Muy Baja",'Listas y tablas'!$C$3,IF(G62="Baja",'Listas y tablas'!$C$4,IF(G62="Media",'Listas y tablas'!$C$5,IF(G62="Alta",'Listas y tablas'!$C$6,IF(G62="Muy Alta",'Listas y tablas'!$C$7,))))))</f>
        <v>0.4</v>
      </c>
      <c r="I62" s="338" t="s">
        <v>423</v>
      </c>
      <c r="J62" s="336" t="str">
        <f>IF(NOT(ISERROR(MATCH(I62,'Tabla Impacto'!$B$221:$B$223,0))),'Tabla Impacto'!$F$223&amp;"Por favor no seleccionar los criterios de impacto(Afectación Económica o presupuestal y Pérdida Reputacional)",I62)</f>
        <v xml:space="preserve">     El riesgo afecta la imagen de la entidad con algunos usuarios de relevancia frente al logro de los objetivos</v>
      </c>
      <c r="K62" s="335" t="str">
        <f>IF(OR(J62='Tabla Impacto'!$C$11,J62='Tabla Impacto'!$D$11),"Leve",IF(OR(J62='Tabla Impacto'!$C$12,J62='Tabla Impacto'!$D$12),"Menor",IF(OR(J62='Tabla Impacto'!$C$13,J62='Tabla Impacto'!$D$13),"Moderado",IF(OR(J62='Tabla Impacto'!$C$14,J62='Tabla Impacto'!$D$14),"Mayor",IF(OR(J62='Tabla Impacto'!$C$15,J62='Tabla Impacto'!$D$15),"Catastrófico","")))))</f>
        <v>Moderado</v>
      </c>
      <c r="L62" s="336">
        <f>IF(K62="","",IF(K62="Leve",'Listas y tablas'!$F$3,IF(K62="Menor",'Listas y tablas'!$F$4,IF(K62="Moderado",'Listas y tablas'!$F$5,IF(K62="Mayor",'Listas y tablas'!$F$6,IF(K62="Catastrófico",'Listas y tablas'!$F$7,))))))</f>
        <v>0.6</v>
      </c>
      <c r="M62" s="335" t="str">
        <f t="shared" si="25"/>
        <v>Moderado</v>
      </c>
      <c r="N62" s="335" t="str">
        <f t="shared" si="26"/>
        <v>G</v>
      </c>
      <c r="O62" s="337">
        <f>IF(ISTEXT(D62),1+O61,"")</f>
        <v>50</v>
      </c>
      <c r="P62" s="337" t="str">
        <f t="shared" si="28"/>
        <v>G50</v>
      </c>
      <c r="Q62" s="341" t="s">
        <v>1005</v>
      </c>
      <c r="R62" s="337" t="str">
        <f t="shared" si="23"/>
        <v>Probabilidad</v>
      </c>
      <c r="S62" s="299" t="s">
        <v>417</v>
      </c>
      <c r="T62" s="299" t="s">
        <v>382</v>
      </c>
      <c r="U62" s="339" t="str">
        <f t="shared" si="24"/>
        <v>30%</v>
      </c>
      <c r="V62" s="299" t="s">
        <v>383</v>
      </c>
      <c r="W62" s="299" t="s">
        <v>384</v>
      </c>
      <c r="X62" s="299" t="s">
        <v>385</v>
      </c>
      <c r="Y62" s="346">
        <f>IF(A61=A62,IFERROR(IF(AND(R61="Probabilidad",R62="Probabilidad"),(AA61-(+AA61*U62)),IF(R62="Probabilidad",(H61-(+H61*U62)),IF(R62="Impacto",AA61,""))),""),IFERROR(IF(R62="Probabilidad",(H62-(+H62*U62)),IF(R62="Impacto",K62,"")),""))</f>
        <v>0.28000000000000003</v>
      </c>
      <c r="Z62" s="154" t="str">
        <f>IFERROR(IF(Y62="","",IF(Y62&lt;='Listas y tablas'!$L$3,"Muy Baja",IF(Y62&lt;='Listas y tablas'!$L$4,"Baja",IF(Y62&lt;='Listas y tablas'!$L$5,"Media",IF(Y62&lt;='Listas y tablas'!$L$6,"Alta","Muy Alta"))))),"")</f>
        <v>Baja</v>
      </c>
      <c r="AA62" s="339">
        <f t="shared" si="30"/>
        <v>0.28000000000000003</v>
      </c>
      <c r="AB62" s="154" t="str">
        <f>IFERROR(IF(AC62="","",IF(AC62&lt;='Listas y tablas'!$O$3,"Leve",IF(AC62&lt;='Listas y tablas'!$O$4,"Menor",IF(AC62&lt;='Listas y tablas'!$O$5,"Moderado",IF(AC62&lt;='Listas y tablas'!$O$6,"Mayor","Catastrófico"))))),"")</f>
        <v>Catastrófico</v>
      </c>
      <c r="AC62" s="339">
        <f>IF(A61=A62,IFERROR(IF(AND(R61="Impacto",R62="Impacto"),(AC61-(+AC61*U62)),IF(R62="Impacto",($F61-(+$F61*U62)),IF(R62="Probabilidad",AC61,""))),""),IFERROR(IF(R62="Impacto",(F62-(+F62*U62)),IF(R62="Probabilidad",F62,"")),""))</f>
        <v>4</v>
      </c>
      <c r="AD62" s="154" t="str">
        <f t="shared" si="32"/>
        <v>Extremo</v>
      </c>
      <c r="AE62" s="299" t="s">
        <v>386</v>
      </c>
      <c r="AF62" s="351" t="s">
        <v>1006</v>
      </c>
      <c r="AG62" s="351" t="s">
        <v>411</v>
      </c>
      <c r="AH62" s="351" t="s">
        <v>1007</v>
      </c>
      <c r="AI62" s="351" t="s">
        <v>1008</v>
      </c>
      <c r="AJ62" s="351" t="s">
        <v>1009</v>
      </c>
      <c r="AK62" s="351" t="s">
        <v>1010</v>
      </c>
      <c r="AL62" s="366">
        <v>45689</v>
      </c>
      <c r="AM62" s="366">
        <v>46022</v>
      </c>
      <c r="AN62" s="273"/>
      <c r="AO62" s="273"/>
      <c r="AP62" s="273"/>
      <c r="AQ62" s="273"/>
      <c r="AR62" s="273"/>
      <c r="AS62" s="273"/>
      <c r="AT62" s="380"/>
      <c r="AU62" s="380"/>
      <c r="AV62" s="381"/>
      <c r="AW62" s="381"/>
      <c r="AX62" s="392"/>
      <c r="AY62" s="393"/>
      <c r="AZ62" s="380"/>
      <c r="BA62" s="381" t="s">
        <v>401</v>
      </c>
      <c r="BB62" s="380"/>
      <c r="BC62" s="323"/>
      <c r="BD62" s="324"/>
      <c r="BE62" s="324"/>
      <c r="BF62" s="329"/>
      <c r="BG62" s="181"/>
      <c r="BH62" s="181"/>
      <c r="BI62" s="183"/>
      <c r="BJ62" s="324"/>
      <c r="BK62" s="327"/>
      <c r="BL62" s="192"/>
      <c r="BM62" s="398"/>
      <c r="BN62" s="398"/>
      <c r="BO62" s="194"/>
      <c r="BP62" s="194"/>
      <c r="BQ62" s="398"/>
      <c r="BR62" s="398"/>
      <c r="BS62" s="194" t="s">
        <v>402</v>
      </c>
      <c r="BT62" s="194" t="s">
        <v>402</v>
      </c>
      <c r="BU62" s="204" t="s">
        <v>401</v>
      </c>
      <c r="BV62" s="205"/>
      <c r="BW62" s="206"/>
      <c r="BX62" s="206"/>
      <c r="BY62" s="206"/>
      <c r="BZ62" s="206"/>
      <c r="CA62" s="206"/>
      <c r="CB62" s="213"/>
      <c r="CC62" s="214"/>
      <c r="CD62" s="206"/>
      <c r="CE62" s="213"/>
      <c r="CF62" s="400"/>
      <c r="CG62" s="400"/>
      <c r="CH62" s="216"/>
      <c r="CI62" s="216"/>
      <c r="CJ62" s="400"/>
      <c r="CK62" s="400"/>
      <c r="CL62" s="216"/>
      <c r="CM62" s="216"/>
      <c r="CN62" s="225"/>
      <c r="CO62" s="226"/>
      <c r="CP62" s="227"/>
      <c r="CQ62" s="227"/>
      <c r="CR62" s="227"/>
      <c r="CS62" s="227"/>
      <c r="CT62" s="227"/>
      <c r="CU62" s="234"/>
      <c r="CV62" s="226"/>
      <c r="CW62" s="227"/>
      <c r="CX62" s="234"/>
    </row>
    <row r="63" spans="1:102" ht="171" customHeight="1">
      <c r="A63" s="271">
        <v>43</v>
      </c>
      <c r="B63" s="272" t="str">
        <f>IFERROR(VLOOKUP($A63,Riesgos!$A$7:$H$84,2,FALSE),"")</f>
        <v>Gestión Territorial del Patrimonio</v>
      </c>
      <c r="C63" s="272" t="str">
        <f>IFERROR(VLOOKUP($A63,Riesgos!$A$7:$H$84,7,FALSE),"")</f>
        <v>Incumplimiento en el programa de actividades presenciales en los territorios por las limitaciones logísticas y operativas para los desplazamientos del equipo de trabajo.</v>
      </c>
      <c r="D63" s="272" t="str">
        <f>IFERROR(VLOOKUP($A63,Riesgos!$A$7:$H$84,8,FALSE),"")</f>
        <v xml:space="preserve">Posibilidad de afectación reputacional por la falta de condiciones logisticas para la participación de la comunidad en el desarrollo y ejecución de metas de la Subdirección de Gestión Territorial , debido al incumplimiento en el programa de actividades presenciales en el territorio por las limitaciones logísticas y operativas para los desplazamientos del equipo de trabajo.
</v>
      </c>
      <c r="E63" s="273" t="s">
        <v>453</v>
      </c>
      <c r="F63" s="273">
        <v>10</v>
      </c>
      <c r="G63" s="335" t="str">
        <f>IF(F63&lt;=0,"",IF(F63&lt;='Listas y tablas'!$B$3,"Muy Baja",IF(F63&lt;='Listas y tablas'!$B$4,"Baja",IF(F63&lt;='Listas y tablas'!$B$5,"Media",IF(F63&lt;='Listas y tablas'!$B$6,"Alta","Muy Alta")))))</f>
        <v>Baja</v>
      </c>
      <c r="H63" s="336">
        <f>IF(G63="","",IF(G63="Muy Baja",'Listas y tablas'!$C$3,IF(G63="Baja",'Listas y tablas'!$C$4,IF(G63="Media",'Listas y tablas'!$C$5,IF(G63="Alta",'Listas y tablas'!$C$6,IF(G63="Muy Alta",'Listas y tablas'!$C$7,))))))</f>
        <v>0.4</v>
      </c>
      <c r="I63" s="338" t="s">
        <v>423</v>
      </c>
      <c r="J63" s="336" t="str">
        <f>IF(NOT(ISERROR(MATCH(I63,'Tabla Impacto'!$B$221:$B$223,0))),'Tabla Impacto'!$F$223&amp;"Por favor no seleccionar los criterios de impacto(Afectación Económica o presupuestal y Pérdida Reputacional)",I63)</f>
        <v xml:space="preserve">     El riesgo afecta la imagen de la entidad con algunos usuarios de relevancia frente al logro de los objetivos</v>
      </c>
      <c r="K63" s="335" t="str">
        <f>IF(OR(J63='Tabla Impacto'!$C$11,J63='Tabla Impacto'!$D$11),"Leve",IF(OR(J63='Tabla Impacto'!$C$12,J63='Tabla Impacto'!$D$12),"Menor",IF(OR(J63='Tabla Impacto'!$C$13,J63='Tabla Impacto'!$D$13),"Moderado",IF(OR(J63='Tabla Impacto'!$C$14,J63='Tabla Impacto'!$D$14),"Mayor",IF(OR(J63='Tabla Impacto'!$C$15,J63='Tabla Impacto'!$D$15),"Catastrófico","")))))</f>
        <v>Moderado</v>
      </c>
      <c r="L63" s="336">
        <f>IF(K63="","",IF(K63="Leve",'Listas y tablas'!$F$3,IF(K63="Menor",'Listas y tablas'!$F$4,IF(K63="Moderado",'Listas y tablas'!$F$5,IF(K63="Mayor",'Listas y tablas'!$F$6,IF(K63="Catastrófico",'Listas y tablas'!$F$7,))))))</f>
        <v>0.6</v>
      </c>
      <c r="M63" s="335" t="str">
        <f t="shared" si="25"/>
        <v>Moderado</v>
      </c>
      <c r="N63" s="335" t="str">
        <f t="shared" si="26"/>
        <v>G</v>
      </c>
      <c r="O63" s="337" t="e">
        <f>IF(ISTEXT(D63),1+#REF!,"")</f>
        <v>#REF!</v>
      </c>
      <c r="P63" s="337" t="e">
        <f t="shared" si="28"/>
        <v>#REF!</v>
      </c>
      <c r="Q63" s="341" t="s">
        <v>1011</v>
      </c>
      <c r="R63" s="342" t="str">
        <f t="shared" si="23"/>
        <v>Probabilidad</v>
      </c>
      <c r="S63" s="343" t="s">
        <v>381</v>
      </c>
      <c r="T63" s="343" t="s">
        <v>382</v>
      </c>
      <c r="U63" s="344" t="str">
        <f t="shared" si="24"/>
        <v>40%</v>
      </c>
      <c r="V63" s="343" t="s">
        <v>383</v>
      </c>
      <c r="W63" s="343" t="s">
        <v>384</v>
      </c>
      <c r="X63" s="343" t="s">
        <v>385</v>
      </c>
      <c r="Y63" s="352" t="e">
        <f>IF(#REF!=A63,IFERROR(IF(AND(#REF!="Probabilidad",R63="Probabilidad"),(#REF!-(+#REF!*U63)),IF(R63="Probabilidad",(#REF!-(+#REF!*U63)),IF(R63="Impacto",#REF!,""))),""),IFERROR(IF(R63="Probabilidad",(H63-(+H63*U63)),IF(R63="Impacto",K63,"")),""))</f>
        <v>#REF!</v>
      </c>
      <c r="Z63" s="353" t="str">
        <f>IFERROR(IF(Y63="","",IF(Y63&lt;='Listas y tablas'!$L$3,"Muy Baja",IF(Y63&lt;='Listas y tablas'!$L$4,"Baja",IF(Y63&lt;='Listas y tablas'!$L$5,"Media",IF(Y63&lt;='Listas y tablas'!$L$6,"Alta","Muy Alta"))))),"")</f>
        <v/>
      </c>
      <c r="AA63" s="344" t="e">
        <f t="shared" si="30"/>
        <v>#REF!</v>
      </c>
      <c r="AB63" s="353" t="str">
        <f>IFERROR(IF(AC63="","",IF(AC63&lt;='Listas y tablas'!$O$3,"Leve",IF(AC63&lt;='Listas y tablas'!$O$4,"Menor",IF(AC63&lt;='Listas y tablas'!$O$5,"Moderado",IF(AC63&lt;='Listas y tablas'!$O$6,"Mayor","Catastrófico"))))),"")</f>
        <v/>
      </c>
      <c r="AC63" s="344" t="e">
        <f>IF(#REF!=A63,IFERROR(IF(AND(#REF!="Impacto",R63="Impacto"),(#REF!-(+#REF!*U63)),IF(R63="Impacto",(#REF!-(+#REF!*U63)),IF(R63="Probabilidad",#REF!,""))),""),IFERROR(IF(R63="Impacto",(F63-(+F63*U63)),IF(R63="Probabilidad",F63,"")),""))</f>
        <v>#REF!</v>
      </c>
      <c r="AD63" s="353" t="str">
        <f t="shared" si="32"/>
        <v/>
      </c>
      <c r="AE63" s="343" t="s">
        <v>386</v>
      </c>
      <c r="AF63" s="351" t="s">
        <v>1012</v>
      </c>
      <c r="AG63" s="351" t="s">
        <v>1013</v>
      </c>
      <c r="AH63" s="351" t="s">
        <v>1014</v>
      </c>
      <c r="AI63" s="351" t="s">
        <v>1015</v>
      </c>
      <c r="AJ63" s="351" t="s">
        <v>1016</v>
      </c>
      <c r="AK63" s="351" t="s">
        <v>1010</v>
      </c>
      <c r="AL63" s="366">
        <v>45690</v>
      </c>
      <c r="AM63" s="366">
        <v>46022</v>
      </c>
      <c r="AN63" s="273"/>
      <c r="AO63" s="273"/>
      <c r="AP63" s="273"/>
      <c r="AQ63" s="273"/>
      <c r="AR63" s="273"/>
      <c r="AS63" s="273"/>
      <c r="AT63" s="380"/>
      <c r="AU63" s="380"/>
      <c r="AV63" s="382"/>
      <c r="AW63" s="382"/>
      <c r="AX63" s="394"/>
      <c r="AY63" s="394"/>
      <c r="AZ63" s="380"/>
      <c r="BA63" s="381" t="s">
        <v>401</v>
      </c>
      <c r="BB63" s="380" t="s">
        <v>1017</v>
      </c>
      <c r="BC63" s="323"/>
      <c r="BD63" s="324"/>
      <c r="BE63" s="324"/>
      <c r="BF63" s="329"/>
      <c r="BG63" s="181"/>
      <c r="BH63" s="181"/>
      <c r="BI63" s="183"/>
      <c r="BJ63" s="323"/>
      <c r="BK63" s="327"/>
      <c r="BL63" s="192"/>
      <c r="BM63" s="399"/>
      <c r="BN63" s="399"/>
      <c r="BO63" s="194"/>
      <c r="BP63" s="194"/>
      <c r="BQ63" s="399"/>
      <c r="BR63" s="399"/>
      <c r="BS63" s="194" t="s">
        <v>402</v>
      </c>
      <c r="BT63" s="194" t="s">
        <v>402</v>
      </c>
      <c r="BU63" s="204" t="s">
        <v>401</v>
      </c>
      <c r="BV63" s="205"/>
      <c r="BW63" s="206"/>
      <c r="BX63" s="206"/>
      <c r="BY63" s="206"/>
      <c r="BZ63" s="206"/>
      <c r="CA63" s="206"/>
      <c r="CB63" s="213"/>
      <c r="CC63" s="214"/>
      <c r="CD63" s="206"/>
      <c r="CE63" s="213"/>
      <c r="CF63" s="400"/>
      <c r="CG63" s="400"/>
      <c r="CH63" s="216"/>
      <c r="CI63" s="216"/>
      <c r="CJ63" s="400"/>
      <c r="CK63" s="400"/>
      <c r="CL63" s="216"/>
      <c r="CM63" s="216"/>
      <c r="CN63" s="225"/>
      <c r="CO63" s="226"/>
      <c r="CP63" s="227"/>
      <c r="CQ63" s="227"/>
      <c r="CR63" s="227"/>
      <c r="CS63" s="227"/>
      <c r="CT63" s="227"/>
      <c r="CU63" s="234"/>
      <c r="CV63" s="226"/>
      <c r="CW63" s="227"/>
      <c r="CX63" s="234"/>
    </row>
    <row r="64" spans="1:102" ht="207.95" customHeight="1">
      <c r="A64" s="401">
        <v>44</v>
      </c>
      <c r="B64" s="402" t="str">
        <f>IFERROR(VLOOKUP($A64,Riesgos!$A$7:$H$84,2,FALSE),"")</f>
        <v>Gestión Territorial del Patrimonio</v>
      </c>
      <c r="C64" s="402" t="str">
        <f>IFERROR(VLOOKUP($A64,Riesgos!$A$7:$H$84,7,FALSE),"")</f>
        <v>Incumplimiento en la entrega de los actos administrativos que modifican la información del inventario y las equiparaciones aprobadas en los BIC por el equipo responsable</v>
      </c>
      <c r="D64" s="402" t="str">
        <f>IFERROR(VLOOKUP($A64,Riesgos!$A$7:$H$84,8,FALSE),"")</f>
        <v>Posibilidad de afectación reputacional por información desactualizada del inventario del Patrimonio Cultural por no cumplir con los criterios de estandarización debido al incumplimiento en la actualizacion del reporte de los actos administrativos que modifican la información del inventario y las equiparaciones aprobadas en los BIC por el equipo responsable</v>
      </c>
      <c r="E64" s="403" t="s">
        <v>453</v>
      </c>
      <c r="F64" s="403">
        <v>3</v>
      </c>
      <c r="G64" s="594" t="str">
        <f>IF(F64&lt;=0,"",IF(F64&lt;='Listas y tablas'!$B$3,"Muy Baja",IF(F64&lt;='Listas y tablas'!$B$4,"Baja",IF(F64&lt;='Listas y tablas'!$B$5,"Media",IF(F64&lt;='Listas y tablas'!$B$6,"Alta","Muy Alta")))))</f>
        <v>Baja</v>
      </c>
      <c r="H64" s="597">
        <f>IF(G64="","",IF(G64="Muy Baja",'Listas y tablas'!$C$3,IF(G64="Baja",'Listas y tablas'!$C$4,IF(G64="Media",'Listas y tablas'!$C$5,IF(G64="Alta",'Listas y tablas'!$C$6,IF(G64="Muy Alta",'Listas y tablas'!$C$7,))))))</f>
        <v>0.4</v>
      </c>
      <c r="I64" s="600" t="s">
        <v>423</v>
      </c>
      <c r="J64" s="597" t="str">
        <f>IF(NOT(ISERROR(MATCH(I64,'Tabla Impacto'!$B$221:$B$223,0))),'Tabla Impacto'!$F$223&amp;"Por favor no seleccionar los criterios de impacto(Afectación Económica o presupuestal y Pérdida Reputacional)",I64)</f>
        <v xml:space="preserve">     El riesgo afecta la imagen de la entidad con algunos usuarios de relevancia frente al logro de los objetivos</v>
      </c>
      <c r="K64" s="594" t="str">
        <f>IF(OR(J64='Tabla Impacto'!$C$11,J64='Tabla Impacto'!$D$11),"Leve",IF(OR(J64='Tabla Impacto'!$C$12,J64='Tabla Impacto'!$D$12),"Menor",IF(OR(J64='Tabla Impacto'!$C$13,J64='Tabla Impacto'!$D$13),"Moderado",IF(OR(J64='Tabla Impacto'!$C$14,J64='Tabla Impacto'!$D$14),"Mayor",IF(OR(J64='Tabla Impacto'!$C$15,J64='Tabla Impacto'!$D$15),"Catastrófico","")))))</f>
        <v>Moderado</v>
      </c>
      <c r="L64" s="597">
        <f>IF(K64="","",IF(K64="Leve",'Listas y tablas'!$F$3,IF(K64="Menor",'Listas y tablas'!$F$4,IF(K64="Moderado",'Listas y tablas'!$F$5,IF(K64="Mayor",'Listas y tablas'!$F$6,IF(K64="Catastrófico",'Listas y tablas'!$F$7,))))))</f>
        <v>0.6</v>
      </c>
      <c r="M64" s="594" t="str">
        <f t="shared" si="25"/>
        <v>Moderado</v>
      </c>
      <c r="N64" s="335" t="str">
        <f t="shared" si="26"/>
        <v>G</v>
      </c>
      <c r="O64" s="337" t="e">
        <f t="shared" si="27"/>
        <v>#REF!</v>
      </c>
      <c r="P64" s="337" t="e">
        <f t="shared" si="28"/>
        <v>#REF!</v>
      </c>
      <c r="Q64" s="341" t="s">
        <v>1018</v>
      </c>
      <c r="R64" s="342" t="str">
        <f t="shared" si="23"/>
        <v>Probabilidad</v>
      </c>
      <c r="S64" s="343" t="s">
        <v>381</v>
      </c>
      <c r="T64" s="343" t="s">
        <v>382</v>
      </c>
      <c r="U64" s="344" t="str">
        <f t="shared" si="24"/>
        <v>40%</v>
      </c>
      <c r="V64" s="343" t="s">
        <v>383</v>
      </c>
      <c r="W64" s="343" t="s">
        <v>384</v>
      </c>
      <c r="X64" s="343" t="s">
        <v>385</v>
      </c>
      <c r="Y64" s="615">
        <f t="shared" si="29"/>
        <v>0.24</v>
      </c>
      <c r="Z64" s="620" t="str">
        <f>IFERROR(IF(Y64="","",IF(Y64&lt;='Listas y tablas'!$L$3,"Muy Baja",IF(Y64&lt;='Listas y tablas'!$L$4,"Baja",IF(Y64&lt;='Listas y tablas'!$L$5,"Media",IF(Y64&lt;='Listas y tablas'!$L$6,"Alta","Muy Alta"))))),"")</f>
        <v>Baja</v>
      </c>
      <c r="AA64" s="622">
        <f t="shared" si="30"/>
        <v>0.24</v>
      </c>
      <c r="AB64" s="620" t="str">
        <f>IFERROR(IF(AC64="","",IF(AC64&lt;='Listas y tablas'!$O$3,"Leve",IF(AC64&lt;='Listas y tablas'!$O$4,"Menor",IF(AC64&lt;='Listas y tablas'!$O$5,"Moderado",IF(AC64&lt;='Listas y tablas'!$O$6,"Mayor","Catastrófico"))))),"")</f>
        <v>Catastrófico</v>
      </c>
      <c r="AC64" s="622">
        <f t="shared" si="31"/>
        <v>3</v>
      </c>
      <c r="AD64" s="620" t="str">
        <f t="shared" si="32"/>
        <v>Extremo</v>
      </c>
      <c r="AE64" s="624" t="s">
        <v>386</v>
      </c>
      <c r="AF64" s="351" t="s">
        <v>1019</v>
      </c>
      <c r="AG64" s="351" t="s">
        <v>1020</v>
      </c>
      <c r="AH64" s="351" t="s">
        <v>1014</v>
      </c>
      <c r="AI64" s="351" t="s">
        <v>1021</v>
      </c>
      <c r="AJ64" s="351" t="s">
        <v>1022</v>
      </c>
      <c r="AK64" s="351" t="s">
        <v>1023</v>
      </c>
      <c r="AL64" s="366">
        <v>45658</v>
      </c>
      <c r="AM64" s="366">
        <v>46022</v>
      </c>
      <c r="AN64" s="273"/>
      <c r="AO64" s="273"/>
      <c r="AP64" s="273"/>
      <c r="AQ64" s="273"/>
      <c r="AR64" s="273"/>
      <c r="AS64" s="273"/>
      <c r="AT64" s="409"/>
      <c r="AU64" s="409"/>
      <c r="AV64" s="382"/>
      <c r="AW64" s="382"/>
      <c r="AX64" s="271"/>
      <c r="AY64" s="271"/>
      <c r="AZ64" s="380"/>
      <c r="BA64" s="381" t="s">
        <v>401</v>
      </c>
      <c r="BB64" s="380" t="s">
        <v>1017</v>
      </c>
      <c r="BC64" s="323"/>
      <c r="BD64" s="324"/>
      <c r="BE64" s="324"/>
      <c r="BF64" s="329"/>
      <c r="BG64" s="181"/>
      <c r="BH64" s="181"/>
      <c r="BI64" s="183"/>
      <c r="BJ64" s="323"/>
      <c r="BK64" s="327"/>
      <c r="BL64" s="641"/>
      <c r="BM64" s="399"/>
      <c r="BN64" s="399"/>
      <c r="BO64" s="399"/>
      <c r="BP64" s="399"/>
      <c r="BQ64" s="413"/>
      <c r="BR64" s="399"/>
      <c r="BS64" s="194"/>
      <c r="BT64" s="194"/>
      <c r="BU64" s="204"/>
      <c r="BV64" s="205"/>
      <c r="BW64" s="206"/>
      <c r="BX64" s="206"/>
      <c r="BY64" s="206"/>
      <c r="BZ64" s="206"/>
      <c r="CA64" s="206"/>
      <c r="CB64" s="213"/>
      <c r="CC64" s="214"/>
      <c r="CD64" s="206"/>
      <c r="CE64" s="213"/>
      <c r="CF64" s="400"/>
      <c r="CG64" s="400"/>
      <c r="CH64" s="399"/>
      <c r="CI64" s="399"/>
      <c r="CJ64" s="400"/>
      <c r="CK64" s="400"/>
      <c r="CL64" s="216"/>
      <c r="CM64" s="216"/>
      <c r="CN64" s="225"/>
      <c r="CO64" s="226"/>
      <c r="CP64" s="227"/>
      <c r="CQ64" s="227"/>
      <c r="CR64" s="227"/>
      <c r="CS64" s="227"/>
      <c r="CT64" s="227"/>
      <c r="CU64" s="234"/>
      <c r="CV64" s="226"/>
      <c r="CW64" s="227"/>
      <c r="CX64" s="234"/>
    </row>
    <row r="65" spans="1:102" ht="160.5" customHeight="1">
      <c r="A65" s="404">
        <v>44</v>
      </c>
      <c r="B65" s="402" t="str">
        <f>IFERROR(VLOOKUP($A65,Riesgos!$A$7:$H$84,2,FALSE),"")</f>
        <v>Gestión Territorial del Patrimonio</v>
      </c>
      <c r="C65" s="402" t="str">
        <f>IFERROR(VLOOKUP($A65,Riesgos!$A$7:$H$84,7,FALSE),"")</f>
        <v>Incumplimiento en la entrega de los actos administrativos que modifican la información del inventario y las equiparaciones aprobadas en los BIC por el equipo responsable</v>
      </c>
      <c r="D65" s="402" t="str">
        <f>IFERROR(VLOOKUP($A65,Riesgos!$A$7:$H$84,8,FALSE),"")</f>
        <v>Posibilidad de afectación reputacional por información desactualizada del inventario del Patrimonio Cultural por no cumplir con los criterios de estandarización debido al incumplimiento en la actualizacion del reporte de los actos administrativos que modifican la información del inventario y las equiparaciones aprobadas en los BIC por el equipo responsable</v>
      </c>
      <c r="E65" s="403" t="s">
        <v>453</v>
      </c>
      <c r="F65" s="403">
        <v>3</v>
      </c>
      <c r="G65" s="595"/>
      <c r="H65" s="598"/>
      <c r="I65" s="601"/>
      <c r="J65" s="598"/>
      <c r="K65" s="595"/>
      <c r="L65" s="598"/>
      <c r="M65" s="595"/>
      <c r="N65" s="335" t="str">
        <f>+IF(ISTEXT(D64),"G","")</f>
        <v>G</v>
      </c>
      <c r="O65" s="337" t="e">
        <f>IF(ISTEXT(D64),1+O64,"")</f>
        <v>#REF!</v>
      </c>
      <c r="P65" s="337" t="e">
        <f>IF(ISTEXT(D64),CONCATENATE(N65,O65),"")</f>
        <v>#REF!</v>
      </c>
      <c r="Q65" s="341" t="s">
        <v>1024</v>
      </c>
      <c r="R65" s="342" t="str">
        <f t="shared" si="23"/>
        <v>Probabilidad</v>
      </c>
      <c r="S65" s="343" t="s">
        <v>381</v>
      </c>
      <c r="T65" s="343" t="s">
        <v>382</v>
      </c>
      <c r="U65" s="344" t="str">
        <f t="shared" si="24"/>
        <v>40%</v>
      </c>
      <c r="V65" s="343" t="s">
        <v>383</v>
      </c>
      <c r="W65" s="343" t="s">
        <v>384</v>
      </c>
      <c r="X65" s="343" t="s">
        <v>385</v>
      </c>
      <c r="Y65" s="616"/>
      <c r="Z65" s="621"/>
      <c r="AA65" s="623"/>
      <c r="AB65" s="621"/>
      <c r="AC65" s="623"/>
      <c r="AD65" s="621"/>
      <c r="AE65" s="625"/>
      <c r="AF65" s="351" t="s">
        <v>1025</v>
      </c>
      <c r="AG65" s="405" t="s">
        <v>767</v>
      </c>
      <c r="AH65" s="405" t="s">
        <v>1014</v>
      </c>
      <c r="AI65" s="351" t="s">
        <v>1026</v>
      </c>
      <c r="AJ65" s="351" t="s">
        <v>1027</v>
      </c>
      <c r="AK65" s="351" t="s">
        <v>1023</v>
      </c>
      <c r="AL65" s="366">
        <v>45658</v>
      </c>
      <c r="AM65" s="366">
        <v>46022</v>
      </c>
      <c r="AN65" s="273"/>
      <c r="AO65" s="273"/>
      <c r="AP65" s="273"/>
      <c r="AQ65" s="273"/>
      <c r="AR65" s="273"/>
      <c r="AS65" s="273"/>
      <c r="AT65" s="409"/>
      <c r="AU65" s="409"/>
      <c r="AV65" s="382"/>
      <c r="AW65" s="382"/>
      <c r="AX65" s="271"/>
      <c r="AY65" s="271"/>
      <c r="AZ65" s="380"/>
      <c r="BA65" s="381" t="s">
        <v>401</v>
      </c>
      <c r="BB65" s="380"/>
      <c r="BC65" s="323"/>
      <c r="BD65" s="324"/>
      <c r="BE65" s="324"/>
      <c r="BF65" s="329"/>
      <c r="BG65" s="181"/>
      <c r="BH65" s="181"/>
      <c r="BI65" s="183"/>
      <c r="BJ65" s="323"/>
      <c r="BK65" s="327"/>
      <c r="BL65" s="642"/>
      <c r="BM65" s="399"/>
      <c r="BN65" s="399"/>
      <c r="BO65" s="399"/>
      <c r="BP65" s="399"/>
      <c r="BQ65" s="399"/>
      <c r="BR65" s="399"/>
      <c r="BS65" s="194"/>
      <c r="BT65" s="194"/>
      <c r="BU65" s="204"/>
      <c r="BV65" s="205"/>
      <c r="BW65" s="206"/>
      <c r="BX65" s="206"/>
      <c r="BY65" s="206"/>
      <c r="BZ65" s="206"/>
      <c r="CA65" s="206"/>
      <c r="CB65" s="213"/>
      <c r="CC65" s="214"/>
      <c r="CD65" s="206"/>
      <c r="CE65" s="213"/>
      <c r="CF65" s="400"/>
      <c r="CG65" s="400"/>
      <c r="CH65" s="400"/>
      <c r="CI65" s="400"/>
      <c r="CJ65" s="400"/>
      <c r="CK65" s="400"/>
      <c r="CL65" s="216"/>
      <c r="CM65" s="216"/>
      <c r="CN65" s="225"/>
      <c r="CO65" s="226"/>
      <c r="CP65" s="227"/>
      <c r="CQ65" s="227"/>
      <c r="CR65" s="227"/>
      <c r="CS65" s="227"/>
      <c r="CT65" s="227"/>
      <c r="CU65" s="234"/>
      <c r="CV65" s="226"/>
      <c r="CW65" s="227"/>
      <c r="CX65" s="234"/>
    </row>
    <row r="66" spans="1:102" ht="151.5" hidden="1" customHeight="1">
      <c r="A66" s="581">
        <v>46</v>
      </c>
      <c r="B66" s="584" t="str">
        <f>IFERROR(VLOOKUP($A66,Riesgos!$A$7:$H$84,2,FALSE),"")</f>
        <v/>
      </c>
      <c r="C66" s="584" t="str">
        <f>IFERROR(VLOOKUP($A66,Riesgos!$A$7:$H$84,7,FALSE),"")</f>
        <v/>
      </c>
      <c r="D66" s="584" t="str">
        <f>IFERROR(VLOOKUP($A66,Riesgos!$A$7:$H$84,8,FALSE),"")</f>
        <v/>
      </c>
      <c r="E66" s="589" t="s">
        <v>574</v>
      </c>
      <c r="F66" s="589">
        <v>13</v>
      </c>
      <c r="G66" s="594" t="str">
        <f>IF(F66&lt;=0,"",IF(F66&lt;='Listas y tablas'!$B$3,"Muy Baja",IF(F66&lt;='Listas y tablas'!$B$4,"Baja",IF(F66&lt;='Listas y tablas'!$B$5,"Media",IF(F66&lt;='Listas y tablas'!$B$6,"Alta","Muy Alta")))))</f>
        <v>Baja</v>
      </c>
      <c r="H66" s="597">
        <f>IF(G66="","",IF(G66="Muy Baja",'Listas y tablas'!$C$3,IF(G66="Baja",'Listas y tablas'!$C$4,IF(G66="Media",'Listas y tablas'!$C$5,IF(G66="Alta",'Listas y tablas'!$C$6,IF(G66="Muy Alta",'Listas y tablas'!$C$7,))))))</f>
        <v>0.4</v>
      </c>
      <c r="I66" s="600" t="s">
        <v>1028</v>
      </c>
      <c r="J66" s="597" t="str">
        <f>IF(NOT(ISERROR(MATCH(I66,'Tabla Impacto'!$B$221:$B$223,0))),'Tabla Impacto'!$F$223&amp;"Por favor no seleccionar los criterios de impacto(Afectación Económica o presupuestal y Pérdida Reputacional)",I66)</f>
        <v xml:space="preserve">     El riesgo afecta la imagen de la entidad internamente, de conocimiento general, nivel interno, de junta dircetiva y accionistas y/o de provedores</v>
      </c>
      <c r="K66" s="594" t="str">
        <f>IF(OR(J66='Tabla Impacto'!$C$11,J66='Tabla Impacto'!$D$11),"Leve",IF(OR(J66='Tabla Impacto'!$C$12,J66='Tabla Impacto'!$D$12),"Menor",IF(OR(J66='Tabla Impacto'!$C$13,J66='Tabla Impacto'!$D$13),"Moderado",IF(OR(J66='Tabla Impacto'!$C$14,J66='Tabla Impacto'!$D$14),"Mayor",IF(OR(J66='Tabla Impacto'!$C$15,J66='Tabla Impacto'!$D$15),"Catastrófico","")))))</f>
        <v>Menor</v>
      </c>
      <c r="L66" s="597">
        <f>IF(K66="","",IF(K66="Leve",'Listas y tablas'!$F$3,IF(K66="Menor",'Listas y tablas'!$F$4,IF(K66="Moderado",'Listas y tablas'!$F$5,IF(K66="Mayor",'Listas y tablas'!$F$6,IF(K66="Catastrófico",'Listas y tablas'!$F$7,))))))</f>
        <v>0.4</v>
      </c>
      <c r="M66" s="594" t="str">
        <f t="shared" si="25"/>
        <v>Moderado</v>
      </c>
      <c r="N66" s="335" t="str">
        <f t="shared" si="26"/>
        <v>G</v>
      </c>
      <c r="O66" s="337" t="e">
        <f>IF(ISTEXT(D66),1+#REF!,"")</f>
        <v>#REF!</v>
      </c>
      <c r="P66" s="337" t="e">
        <f t="shared" si="28"/>
        <v>#REF!</v>
      </c>
      <c r="Q66" s="286" t="s">
        <v>1029</v>
      </c>
      <c r="R66" s="337" t="str">
        <f t="shared" si="23"/>
        <v>Probabilidad</v>
      </c>
      <c r="S66" s="299" t="s">
        <v>381</v>
      </c>
      <c r="T66" s="299" t="s">
        <v>382</v>
      </c>
      <c r="U66" s="339" t="str">
        <f t="shared" si="24"/>
        <v>40%</v>
      </c>
      <c r="V66" s="299" t="s">
        <v>383</v>
      </c>
      <c r="W66" s="299" t="s">
        <v>384</v>
      </c>
      <c r="X66" s="299" t="s">
        <v>385</v>
      </c>
      <c r="Y66" s="612" t="e">
        <f>IF(#REF!=A66,IFERROR(IF(AND(#REF!="Probabilidad",R66="Probabilidad"),(#REF!-(+#REF!*U66)),IF(R66="Probabilidad",(#REF!-(+#REF!*U66)),IF(R66="Impacto",#REF!,""))),""),IFERROR(IF(R66="Probabilidad",(H66-(+H66*U66)),IF(R66="Impacto",K66,"")),""))</f>
        <v>#REF!</v>
      </c>
      <c r="Z66" s="617" t="str">
        <f>IFERROR(IF(Y66="","",IF(Y66&lt;='Listas y tablas'!$L$3,"Muy Baja",IF(Y66&lt;='Listas y tablas'!$L$4,"Baja",IF(Y66&lt;='Listas y tablas'!$L$5,"Media",IF(Y66&lt;='Listas y tablas'!$L$6,"Alta","Muy Alta"))))),"")</f>
        <v/>
      </c>
      <c r="AA66" s="597" t="e">
        <f t="shared" si="30"/>
        <v>#REF!</v>
      </c>
      <c r="AB66" s="617" t="str">
        <f>IFERROR(IF(AC66="","",IF(AC66&lt;='Listas y tablas'!$O$3,"Leve",IF(AC66&lt;='Listas y tablas'!$O$4,"Menor",IF(AC66&lt;='Listas y tablas'!$O$5,"Moderado",IF(AC66&lt;='Listas y tablas'!$O$6,"Mayor","Catastrófico"))))),"")</f>
        <v/>
      </c>
      <c r="AC66" s="597" t="e">
        <f>IF(#REF!=A66,IFERROR(IF(AND(#REF!="Impacto",R66="Impacto"),(#REF!-(+#REF!*U66)),IF(R66="Impacto",(#REF!-(+#REF!*U66)),IF(R66="Probabilidad",#REF!,""))),""),IFERROR(IF(R66="Impacto",(F66-(+F66*U66)),IF(R66="Probabilidad",F66,"")),""))</f>
        <v>#REF!</v>
      </c>
      <c r="AD66" s="617" t="str">
        <f t="shared" si="32"/>
        <v/>
      </c>
      <c r="AE66" s="609" t="s">
        <v>386</v>
      </c>
      <c r="AF66" s="300" t="s">
        <v>1030</v>
      </c>
      <c r="AG66" s="271" t="s">
        <v>411</v>
      </c>
      <c r="AH66" s="271" t="s">
        <v>591</v>
      </c>
      <c r="AI66" s="273" t="s">
        <v>1031</v>
      </c>
      <c r="AJ66" s="273" t="s">
        <v>1032</v>
      </c>
      <c r="AK66" s="273" t="s">
        <v>1033</v>
      </c>
      <c r="AL66" s="304">
        <v>44958</v>
      </c>
      <c r="AM66" s="304">
        <v>45291</v>
      </c>
      <c r="AN66" s="273"/>
      <c r="AO66" s="273"/>
      <c r="AP66" s="273"/>
      <c r="AQ66" s="273"/>
      <c r="AR66" s="273"/>
      <c r="AS66" s="273"/>
      <c r="AT66" s="319" t="s">
        <v>1034</v>
      </c>
      <c r="AU66" s="320" t="s">
        <v>1035</v>
      </c>
      <c r="AV66" s="321">
        <v>1</v>
      </c>
      <c r="AW66" s="321">
        <v>1</v>
      </c>
      <c r="AX66" s="320" t="s">
        <v>1036</v>
      </c>
      <c r="AY66" s="320" t="s">
        <v>1037</v>
      </c>
      <c r="AZ66" s="163" t="s">
        <v>402</v>
      </c>
      <c r="BA66" s="163" t="s">
        <v>402</v>
      </c>
      <c r="BB66" s="171"/>
      <c r="BC66" s="323" t="s">
        <v>1038</v>
      </c>
      <c r="BD66" s="324" t="s">
        <v>404</v>
      </c>
      <c r="BE66" s="324" t="s">
        <v>1039</v>
      </c>
      <c r="BF66" s="329" t="s">
        <v>434</v>
      </c>
      <c r="BG66" s="181" t="s">
        <v>402</v>
      </c>
      <c r="BH66" s="181" t="s">
        <v>402</v>
      </c>
      <c r="BI66" s="183" t="s">
        <v>401</v>
      </c>
      <c r="BJ66" s="323" t="s">
        <v>1040</v>
      </c>
      <c r="BK66" s="327" t="s">
        <v>558</v>
      </c>
      <c r="BL66" s="641" t="s">
        <v>402</v>
      </c>
      <c r="BM66" s="193"/>
      <c r="BN66" s="194"/>
      <c r="BO66" s="194"/>
      <c r="BP66" s="194"/>
      <c r="BQ66" s="194"/>
      <c r="BR66" s="194"/>
      <c r="BS66" s="194"/>
      <c r="BT66" s="194"/>
      <c r="BU66" s="204"/>
      <c r="BV66" s="205"/>
      <c r="BW66" s="206"/>
      <c r="BX66" s="206"/>
      <c r="BY66" s="206"/>
      <c r="BZ66" s="206"/>
      <c r="CA66" s="206"/>
      <c r="CB66" s="213"/>
      <c r="CC66" s="214"/>
      <c r="CD66" s="206"/>
      <c r="CE66" s="213"/>
      <c r="CF66" s="215"/>
      <c r="CG66" s="216"/>
      <c r="CH66" s="216"/>
      <c r="CI66" s="216"/>
      <c r="CJ66" s="216"/>
      <c r="CK66" s="216"/>
      <c r="CL66" s="216"/>
      <c r="CM66" s="216"/>
      <c r="CN66" s="225"/>
      <c r="CO66" s="226"/>
      <c r="CP66" s="227"/>
      <c r="CQ66" s="227"/>
      <c r="CR66" s="227"/>
      <c r="CS66" s="227"/>
      <c r="CT66" s="227"/>
      <c r="CU66" s="234"/>
      <c r="CV66" s="226"/>
      <c r="CW66" s="227"/>
      <c r="CX66" s="234"/>
    </row>
    <row r="67" spans="1:102" ht="151.5" hidden="1" customHeight="1">
      <c r="A67" s="582"/>
      <c r="B67" s="585"/>
      <c r="C67" s="585"/>
      <c r="D67" s="585"/>
      <c r="E67" s="590"/>
      <c r="F67" s="590"/>
      <c r="G67" s="595"/>
      <c r="H67" s="598"/>
      <c r="I67" s="601"/>
      <c r="J67" s="598"/>
      <c r="K67" s="595"/>
      <c r="L67" s="598"/>
      <c r="M67" s="595"/>
      <c r="N67" s="335" t="str">
        <f>+IF(ISTEXT(D66),"G","")</f>
        <v>G</v>
      </c>
      <c r="O67" s="337" t="e">
        <f>IF(ISTEXT(D66),1+O66,"")</f>
        <v>#REF!</v>
      </c>
      <c r="P67" s="337" t="e">
        <f>IF(ISTEXT(D66),CONCATENATE(N67,O67),"")</f>
        <v>#REF!</v>
      </c>
      <c r="Q67" s="286" t="s">
        <v>1041</v>
      </c>
      <c r="R67" s="337" t="str">
        <f t="shared" si="23"/>
        <v>Probabilidad</v>
      </c>
      <c r="S67" s="299" t="s">
        <v>417</v>
      </c>
      <c r="T67" s="299" t="s">
        <v>382</v>
      </c>
      <c r="U67" s="339" t="str">
        <f t="shared" si="24"/>
        <v>30%</v>
      </c>
      <c r="V67" s="299" t="s">
        <v>383</v>
      </c>
      <c r="W67" s="299" t="s">
        <v>384</v>
      </c>
      <c r="X67" s="299" t="s">
        <v>385</v>
      </c>
      <c r="Y67" s="613"/>
      <c r="Z67" s="618"/>
      <c r="AA67" s="598"/>
      <c r="AB67" s="618"/>
      <c r="AC67" s="598"/>
      <c r="AD67" s="618"/>
      <c r="AE67" s="611"/>
      <c r="AF67" s="300" t="s">
        <v>1042</v>
      </c>
      <c r="AG67" s="300" t="s">
        <v>411</v>
      </c>
      <c r="AH67" s="300" t="s">
        <v>1043</v>
      </c>
      <c r="AI67" s="273"/>
      <c r="AJ67" s="273"/>
      <c r="AK67" s="273"/>
      <c r="AL67" s="304"/>
      <c r="AM67" s="304"/>
      <c r="AN67" s="273"/>
      <c r="AO67" s="273"/>
      <c r="AP67" s="273"/>
      <c r="AQ67" s="273"/>
      <c r="AR67" s="273"/>
      <c r="AS67" s="273"/>
      <c r="AT67" s="319" t="s">
        <v>1044</v>
      </c>
      <c r="AU67" s="320" t="s">
        <v>1045</v>
      </c>
      <c r="AV67" s="163"/>
      <c r="AW67" s="163"/>
      <c r="AX67" s="163"/>
      <c r="AY67" s="163"/>
      <c r="AZ67" s="163" t="s">
        <v>402</v>
      </c>
      <c r="BA67" s="163" t="s">
        <v>402</v>
      </c>
      <c r="BB67" s="171" t="s">
        <v>401</v>
      </c>
      <c r="BC67" s="323" t="s">
        <v>1046</v>
      </c>
      <c r="BD67" s="324" t="s">
        <v>404</v>
      </c>
      <c r="BE67" s="324" t="s">
        <v>401</v>
      </c>
      <c r="BF67" s="329"/>
      <c r="BG67" s="181" t="s">
        <v>402</v>
      </c>
      <c r="BH67" s="181" t="s">
        <v>402</v>
      </c>
      <c r="BI67" s="183" t="s">
        <v>401</v>
      </c>
      <c r="BJ67" s="323" t="s">
        <v>1047</v>
      </c>
      <c r="BK67" s="327" t="s">
        <v>408</v>
      </c>
      <c r="BL67" s="642"/>
      <c r="BM67" s="193"/>
      <c r="BN67" s="194"/>
      <c r="BO67" s="194"/>
      <c r="BP67" s="194"/>
      <c r="BQ67" s="194"/>
      <c r="BR67" s="194"/>
      <c r="BS67" s="194"/>
      <c r="BT67" s="194"/>
      <c r="BU67" s="204"/>
      <c r="BV67" s="205"/>
      <c r="BW67" s="206"/>
      <c r="BX67" s="206"/>
      <c r="BY67" s="206"/>
      <c r="BZ67" s="206"/>
      <c r="CA67" s="206"/>
      <c r="CB67" s="213"/>
      <c r="CC67" s="214"/>
      <c r="CD67" s="206"/>
      <c r="CE67" s="213"/>
      <c r="CF67" s="215"/>
      <c r="CG67" s="216"/>
      <c r="CH67" s="216"/>
      <c r="CI67" s="216"/>
      <c r="CJ67" s="216"/>
      <c r="CK67" s="216"/>
      <c r="CL67" s="216"/>
      <c r="CM67" s="216"/>
      <c r="CN67" s="225"/>
      <c r="CO67" s="226"/>
      <c r="CP67" s="227"/>
      <c r="CQ67" s="227"/>
      <c r="CR67" s="227"/>
      <c r="CS67" s="227"/>
      <c r="CT67" s="227"/>
      <c r="CU67" s="234"/>
      <c r="CV67" s="226"/>
      <c r="CW67" s="227"/>
      <c r="CX67" s="234"/>
    </row>
    <row r="68" spans="1:102" ht="151.5" hidden="1" customHeight="1">
      <c r="A68" s="581">
        <v>47</v>
      </c>
      <c r="B68" s="584" t="str">
        <f>IFERROR(VLOOKUP($A68,Riesgos!$A$7:$H$84,2,FALSE),"")</f>
        <v/>
      </c>
      <c r="C68" s="584" t="str">
        <f>IFERROR(VLOOKUP($A68,Riesgos!$A$7:$H$84,7,FALSE),"")</f>
        <v/>
      </c>
      <c r="D68" s="584" t="str">
        <f>IFERROR(VLOOKUP($A68,Riesgos!$A$7:$H$84,8,FALSE),"")</f>
        <v/>
      </c>
      <c r="E68" s="589" t="s">
        <v>574</v>
      </c>
      <c r="F68" s="589">
        <v>13</v>
      </c>
      <c r="G68" s="594" t="str">
        <f>IF(F68&lt;=0,"",IF(F68&lt;='Listas y tablas'!$B$3,"Muy Baja",IF(F68&lt;='Listas y tablas'!$B$4,"Baja",IF(F68&lt;='Listas y tablas'!$B$5,"Media",IF(F68&lt;='Listas y tablas'!$B$6,"Alta","Muy Alta")))))</f>
        <v>Baja</v>
      </c>
      <c r="H68" s="597">
        <f>IF(G68="","",IF(G68="Muy Baja",'Listas y tablas'!$C$3,IF(G68="Baja",'Listas y tablas'!$C$4,IF(G68="Media",'Listas y tablas'!$C$5,IF(G68="Alta",'Listas y tablas'!$C$6,IF(G68="Muy Alta",'Listas y tablas'!$C$7,))))))</f>
        <v>0.4</v>
      </c>
      <c r="I68" s="600" t="s">
        <v>1028</v>
      </c>
      <c r="J68" s="597" t="str">
        <f>IF(NOT(ISERROR(MATCH(I68,'Tabla Impacto'!$B$221:$B$223,0))),'Tabla Impacto'!$F$223&amp;"Por favor no seleccionar los criterios de impacto(Afectación Económica o presupuestal y Pérdida Reputacional)",I68)</f>
        <v xml:space="preserve">     El riesgo afecta la imagen de la entidad internamente, de conocimiento general, nivel interno, de junta dircetiva y accionistas y/o de provedores</v>
      </c>
      <c r="K68" s="594" t="str">
        <f>IF(OR(J68='Tabla Impacto'!$C$11,J68='Tabla Impacto'!$D$11),"Leve",IF(OR(J68='Tabla Impacto'!$C$12,J68='Tabla Impacto'!$D$12),"Menor",IF(OR(J68='Tabla Impacto'!$C$13,J68='Tabla Impacto'!$D$13),"Moderado",IF(OR(J68='Tabla Impacto'!$C$14,J68='Tabla Impacto'!$D$14),"Mayor",IF(OR(J68='Tabla Impacto'!$C$15,J68='Tabla Impacto'!$D$15),"Catastrófico","")))))</f>
        <v>Menor</v>
      </c>
      <c r="L68" s="597">
        <f>IF(K68="","",IF(K68="Leve",'Listas y tablas'!$F$3,IF(K68="Menor",'Listas y tablas'!$F$4,IF(K68="Moderado",'Listas y tablas'!$F$5,IF(K68="Mayor",'Listas y tablas'!$F$6,IF(K68="Catastrófico",'Listas y tablas'!$F$7,))))))</f>
        <v>0.4</v>
      </c>
      <c r="M68" s="594" t="str">
        <f t="shared" si="25"/>
        <v>Moderado</v>
      </c>
      <c r="N68" s="335" t="str">
        <f t="shared" si="26"/>
        <v>G</v>
      </c>
      <c r="O68" s="337" t="e">
        <f t="shared" si="27"/>
        <v>#REF!</v>
      </c>
      <c r="P68" s="337" t="e">
        <f t="shared" si="28"/>
        <v>#REF!</v>
      </c>
      <c r="Q68" s="286" t="s">
        <v>1048</v>
      </c>
      <c r="R68" s="337" t="str">
        <f t="shared" si="23"/>
        <v>Probabilidad</v>
      </c>
      <c r="S68" s="299" t="s">
        <v>381</v>
      </c>
      <c r="T68" s="299" t="s">
        <v>382</v>
      </c>
      <c r="U68" s="339" t="str">
        <f t="shared" si="24"/>
        <v>40%</v>
      </c>
      <c r="V68" s="299" t="s">
        <v>383</v>
      </c>
      <c r="W68" s="299" t="s">
        <v>384</v>
      </c>
      <c r="X68" s="299" t="s">
        <v>385</v>
      </c>
      <c r="Y68" s="612">
        <f t="shared" si="29"/>
        <v>0.24</v>
      </c>
      <c r="Z68" s="617" t="str">
        <f>IFERROR(IF(Y68="","",IF(Y68&lt;='Listas y tablas'!$L$3,"Muy Baja",IF(Y68&lt;='Listas y tablas'!$L$4,"Baja",IF(Y68&lt;='Listas y tablas'!$L$5,"Media",IF(Y68&lt;='Listas y tablas'!$L$6,"Alta","Muy Alta"))))),"")</f>
        <v>Baja</v>
      </c>
      <c r="AA68" s="597">
        <f t="shared" si="30"/>
        <v>0.24</v>
      </c>
      <c r="AB68" s="617" t="str">
        <f>IFERROR(IF(AC68="","",IF(AC68&lt;='Listas y tablas'!$O$3,"Leve",IF(AC68&lt;='Listas y tablas'!$O$4,"Menor",IF(AC68&lt;='Listas y tablas'!$O$5,"Moderado",IF(AC68&lt;='Listas y tablas'!$O$6,"Mayor","Catastrófico"))))),"")</f>
        <v>Catastrófico</v>
      </c>
      <c r="AC68" s="597">
        <f t="shared" si="31"/>
        <v>13</v>
      </c>
      <c r="AD68" s="617" t="str">
        <f t="shared" si="32"/>
        <v>Extremo</v>
      </c>
      <c r="AE68" s="609" t="s">
        <v>386</v>
      </c>
      <c r="AF68" s="300" t="s">
        <v>1049</v>
      </c>
      <c r="AG68" s="300" t="s">
        <v>767</v>
      </c>
      <c r="AH68" s="300" t="s">
        <v>1043</v>
      </c>
      <c r="AI68" s="273"/>
      <c r="AJ68" s="273"/>
      <c r="AK68" s="273"/>
      <c r="AL68" s="304"/>
      <c r="AM68" s="304"/>
      <c r="AN68" s="273"/>
      <c r="AO68" s="273"/>
      <c r="AP68" s="273"/>
      <c r="AQ68" s="273"/>
      <c r="AR68" s="273"/>
      <c r="AS68" s="273"/>
      <c r="AT68" s="319" t="s">
        <v>1050</v>
      </c>
      <c r="AU68" s="320" t="s">
        <v>1051</v>
      </c>
      <c r="AV68" s="163"/>
      <c r="AW68" s="163"/>
      <c r="AX68" s="163"/>
      <c r="AY68" s="163"/>
      <c r="AZ68" s="163" t="s">
        <v>402</v>
      </c>
      <c r="BA68" s="163" t="s">
        <v>402</v>
      </c>
      <c r="BB68" s="171"/>
      <c r="BC68" s="323" t="s">
        <v>1052</v>
      </c>
      <c r="BD68" s="324" t="s">
        <v>404</v>
      </c>
      <c r="BE68" s="324"/>
      <c r="BF68" s="329"/>
      <c r="BG68" s="181" t="s">
        <v>402</v>
      </c>
      <c r="BH68" s="181" t="s">
        <v>402</v>
      </c>
      <c r="BI68" s="183" t="s">
        <v>401</v>
      </c>
      <c r="BJ68" s="323" t="s">
        <v>1047</v>
      </c>
      <c r="BK68" s="327" t="s">
        <v>408</v>
      </c>
      <c r="BL68" s="641" t="s">
        <v>402</v>
      </c>
      <c r="BM68" s="193"/>
      <c r="BN68" s="194"/>
      <c r="BO68" s="194"/>
      <c r="BP68" s="194"/>
      <c r="BQ68" s="194"/>
      <c r="BR68" s="194"/>
      <c r="BS68" s="194"/>
      <c r="BT68" s="194"/>
      <c r="BU68" s="204"/>
      <c r="BV68" s="205"/>
      <c r="BW68" s="206"/>
      <c r="BX68" s="206"/>
      <c r="BY68" s="206"/>
      <c r="BZ68" s="206"/>
      <c r="CA68" s="206"/>
      <c r="CB68" s="213"/>
      <c r="CC68" s="214"/>
      <c r="CD68" s="206"/>
      <c r="CE68" s="213"/>
      <c r="CF68" s="215"/>
      <c r="CG68" s="216"/>
      <c r="CH68" s="216"/>
      <c r="CI68" s="216"/>
      <c r="CJ68" s="216"/>
      <c r="CK68" s="216"/>
      <c r="CL68" s="216"/>
      <c r="CM68" s="216"/>
      <c r="CN68" s="225"/>
      <c r="CO68" s="226"/>
      <c r="CP68" s="227"/>
      <c r="CQ68" s="227"/>
      <c r="CR68" s="227"/>
      <c r="CS68" s="227"/>
      <c r="CT68" s="227"/>
      <c r="CU68" s="234"/>
      <c r="CV68" s="226"/>
      <c r="CW68" s="227"/>
      <c r="CX68" s="234"/>
    </row>
    <row r="69" spans="1:102" ht="151.5" hidden="1" customHeight="1">
      <c r="A69" s="582"/>
      <c r="B69" s="585"/>
      <c r="C69" s="585"/>
      <c r="D69" s="585"/>
      <c r="E69" s="590"/>
      <c r="F69" s="590"/>
      <c r="G69" s="595"/>
      <c r="H69" s="598"/>
      <c r="I69" s="601"/>
      <c r="J69" s="598"/>
      <c r="K69" s="595"/>
      <c r="L69" s="598"/>
      <c r="M69" s="595"/>
      <c r="N69" s="335" t="str">
        <f>+IF(ISTEXT(D68),"G","")</f>
        <v>G</v>
      </c>
      <c r="O69" s="337" t="e">
        <f>IF(ISTEXT(D68),1+O68,"")</f>
        <v>#REF!</v>
      </c>
      <c r="P69" s="337" t="e">
        <f>IF(ISTEXT(D68),CONCATENATE(N69,O69),"")</f>
        <v>#REF!</v>
      </c>
      <c r="Q69" s="286" t="s">
        <v>1053</v>
      </c>
      <c r="R69" s="337" t="str">
        <f t="shared" si="23"/>
        <v>Impacto</v>
      </c>
      <c r="S69" s="299" t="s">
        <v>813</v>
      </c>
      <c r="T69" s="299" t="s">
        <v>382</v>
      </c>
      <c r="U69" s="339" t="str">
        <f t="shared" si="24"/>
        <v>25%</v>
      </c>
      <c r="V69" s="299" t="s">
        <v>383</v>
      </c>
      <c r="W69" s="299" t="s">
        <v>384</v>
      </c>
      <c r="X69" s="299" t="s">
        <v>385</v>
      </c>
      <c r="Y69" s="613"/>
      <c r="Z69" s="618"/>
      <c r="AA69" s="598"/>
      <c r="AB69" s="618"/>
      <c r="AC69" s="598"/>
      <c r="AD69" s="618"/>
      <c r="AE69" s="611"/>
      <c r="AF69" s="300" t="s">
        <v>1054</v>
      </c>
      <c r="AG69" s="300" t="s">
        <v>439</v>
      </c>
      <c r="AH69" s="300" t="s">
        <v>1055</v>
      </c>
      <c r="AI69" s="356" t="s">
        <v>1056</v>
      </c>
      <c r="AJ69" s="356" t="s">
        <v>1057</v>
      </c>
      <c r="AK69" s="310" t="s">
        <v>1058</v>
      </c>
      <c r="AL69" s="406">
        <v>45078</v>
      </c>
      <c r="AM69" s="406">
        <v>45291</v>
      </c>
      <c r="AN69" s="273"/>
      <c r="AO69" s="273"/>
      <c r="AP69" s="273"/>
      <c r="AQ69" s="273"/>
      <c r="AR69" s="273"/>
      <c r="AS69" s="273"/>
      <c r="AT69" s="410" t="s">
        <v>1059</v>
      </c>
      <c r="AU69" s="163" t="s">
        <v>401</v>
      </c>
      <c r="AV69" s="163"/>
      <c r="AW69" s="163"/>
      <c r="AX69" s="163" t="s">
        <v>420</v>
      </c>
      <c r="AY69" s="163" t="s">
        <v>401</v>
      </c>
      <c r="AZ69" s="163" t="s">
        <v>402</v>
      </c>
      <c r="BA69" s="163" t="s">
        <v>402</v>
      </c>
      <c r="BB69" s="171"/>
      <c r="BC69" s="323" t="s">
        <v>1060</v>
      </c>
      <c r="BD69" s="324"/>
      <c r="BE69" s="324" t="s">
        <v>1061</v>
      </c>
      <c r="BF69" s="329" t="s">
        <v>406</v>
      </c>
      <c r="BG69" s="181" t="s">
        <v>402</v>
      </c>
      <c r="BH69" s="181" t="s">
        <v>402</v>
      </c>
      <c r="BI69" s="183" t="s">
        <v>401</v>
      </c>
      <c r="BJ69" s="323" t="s">
        <v>1062</v>
      </c>
      <c r="BK69" s="327" t="s">
        <v>408</v>
      </c>
      <c r="BL69" s="642"/>
      <c r="BM69" s="193"/>
      <c r="BN69" s="194"/>
      <c r="BO69" s="194"/>
      <c r="BP69" s="194"/>
      <c r="BQ69" s="194"/>
      <c r="BR69" s="194"/>
      <c r="BS69" s="194"/>
      <c r="BT69" s="194"/>
      <c r="BU69" s="204"/>
      <c r="BV69" s="205"/>
      <c r="BW69" s="206"/>
      <c r="BX69" s="206"/>
      <c r="BY69" s="206"/>
      <c r="BZ69" s="206"/>
      <c r="CA69" s="206"/>
      <c r="CB69" s="213"/>
      <c r="CC69" s="214"/>
      <c r="CD69" s="206"/>
      <c r="CE69" s="213"/>
      <c r="CF69" s="215"/>
      <c r="CG69" s="216"/>
      <c r="CH69" s="216"/>
      <c r="CI69" s="216"/>
      <c r="CJ69" s="216"/>
      <c r="CK69" s="216"/>
      <c r="CL69" s="216"/>
      <c r="CM69" s="216"/>
      <c r="CN69" s="225"/>
      <c r="CO69" s="226"/>
      <c r="CP69" s="227"/>
      <c r="CQ69" s="227"/>
      <c r="CR69" s="227"/>
      <c r="CS69" s="227"/>
      <c r="CT69" s="227"/>
      <c r="CU69" s="234"/>
      <c r="CV69" s="226"/>
      <c r="CW69" s="227"/>
      <c r="CX69" s="234"/>
    </row>
    <row r="70" spans="1:102" ht="151.5" hidden="1" customHeight="1">
      <c r="A70" s="581">
        <v>48</v>
      </c>
      <c r="B70" s="584" t="str">
        <f>IFERROR(VLOOKUP($A70,Riesgos!$A$7:$H$84,2,FALSE),"")</f>
        <v/>
      </c>
      <c r="C70" s="584" t="str">
        <f>IFERROR(VLOOKUP($A70,Riesgos!$A$7:$H$84,7,FALSE),"")</f>
        <v/>
      </c>
      <c r="D70" s="584" t="str">
        <f>IFERROR(VLOOKUP($A70,Riesgos!$A$7:$H$84,8,FALSE),"")</f>
        <v/>
      </c>
      <c r="E70" s="589" t="s">
        <v>453</v>
      </c>
      <c r="F70" s="589">
        <v>10</v>
      </c>
      <c r="G70" s="594" t="str">
        <f>IF(F70&lt;=0,"",IF(F70&lt;='Listas y tablas'!$B$3,"Muy Baja",IF(F70&lt;='Listas y tablas'!$B$4,"Baja",IF(F70&lt;='Listas y tablas'!$B$5,"Media",IF(F70&lt;='Listas y tablas'!$B$6,"Alta","Muy Alta")))))</f>
        <v>Baja</v>
      </c>
      <c r="H70" s="597">
        <f>IF(G70="","",IF(G70="Muy Baja",'Listas y tablas'!$C$3,IF(G70="Baja",'Listas y tablas'!$C$4,IF(G70="Media",'Listas y tablas'!$C$5,IF(G70="Alta",'Listas y tablas'!$C$6,IF(G70="Muy Alta",'Listas y tablas'!$C$7,))))))</f>
        <v>0.4</v>
      </c>
      <c r="I70" s="600" t="s">
        <v>811</v>
      </c>
      <c r="J70" s="597" t="str">
        <f>IF(NOT(ISERROR(MATCH(I70,'Tabla Impacto'!$B$221:$B$223,0))),'Tabla Impacto'!$F$223&amp;"Por favor no seleccionar los criterios de impacto(Afectación Económica o presupuestal y Pérdida Reputacional)",I70)</f>
        <v xml:space="preserve">     Entre 10 y 50 SMLMV </v>
      </c>
      <c r="K70" s="594" t="str">
        <f>IF(OR(J70='Tabla Impacto'!$C$11,J70='Tabla Impacto'!$D$11),"Leve",IF(OR(J70='Tabla Impacto'!$C$12,J70='Tabla Impacto'!$D$12),"Menor",IF(OR(J70='Tabla Impacto'!$C$13,J70='Tabla Impacto'!$D$13),"Moderado",IF(OR(J70='Tabla Impacto'!$C$14,J70='Tabla Impacto'!$D$14),"Mayor",IF(OR(J70='Tabla Impacto'!$C$15,J70='Tabla Impacto'!$D$15),"Catastrófico","")))))</f>
        <v>Menor</v>
      </c>
      <c r="L70" s="597">
        <f>IF(K70="","",IF(K70="Leve",'Listas y tablas'!$F$3,IF(K70="Menor",'Listas y tablas'!$F$4,IF(K70="Moderado",'Listas y tablas'!$F$5,IF(K70="Mayor",'Listas y tablas'!$F$6,IF(K70="Catastrófico",'Listas y tablas'!$F$7,))))))</f>
        <v>0.4</v>
      </c>
      <c r="M70" s="594" t="str">
        <f t="shared" si="25"/>
        <v>Moderado</v>
      </c>
      <c r="N70" s="335" t="str">
        <f t="shared" si="26"/>
        <v>G</v>
      </c>
      <c r="O70" s="337" t="e">
        <f t="shared" si="27"/>
        <v>#REF!</v>
      </c>
      <c r="P70" s="337" t="e">
        <f t="shared" si="28"/>
        <v>#REF!</v>
      </c>
      <c r="Q70" s="286" t="s">
        <v>1063</v>
      </c>
      <c r="R70" s="337" t="str">
        <f t="shared" si="23"/>
        <v>Probabilidad</v>
      </c>
      <c r="S70" s="299" t="s">
        <v>381</v>
      </c>
      <c r="T70" s="299" t="s">
        <v>382</v>
      </c>
      <c r="U70" s="339" t="str">
        <f t="shared" si="24"/>
        <v>40%</v>
      </c>
      <c r="V70" s="299" t="s">
        <v>383</v>
      </c>
      <c r="W70" s="299" t="s">
        <v>384</v>
      </c>
      <c r="X70" s="299" t="s">
        <v>385</v>
      </c>
      <c r="Y70" s="612">
        <f t="shared" si="29"/>
        <v>0.24</v>
      </c>
      <c r="Z70" s="617" t="str">
        <f>IFERROR(IF(Y70="","",IF(Y70&lt;='Listas y tablas'!$L$3,"Muy Baja",IF(Y70&lt;='Listas y tablas'!$L$4,"Baja",IF(Y70&lt;='Listas y tablas'!$L$5,"Media",IF(Y70&lt;='Listas y tablas'!$L$6,"Alta","Muy Alta"))))),"")</f>
        <v>Baja</v>
      </c>
      <c r="AA70" s="597">
        <f t="shared" si="30"/>
        <v>0.24</v>
      </c>
      <c r="AB70" s="617" t="str">
        <f>IFERROR(IF(AC70="","",IF(AC70&lt;='Listas y tablas'!$O$3,"Leve",IF(AC70&lt;='Listas y tablas'!$O$4,"Menor",IF(AC70&lt;='Listas y tablas'!$O$5,"Moderado",IF(AC70&lt;='Listas y tablas'!$O$6,"Mayor","Catastrófico"))))),"")</f>
        <v>Catastrófico</v>
      </c>
      <c r="AC70" s="597">
        <f t="shared" si="31"/>
        <v>10</v>
      </c>
      <c r="AD70" s="617" t="str">
        <f t="shared" si="32"/>
        <v>Extremo</v>
      </c>
      <c r="AE70" s="609" t="s">
        <v>386</v>
      </c>
      <c r="AF70" s="348" t="s">
        <v>1064</v>
      </c>
      <c r="AG70" s="300" t="s">
        <v>1065</v>
      </c>
      <c r="AH70" s="300" t="s">
        <v>1066</v>
      </c>
      <c r="AI70" s="273" t="s">
        <v>1067</v>
      </c>
      <c r="AJ70" s="273" t="s">
        <v>1068</v>
      </c>
      <c r="AK70" s="273" t="s">
        <v>1069</v>
      </c>
      <c r="AL70" s="304">
        <v>44958</v>
      </c>
      <c r="AM70" s="304">
        <v>45260</v>
      </c>
      <c r="AN70" s="273" t="s">
        <v>1070</v>
      </c>
      <c r="AO70" s="273" t="s">
        <v>1071</v>
      </c>
      <c r="AP70" s="273" t="s">
        <v>1072</v>
      </c>
      <c r="AQ70" s="273" t="s">
        <v>1073</v>
      </c>
      <c r="AR70" s="273" t="s">
        <v>1074</v>
      </c>
      <c r="AS70" s="273" t="s">
        <v>1075</v>
      </c>
      <c r="AT70" s="301" t="s">
        <v>1076</v>
      </c>
      <c r="AU70" s="386" t="s">
        <v>1077</v>
      </c>
      <c r="AV70" s="386">
        <v>1</v>
      </c>
      <c r="AW70" s="386">
        <v>1</v>
      </c>
      <c r="AX70" s="301" t="s">
        <v>1078</v>
      </c>
      <c r="AY70" s="301" t="s">
        <v>1079</v>
      </c>
      <c r="AZ70" s="163" t="s">
        <v>402</v>
      </c>
      <c r="BA70" s="163"/>
      <c r="BB70" s="171"/>
      <c r="BC70" s="323" t="s">
        <v>1080</v>
      </c>
      <c r="BD70" s="324" t="s">
        <v>404</v>
      </c>
      <c r="BE70" s="324" t="s">
        <v>1081</v>
      </c>
      <c r="BF70" s="329" t="s">
        <v>434</v>
      </c>
      <c r="BG70" s="181" t="s">
        <v>402</v>
      </c>
      <c r="BH70" s="181" t="s">
        <v>402</v>
      </c>
      <c r="BI70" s="183" t="s">
        <v>401</v>
      </c>
      <c r="BJ70" s="323" t="s">
        <v>1082</v>
      </c>
      <c r="BK70" s="327" t="s">
        <v>408</v>
      </c>
      <c r="BL70" s="641" t="s">
        <v>402</v>
      </c>
      <c r="BM70" s="193"/>
      <c r="BN70" s="194"/>
      <c r="BO70" s="194"/>
      <c r="BP70" s="194"/>
      <c r="BQ70" s="194"/>
      <c r="BR70" s="194"/>
      <c r="BS70" s="194"/>
      <c r="BT70" s="194"/>
      <c r="BU70" s="204"/>
      <c r="BV70" s="205"/>
      <c r="BW70" s="206"/>
      <c r="BX70" s="206"/>
      <c r="BY70" s="206"/>
      <c r="BZ70" s="206"/>
      <c r="CA70" s="206"/>
      <c r="CB70" s="213"/>
      <c r="CC70" s="214"/>
      <c r="CD70" s="206"/>
      <c r="CE70" s="213"/>
      <c r="CF70" s="215"/>
      <c r="CG70" s="216"/>
      <c r="CH70" s="216"/>
      <c r="CI70" s="216"/>
      <c r="CJ70" s="216"/>
      <c r="CK70" s="216"/>
      <c r="CL70" s="216"/>
      <c r="CM70" s="216"/>
      <c r="CN70" s="225"/>
      <c r="CO70" s="226"/>
      <c r="CP70" s="227"/>
      <c r="CQ70" s="227"/>
      <c r="CR70" s="227"/>
      <c r="CS70" s="227"/>
      <c r="CT70" s="227"/>
      <c r="CU70" s="234"/>
      <c r="CV70" s="226"/>
      <c r="CW70" s="227"/>
      <c r="CX70" s="234"/>
    </row>
    <row r="71" spans="1:102" ht="151.5" hidden="1" customHeight="1">
      <c r="A71" s="582"/>
      <c r="B71" s="585"/>
      <c r="C71" s="585"/>
      <c r="D71" s="585"/>
      <c r="E71" s="590"/>
      <c r="F71" s="590"/>
      <c r="G71" s="595"/>
      <c r="H71" s="598"/>
      <c r="I71" s="601"/>
      <c r="J71" s="598"/>
      <c r="K71" s="595"/>
      <c r="L71" s="598"/>
      <c r="M71" s="595"/>
      <c r="N71" s="335" t="str">
        <f>+IF(ISTEXT(D70),"G","")</f>
        <v>G</v>
      </c>
      <c r="O71" s="337" t="e">
        <f>IF(ISTEXT(D70),1+O70,"")</f>
        <v>#REF!</v>
      </c>
      <c r="P71" s="337" t="e">
        <f>IF(ISTEXT(D70),CONCATENATE(N71,O71),"")</f>
        <v>#REF!</v>
      </c>
      <c r="Q71" s="286" t="s">
        <v>1083</v>
      </c>
      <c r="R71" s="337" t="str">
        <f t="shared" si="23"/>
        <v>Probabilidad</v>
      </c>
      <c r="S71" s="299" t="s">
        <v>381</v>
      </c>
      <c r="T71" s="299" t="s">
        <v>382</v>
      </c>
      <c r="U71" s="339" t="str">
        <f t="shared" si="24"/>
        <v>40%</v>
      </c>
      <c r="V71" s="299" t="s">
        <v>383</v>
      </c>
      <c r="W71" s="299" t="s">
        <v>384</v>
      </c>
      <c r="X71" s="299" t="s">
        <v>385</v>
      </c>
      <c r="Y71" s="613"/>
      <c r="Z71" s="618"/>
      <c r="AA71" s="598"/>
      <c r="AB71" s="618"/>
      <c r="AC71" s="598"/>
      <c r="AD71" s="618"/>
      <c r="AE71" s="611"/>
      <c r="AF71" s="348" t="s">
        <v>1084</v>
      </c>
      <c r="AG71" s="300" t="s">
        <v>1085</v>
      </c>
      <c r="AH71" s="300" t="s">
        <v>1066</v>
      </c>
      <c r="AI71" s="273" t="s">
        <v>1086</v>
      </c>
      <c r="AJ71" s="273" t="s">
        <v>1087</v>
      </c>
      <c r="AK71" s="273" t="s">
        <v>1069</v>
      </c>
      <c r="AL71" s="304">
        <v>44958</v>
      </c>
      <c r="AM71" s="304">
        <v>45260</v>
      </c>
      <c r="AN71" s="273"/>
      <c r="AO71" s="273"/>
      <c r="AP71" s="273"/>
      <c r="AQ71" s="273"/>
      <c r="AR71" s="273"/>
      <c r="AS71" s="273"/>
      <c r="AT71" s="301" t="s">
        <v>1088</v>
      </c>
      <c r="AU71" s="386" t="s">
        <v>401</v>
      </c>
      <c r="AV71" s="386">
        <v>1</v>
      </c>
      <c r="AW71" s="386">
        <v>1</v>
      </c>
      <c r="AX71" s="301" t="s">
        <v>1089</v>
      </c>
      <c r="AY71" s="412" t="s">
        <v>1090</v>
      </c>
      <c r="AZ71" s="163"/>
      <c r="BA71" s="163"/>
      <c r="BB71" s="171"/>
      <c r="BC71" s="323" t="s">
        <v>1091</v>
      </c>
      <c r="BD71" s="324"/>
      <c r="BE71" s="324" t="s">
        <v>1092</v>
      </c>
      <c r="BF71" s="329" t="s">
        <v>434</v>
      </c>
      <c r="BG71" s="181" t="s">
        <v>402</v>
      </c>
      <c r="BH71" s="181" t="s">
        <v>402</v>
      </c>
      <c r="BI71" s="183" t="s">
        <v>401</v>
      </c>
      <c r="BJ71" s="323" t="s">
        <v>1093</v>
      </c>
      <c r="BK71" s="327" t="s">
        <v>408</v>
      </c>
      <c r="BL71" s="642"/>
      <c r="BM71" s="193"/>
      <c r="BN71" s="194"/>
      <c r="BO71" s="194"/>
      <c r="BP71" s="194"/>
      <c r="BQ71" s="194"/>
      <c r="BR71" s="194"/>
      <c r="BS71" s="194"/>
      <c r="BT71" s="194"/>
      <c r="BU71" s="204"/>
      <c r="BV71" s="205"/>
      <c r="BW71" s="206"/>
      <c r="BX71" s="206"/>
      <c r="BY71" s="206"/>
      <c r="BZ71" s="206"/>
      <c r="CA71" s="206"/>
      <c r="CB71" s="213"/>
      <c r="CC71" s="214"/>
      <c r="CD71" s="206"/>
      <c r="CE71" s="213"/>
      <c r="CF71" s="215"/>
      <c r="CG71" s="216"/>
      <c r="CH71" s="216"/>
      <c r="CI71" s="216"/>
      <c r="CJ71" s="216"/>
      <c r="CK71" s="216"/>
      <c r="CL71" s="216"/>
      <c r="CM71" s="216"/>
      <c r="CN71" s="225"/>
      <c r="CO71" s="226"/>
      <c r="CP71" s="227"/>
      <c r="CQ71" s="227"/>
      <c r="CR71" s="227"/>
      <c r="CS71" s="227"/>
      <c r="CT71" s="227"/>
      <c r="CU71" s="234"/>
      <c r="CV71" s="226"/>
      <c r="CW71" s="227"/>
      <c r="CX71" s="234"/>
    </row>
    <row r="72" spans="1:102" ht="151.5" hidden="1" customHeight="1">
      <c r="A72" s="271">
        <v>49</v>
      </c>
      <c r="B72" s="272" t="str">
        <f>IFERROR(VLOOKUP($A72,Riesgos!$A$7:$H$84,2,FALSE),"")</f>
        <v/>
      </c>
      <c r="C72" s="272" t="str">
        <f>IFERROR(VLOOKUP($A72,Riesgos!$A$7:$H$84,7,FALSE),"")</f>
        <v/>
      </c>
      <c r="D72" s="272" t="str">
        <f>IFERROR(VLOOKUP($A72,Riesgos!$A$7:$H$84,8,FALSE),"")</f>
        <v/>
      </c>
      <c r="E72" s="273" t="s">
        <v>453</v>
      </c>
      <c r="F72" s="273">
        <v>500</v>
      </c>
      <c r="G72" s="335" t="str">
        <f>IF(F72&lt;=0,"",IF(F72&lt;='Listas y tablas'!$B$3,"Muy Baja",IF(F72&lt;='Listas y tablas'!$B$4,"Baja",IF(F72&lt;='Listas y tablas'!$B$5,"Media",IF(F72&lt;='Listas y tablas'!$B$6,"Alta","Muy Alta")))))</f>
        <v>Media</v>
      </c>
      <c r="H72" s="336">
        <f>IF(G72="","",IF(G72="Muy Baja",'Listas y tablas'!$C$3,IF(G72="Baja",'Listas y tablas'!$C$4,IF(G72="Media",'Listas y tablas'!$C$5,IF(G72="Alta",'Listas y tablas'!$C$6,IF(G72="Muy Alta",'Listas y tablas'!$C$7,))))))</f>
        <v>0.6</v>
      </c>
      <c r="I72" s="338" t="s">
        <v>721</v>
      </c>
      <c r="J72" s="336" t="str">
        <f>IF(NOT(ISERROR(MATCH(I72,'Tabla Impacto'!$B$221:$B$223,0))),'Tabla Impacto'!$F$223&amp;"Por favor no seleccionar los criterios de impacto(Afectación Económica o presupuestal y Pérdida Reputacional)",I72)</f>
        <v xml:space="preserve">     Entre 50 y 100 SMLMV </v>
      </c>
      <c r="K72" s="335" t="str">
        <f>IF(OR(J72='Tabla Impacto'!$C$11,J72='Tabla Impacto'!$D$11),"Leve",IF(OR(J72='Tabla Impacto'!$C$12,J72='Tabla Impacto'!$D$12),"Menor",IF(OR(J72='Tabla Impacto'!$C$13,J72='Tabla Impacto'!$D$13),"Moderado",IF(OR(J72='Tabla Impacto'!$C$14,J72='Tabla Impacto'!$D$14),"Mayor",IF(OR(J72='Tabla Impacto'!$C$15,J72='Tabla Impacto'!$D$15),"Catastrófico","")))))</f>
        <v>Moderado</v>
      </c>
      <c r="L72" s="336">
        <f>IF(K72="","",IF(K72="Leve",'Listas y tablas'!$F$3,IF(K72="Menor",'Listas y tablas'!$F$4,IF(K72="Moderado",'Listas y tablas'!$F$5,IF(K72="Mayor",'Listas y tablas'!$F$6,IF(K72="Catastrófico",'Listas y tablas'!$F$7,))))))</f>
        <v>0.6</v>
      </c>
      <c r="M72" s="335" t="str">
        <f t="shared" si="25"/>
        <v>Moderado</v>
      </c>
      <c r="N72" s="335" t="str">
        <f t="shared" si="26"/>
        <v>G</v>
      </c>
      <c r="O72" s="337" t="e">
        <f t="shared" si="27"/>
        <v>#REF!</v>
      </c>
      <c r="P72" s="337" t="e">
        <f t="shared" si="28"/>
        <v>#REF!</v>
      </c>
      <c r="Q72" s="286" t="s">
        <v>1094</v>
      </c>
      <c r="R72" s="337" t="str">
        <f t="shared" si="23"/>
        <v>Probabilidad</v>
      </c>
      <c r="S72" s="299" t="s">
        <v>381</v>
      </c>
      <c r="T72" s="299" t="s">
        <v>382</v>
      </c>
      <c r="U72" s="339" t="str">
        <f t="shared" si="24"/>
        <v>40%</v>
      </c>
      <c r="V72" s="299" t="s">
        <v>383</v>
      </c>
      <c r="W72" s="299" t="s">
        <v>765</v>
      </c>
      <c r="X72" s="299" t="s">
        <v>385</v>
      </c>
      <c r="Y72" s="346">
        <f t="shared" si="29"/>
        <v>0.36</v>
      </c>
      <c r="Z72" s="154" t="str">
        <f>IFERROR(IF(Y72="","",IF(Y72&lt;='Listas y tablas'!$L$3,"Muy Baja",IF(Y72&lt;='Listas y tablas'!$L$4,"Baja",IF(Y72&lt;='Listas y tablas'!$L$5,"Media",IF(Y72&lt;='Listas y tablas'!$L$6,"Alta","Muy Alta"))))),"")</f>
        <v>Baja</v>
      </c>
      <c r="AA72" s="339">
        <f t="shared" si="30"/>
        <v>0.36</v>
      </c>
      <c r="AB72" s="154" t="str">
        <f>IFERROR(IF(AC72="","",IF(AC72&lt;='Listas y tablas'!$O$3,"Leve",IF(AC72&lt;='Listas y tablas'!$O$4,"Menor",IF(AC72&lt;='Listas y tablas'!$O$5,"Moderado",IF(AC72&lt;='Listas y tablas'!$O$6,"Mayor","Catastrófico"))))),"")</f>
        <v>Catastrófico</v>
      </c>
      <c r="AC72" s="339">
        <f t="shared" si="31"/>
        <v>500</v>
      </c>
      <c r="AD72" s="154" t="str">
        <f t="shared" si="32"/>
        <v>Extremo</v>
      </c>
      <c r="AE72" s="299" t="s">
        <v>743</v>
      </c>
      <c r="AF72" s="300" t="s">
        <v>1095</v>
      </c>
      <c r="AG72" s="300" t="s">
        <v>439</v>
      </c>
      <c r="AH72" s="300" t="s">
        <v>1096</v>
      </c>
      <c r="AI72" s="273" t="s">
        <v>1097</v>
      </c>
      <c r="AJ72" s="273" t="s">
        <v>1098</v>
      </c>
      <c r="AK72" s="273" t="s">
        <v>1069</v>
      </c>
      <c r="AL72" s="304">
        <v>44958</v>
      </c>
      <c r="AM72" s="304">
        <v>45260</v>
      </c>
      <c r="AN72" s="273"/>
      <c r="AO72" s="273"/>
      <c r="AP72" s="273"/>
      <c r="AQ72" s="273"/>
      <c r="AR72" s="273"/>
      <c r="AS72" s="273"/>
      <c r="AT72" s="301" t="s">
        <v>1099</v>
      </c>
      <c r="AU72" s="386" t="s">
        <v>1100</v>
      </c>
      <c r="AV72" s="386">
        <v>1</v>
      </c>
      <c r="AW72" s="386">
        <v>1</v>
      </c>
      <c r="AX72" s="301" t="s">
        <v>1101</v>
      </c>
      <c r="AY72" s="412" t="s">
        <v>1102</v>
      </c>
      <c r="AZ72" s="163" t="s">
        <v>402</v>
      </c>
      <c r="BA72" s="163" t="s">
        <v>402</v>
      </c>
      <c r="BB72" s="171"/>
      <c r="BC72" s="323" t="s">
        <v>1103</v>
      </c>
      <c r="BD72" s="324" t="s">
        <v>404</v>
      </c>
      <c r="BE72" s="324" t="s">
        <v>1092</v>
      </c>
      <c r="BF72" s="329" t="s">
        <v>434</v>
      </c>
      <c r="BG72" s="181" t="s">
        <v>402</v>
      </c>
      <c r="BH72" s="181" t="s">
        <v>402</v>
      </c>
      <c r="BI72" s="183" t="s">
        <v>401</v>
      </c>
      <c r="BJ72" s="323" t="s">
        <v>1104</v>
      </c>
      <c r="BK72" s="327" t="s">
        <v>408</v>
      </c>
      <c r="BL72" s="192" t="s">
        <v>402</v>
      </c>
      <c r="BM72" s="193"/>
      <c r="BN72" s="194"/>
      <c r="BO72" s="194"/>
      <c r="BP72" s="194"/>
      <c r="BQ72" s="194"/>
      <c r="BR72" s="194"/>
      <c r="BS72" s="194"/>
      <c r="BT72" s="194"/>
      <c r="BU72" s="204"/>
      <c r="BV72" s="205"/>
      <c r="BW72" s="206"/>
      <c r="BX72" s="206"/>
      <c r="BY72" s="206"/>
      <c r="BZ72" s="206"/>
      <c r="CA72" s="206"/>
      <c r="CB72" s="213"/>
      <c r="CC72" s="214"/>
      <c r="CD72" s="206"/>
      <c r="CE72" s="213"/>
      <c r="CF72" s="215"/>
      <c r="CG72" s="216"/>
      <c r="CH72" s="216"/>
      <c r="CI72" s="216"/>
      <c r="CJ72" s="216"/>
      <c r="CK72" s="216"/>
      <c r="CL72" s="216"/>
      <c r="CM72" s="216"/>
      <c r="CN72" s="225"/>
      <c r="CO72" s="226"/>
      <c r="CP72" s="227"/>
      <c r="CQ72" s="227"/>
      <c r="CR72" s="227"/>
      <c r="CS72" s="227"/>
      <c r="CT72" s="227"/>
      <c r="CU72" s="234"/>
      <c r="CV72" s="226"/>
      <c r="CW72" s="227"/>
      <c r="CX72" s="234"/>
    </row>
    <row r="73" spans="1:102" ht="131.25" hidden="1" customHeight="1">
      <c r="A73" s="581">
        <v>50</v>
      </c>
      <c r="B73" s="584" t="str">
        <f>IFERROR(VLOOKUP($A73,Riesgos!$A$7:$H$84,2,FALSE),"")</f>
        <v/>
      </c>
      <c r="C73" s="584" t="str">
        <f>IFERROR(VLOOKUP($A73,Riesgos!$A$7:$H$84,7,FALSE),"")</f>
        <v/>
      </c>
      <c r="D73" s="584" t="str">
        <f>IFERROR(VLOOKUP($A73,Riesgos!$A$7:$H$84,8,FALSE),"")</f>
        <v/>
      </c>
      <c r="E73" s="589" t="s">
        <v>453</v>
      </c>
      <c r="F73" s="589">
        <f>365*105</f>
        <v>38325</v>
      </c>
      <c r="G73" s="594" t="str">
        <f>IF(F73&lt;=0,"",IF(F73&lt;='Listas y tablas'!$B$3,"Muy Baja",IF(F73&lt;='Listas y tablas'!$B$4,"Baja",IF(F73&lt;='Listas y tablas'!$B$5,"Media",IF(F73&lt;='Listas y tablas'!$B$6,"Alta","Muy Alta")))))</f>
        <v>Muy Alta</v>
      </c>
      <c r="H73" s="597">
        <f>IF(G73="","",IF(G73="Muy Baja",'Listas y tablas'!$C$3,IF(G73="Baja",'Listas y tablas'!$C$4,IF(G73="Media",'Listas y tablas'!$C$5,IF(G73="Alta",'Listas y tablas'!$C$6,IF(G73="Muy Alta",'Listas y tablas'!$C$7,))))))</f>
        <v>1</v>
      </c>
      <c r="I73" s="600" t="s">
        <v>1105</v>
      </c>
      <c r="J73" s="597" t="str">
        <f>IF(NOT(ISERROR(MATCH(I73,'Tabla Impacto'!$B$221:$B$223,0))),'Tabla Impacto'!$F$223&amp;"Por favor no seleccionar los criterios de impacto(Afectación Económica o presupuestal y Pérdida Reputacional)",I73)</f>
        <v xml:space="preserve">     Entre 100 y 500 SMLMV </v>
      </c>
      <c r="K73" s="594" t="str">
        <f>IF(OR(J73='Tabla Impacto'!$C$11,J73='Tabla Impacto'!$D$11),"Leve",IF(OR(J73='Tabla Impacto'!$C$12,J73='Tabla Impacto'!$D$12),"Menor",IF(OR(J73='Tabla Impacto'!$C$13,J73='Tabla Impacto'!$D$13),"Moderado",IF(OR(J73='Tabla Impacto'!$C$14,J73='Tabla Impacto'!$D$14),"Mayor",IF(OR(J73='Tabla Impacto'!$C$15,J73='Tabla Impacto'!$D$15),"Catastrófico","")))))</f>
        <v>Mayor</v>
      </c>
      <c r="L73" s="597">
        <f>IF(K73="","",IF(K73="Leve",'Listas y tablas'!$F$3,IF(K73="Menor",'Listas y tablas'!$F$4,IF(K73="Moderado",'Listas y tablas'!$F$5,IF(K73="Mayor",'Listas y tablas'!$F$6,IF(K73="Catastrófico",'Listas y tablas'!$F$7,))))))</f>
        <v>0.8</v>
      </c>
      <c r="M73" s="594" t="str">
        <f t="shared" si="25"/>
        <v>Alto</v>
      </c>
      <c r="N73" s="335" t="str">
        <f t="shared" si="26"/>
        <v>G</v>
      </c>
      <c r="O73" s="337" t="e">
        <f t="shared" si="27"/>
        <v>#REF!</v>
      </c>
      <c r="P73" s="337" t="e">
        <f t="shared" si="28"/>
        <v>#REF!</v>
      </c>
      <c r="Q73" s="286" t="s">
        <v>1106</v>
      </c>
      <c r="R73" s="337" t="str">
        <f t="shared" si="23"/>
        <v>Probabilidad</v>
      </c>
      <c r="S73" s="299" t="s">
        <v>381</v>
      </c>
      <c r="T73" s="299" t="s">
        <v>382</v>
      </c>
      <c r="U73" s="339" t="str">
        <f t="shared" si="24"/>
        <v>40%</v>
      </c>
      <c r="V73" s="299" t="s">
        <v>383</v>
      </c>
      <c r="W73" s="299" t="s">
        <v>384</v>
      </c>
      <c r="X73" s="299" t="s">
        <v>385</v>
      </c>
      <c r="Y73" s="612">
        <f t="shared" si="29"/>
        <v>0.6</v>
      </c>
      <c r="Z73" s="617" t="str">
        <f>IFERROR(IF(Y73="","",IF(Y73&lt;='Listas y tablas'!$L$3,"Muy Baja",IF(Y73&lt;='Listas y tablas'!$L$4,"Baja",IF(Y73&lt;='Listas y tablas'!$L$5,"Media",IF(Y73&lt;='Listas y tablas'!$L$6,"Alta","Muy Alta"))))),"")</f>
        <v>Media</v>
      </c>
      <c r="AA73" s="597">
        <f t="shared" si="30"/>
        <v>0.6</v>
      </c>
      <c r="AB73" s="617" t="str">
        <f>IFERROR(IF(AC73="","",IF(AC73&lt;='Listas y tablas'!$O$3,"Leve",IF(AC73&lt;='Listas y tablas'!$O$4,"Menor",IF(AC73&lt;='Listas y tablas'!$O$5,"Moderado",IF(AC73&lt;='Listas y tablas'!$O$6,"Mayor","Catastrófico"))))),"")</f>
        <v>Catastrófico</v>
      </c>
      <c r="AC73" s="597">
        <f t="shared" si="31"/>
        <v>38325</v>
      </c>
      <c r="AD73" s="617" t="str">
        <f t="shared" si="32"/>
        <v>Extremo</v>
      </c>
      <c r="AE73" s="609" t="s">
        <v>386</v>
      </c>
      <c r="AF73" s="300" t="s">
        <v>1107</v>
      </c>
      <c r="AG73" s="300" t="s">
        <v>479</v>
      </c>
      <c r="AH73" s="300" t="s">
        <v>1066</v>
      </c>
      <c r="AI73" s="273" t="s">
        <v>1108</v>
      </c>
      <c r="AJ73" s="273" t="s">
        <v>1109</v>
      </c>
      <c r="AK73" s="273" t="s">
        <v>1069</v>
      </c>
      <c r="AL73" s="304">
        <v>44958</v>
      </c>
      <c r="AM73" s="304">
        <v>45291</v>
      </c>
      <c r="AN73" s="273"/>
      <c r="AO73" s="273"/>
      <c r="AP73" s="273"/>
      <c r="AQ73" s="273"/>
      <c r="AR73" s="273"/>
      <c r="AS73" s="273"/>
      <c r="AT73" s="301" t="s">
        <v>1110</v>
      </c>
      <c r="AU73" s="301" t="s">
        <v>1111</v>
      </c>
      <c r="AV73" s="386">
        <v>1</v>
      </c>
      <c r="AW73" s="386">
        <v>1</v>
      </c>
      <c r="AX73" s="301" t="s">
        <v>1112</v>
      </c>
      <c r="AY73" s="301" t="s">
        <v>1113</v>
      </c>
      <c r="AZ73" s="163" t="s">
        <v>402</v>
      </c>
      <c r="BA73" s="163" t="s">
        <v>402</v>
      </c>
      <c r="BB73" s="171"/>
      <c r="BC73" s="323" t="s">
        <v>1114</v>
      </c>
      <c r="BD73" s="324" t="s">
        <v>404</v>
      </c>
      <c r="BE73" s="324" t="s">
        <v>1115</v>
      </c>
      <c r="BF73" s="329" t="s">
        <v>434</v>
      </c>
      <c r="BG73" s="181" t="s">
        <v>402</v>
      </c>
      <c r="BH73" s="181" t="s">
        <v>402</v>
      </c>
      <c r="BI73" s="183" t="s">
        <v>401</v>
      </c>
      <c r="BJ73" s="323" t="s">
        <v>1116</v>
      </c>
      <c r="BK73" s="327" t="s">
        <v>408</v>
      </c>
      <c r="BL73" s="641" t="s">
        <v>422</v>
      </c>
      <c r="BM73" s="193"/>
      <c r="BN73" s="194"/>
      <c r="BO73" s="194"/>
      <c r="BP73" s="194"/>
      <c r="BQ73" s="194"/>
      <c r="BR73" s="194"/>
      <c r="BS73" s="194"/>
      <c r="BT73" s="194"/>
      <c r="BU73" s="204"/>
      <c r="BV73" s="205"/>
      <c r="BW73" s="206"/>
      <c r="BX73" s="206"/>
      <c r="BY73" s="206"/>
      <c r="BZ73" s="206"/>
      <c r="CA73" s="206"/>
      <c r="CB73" s="213"/>
      <c r="CC73" s="214"/>
      <c r="CD73" s="206"/>
      <c r="CE73" s="213"/>
      <c r="CF73" s="215"/>
      <c r="CG73" s="216"/>
      <c r="CH73" s="216"/>
      <c r="CI73" s="216"/>
      <c r="CJ73" s="216"/>
      <c r="CK73" s="216"/>
      <c r="CL73" s="216"/>
      <c r="CM73" s="216"/>
      <c r="CN73" s="225"/>
      <c r="CO73" s="226"/>
      <c r="CP73" s="227"/>
      <c r="CQ73" s="227"/>
      <c r="CR73" s="227"/>
      <c r="CS73" s="227"/>
      <c r="CT73" s="227"/>
      <c r="CU73" s="234"/>
      <c r="CV73" s="226"/>
      <c r="CW73" s="227"/>
      <c r="CX73" s="234"/>
    </row>
    <row r="74" spans="1:102" ht="150.75" hidden="1" customHeight="1">
      <c r="A74" s="583"/>
      <c r="B74" s="586"/>
      <c r="C74" s="586"/>
      <c r="D74" s="586"/>
      <c r="E74" s="591"/>
      <c r="F74" s="591"/>
      <c r="G74" s="596"/>
      <c r="H74" s="599"/>
      <c r="I74" s="602"/>
      <c r="J74" s="599"/>
      <c r="K74" s="596"/>
      <c r="L74" s="599"/>
      <c r="M74" s="596"/>
      <c r="N74" s="335" t="str">
        <f>+IF(ISTEXT(D73),"G","")</f>
        <v>G</v>
      </c>
      <c r="O74" s="337" t="e">
        <f>IF(ISTEXT(D73),1+O73,"")</f>
        <v>#REF!</v>
      </c>
      <c r="P74" s="337" t="e">
        <f>IF(ISTEXT(D73),CONCATENATE(N74,O74),"")</f>
        <v>#REF!</v>
      </c>
      <c r="Q74" s="286" t="s">
        <v>1117</v>
      </c>
      <c r="R74" s="337" t="str">
        <f t="shared" si="23"/>
        <v>Probabilidad</v>
      </c>
      <c r="S74" s="299" t="s">
        <v>381</v>
      </c>
      <c r="T74" s="299" t="s">
        <v>382</v>
      </c>
      <c r="U74" s="339" t="str">
        <f t="shared" si="24"/>
        <v>40%</v>
      </c>
      <c r="V74" s="299" t="s">
        <v>491</v>
      </c>
      <c r="W74" s="299" t="s">
        <v>384</v>
      </c>
      <c r="X74" s="299" t="s">
        <v>385</v>
      </c>
      <c r="Y74" s="614"/>
      <c r="Z74" s="619"/>
      <c r="AA74" s="599"/>
      <c r="AB74" s="619"/>
      <c r="AC74" s="599"/>
      <c r="AD74" s="619"/>
      <c r="AE74" s="610"/>
      <c r="AF74" s="300" t="s">
        <v>1118</v>
      </c>
      <c r="AG74" s="300" t="s">
        <v>1119</v>
      </c>
      <c r="AH74" s="300" t="s">
        <v>1066</v>
      </c>
      <c r="AI74" s="273" t="s">
        <v>1120</v>
      </c>
      <c r="AJ74" s="273" t="s">
        <v>1121</v>
      </c>
      <c r="AK74" s="273" t="s">
        <v>1069</v>
      </c>
      <c r="AL74" s="304">
        <v>45078</v>
      </c>
      <c r="AM74" s="304">
        <v>45291</v>
      </c>
      <c r="AN74" s="273"/>
      <c r="AO74" s="273"/>
      <c r="AP74" s="273"/>
      <c r="AQ74" s="273"/>
      <c r="AR74" s="273"/>
      <c r="AS74" s="273"/>
      <c r="AT74" s="301" t="s">
        <v>1122</v>
      </c>
      <c r="AU74" s="301" t="s">
        <v>1123</v>
      </c>
      <c r="AV74" s="386">
        <v>1</v>
      </c>
      <c r="AW74" s="386">
        <v>1</v>
      </c>
      <c r="AX74" s="301" t="s">
        <v>1124</v>
      </c>
      <c r="AY74" s="301" t="s">
        <v>1125</v>
      </c>
      <c r="AZ74" s="163"/>
      <c r="BA74" s="163"/>
      <c r="BB74" s="171"/>
      <c r="BC74" s="323" t="s">
        <v>1126</v>
      </c>
      <c r="BD74" s="324" t="s">
        <v>404</v>
      </c>
      <c r="BE74" s="324" t="s">
        <v>1127</v>
      </c>
      <c r="BF74" s="329" t="s">
        <v>434</v>
      </c>
      <c r="BG74" s="181" t="s">
        <v>402</v>
      </c>
      <c r="BH74" s="181" t="s">
        <v>402</v>
      </c>
      <c r="BI74" s="183" t="s">
        <v>401</v>
      </c>
      <c r="BJ74" s="323" t="s">
        <v>1128</v>
      </c>
      <c r="BK74" s="327" t="s">
        <v>408</v>
      </c>
      <c r="BL74" s="643"/>
      <c r="BM74" s="193"/>
      <c r="BN74" s="194"/>
      <c r="BO74" s="194"/>
      <c r="BP74" s="194"/>
      <c r="BQ74" s="194"/>
      <c r="BR74" s="194"/>
      <c r="BS74" s="194"/>
      <c r="BT74" s="194"/>
      <c r="BU74" s="204"/>
      <c r="BV74" s="205"/>
      <c r="BW74" s="206"/>
      <c r="BX74" s="206"/>
      <c r="BY74" s="206"/>
      <c r="BZ74" s="206"/>
      <c r="CA74" s="206"/>
      <c r="CB74" s="213"/>
      <c r="CC74" s="214"/>
      <c r="CD74" s="206"/>
      <c r="CE74" s="213"/>
      <c r="CF74" s="215"/>
      <c r="CG74" s="216"/>
      <c r="CH74" s="216"/>
      <c r="CI74" s="216"/>
      <c r="CJ74" s="216"/>
      <c r="CK74" s="216"/>
      <c r="CL74" s="216"/>
      <c r="CM74" s="216"/>
      <c r="CN74" s="225"/>
      <c r="CO74" s="226"/>
      <c r="CP74" s="227"/>
      <c r="CQ74" s="227"/>
      <c r="CR74" s="227"/>
      <c r="CS74" s="227"/>
      <c r="CT74" s="227"/>
      <c r="CU74" s="234"/>
      <c r="CV74" s="226"/>
      <c r="CW74" s="227"/>
      <c r="CX74" s="234"/>
    </row>
    <row r="75" spans="1:102" ht="99" hidden="1" customHeight="1">
      <c r="A75" s="582"/>
      <c r="B75" s="585"/>
      <c r="C75" s="585"/>
      <c r="D75" s="585"/>
      <c r="E75" s="590"/>
      <c r="F75" s="590"/>
      <c r="G75" s="595"/>
      <c r="H75" s="598"/>
      <c r="I75" s="601"/>
      <c r="J75" s="598"/>
      <c r="K75" s="595"/>
      <c r="L75" s="598"/>
      <c r="M75" s="595"/>
      <c r="N75" s="335" t="str">
        <f>+IF(ISTEXT(D73),"G","")</f>
        <v>G</v>
      </c>
      <c r="O75" s="337" t="e">
        <f>IF(ISTEXT(D73),1+O74,"")</f>
        <v>#REF!</v>
      </c>
      <c r="P75" s="337" t="e">
        <f>IF(ISTEXT(D73),CONCATENATE(N75,O75),"")</f>
        <v>#REF!</v>
      </c>
      <c r="Q75" s="286" t="s">
        <v>1129</v>
      </c>
      <c r="R75" s="337" t="str">
        <f t="shared" si="23"/>
        <v>Probabilidad</v>
      </c>
      <c r="S75" s="299" t="s">
        <v>381</v>
      </c>
      <c r="T75" s="299" t="s">
        <v>382</v>
      </c>
      <c r="U75" s="339" t="str">
        <f t="shared" si="24"/>
        <v>40%</v>
      </c>
      <c r="V75" s="299" t="s">
        <v>383</v>
      </c>
      <c r="W75" s="299" t="s">
        <v>384</v>
      </c>
      <c r="X75" s="299" t="s">
        <v>385</v>
      </c>
      <c r="Y75" s="613"/>
      <c r="Z75" s="618"/>
      <c r="AA75" s="598"/>
      <c r="AB75" s="618"/>
      <c r="AC75" s="598"/>
      <c r="AD75" s="618"/>
      <c r="AE75" s="611"/>
      <c r="AF75" s="300" t="s">
        <v>1130</v>
      </c>
      <c r="AG75" s="300" t="s">
        <v>439</v>
      </c>
      <c r="AH75" s="300" t="s">
        <v>1066</v>
      </c>
      <c r="AI75" s="273"/>
      <c r="AJ75" s="273"/>
      <c r="AK75" s="273"/>
      <c r="AL75" s="304"/>
      <c r="AM75" s="304"/>
      <c r="AN75" s="273"/>
      <c r="AO75" s="273"/>
      <c r="AP75" s="273"/>
      <c r="AQ75" s="273"/>
      <c r="AR75" s="273"/>
      <c r="AS75" s="273"/>
      <c r="AT75" s="301" t="s">
        <v>1131</v>
      </c>
      <c r="AU75" s="301" t="s">
        <v>401</v>
      </c>
      <c r="AV75" s="386"/>
      <c r="AW75" s="386"/>
      <c r="AX75" s="386" t="s">
        <v>401</v>
      </c>
      <c r="AY75" s="386" t="s">
        <v>401</v>
      </c>
      <c r="AZ75" s="163"/>
      <c r="BA75" s="163"/>
      <c r="BB75" s="171"/>
      <c r="BC75" s="323" t="s">
        <v>1132</v>
      </c>
      <c r="BD75" s="324" t="s">
        <v>404</v>
      </c>
      <c r="BE75" s="324"/>
      <c r="BF75" s="329"/>
      <c r="BG75" s="181"/>
      <c r="BH75" s="181"/>
      <c r="BI75" s="183"/>
      <c r="BJ75" s="323" t="s">
        <v>1133</v>
      </c>
      <c r="BK75" s="327" t="s">
        <v>408</v>
      </c>
      <c r="BL75" s="642"/>
      <c r="BM75" s="193"/>
      <c r="BN75" s="194"/>
      <c r="BO75" s="194"/>
      <c r="BP75" s="194"/>
      <c r="BQ75" s="194"/>
      <c r="BR75" s="194"/>
      <c r="BS75" s="194"/>
      <c r="BT75" s="194"/>
      <c r="BU75" s="204"/>
      <c r="BV75" s="205"/>
      <c r="BW75" s="206"/>
      <c r="BX75" s="206"/>
      <c r="BY75" s="206"/>
      <c r="BZ75" s="206"/>
      <c r="CA75" s="206"/>
      <c r="CB75" s="213"/>
      <c r="CC75" s="214"/>
      <c r="CD75" s="206"/>
      <c r="CE75" s="213"/>
      <c r="CF75" s="215"/>
      <c r="CG75" s="216"/>
      <c r="CH75" s="216"/>
      <c r="CI75" s="216"/>
      <c r="CJ75" s="216"/>
      <c r="CK75" s="216"/>
      <c r="CL75" s="216"/>
      <c r="CM75" s="216"/>
      <c r="CN75" s="225"/>
      <c r="CO75" s="226"/>
      <c r="CP75" s="227"/>
      <c r="CQ75" s="227"/>
      <c r="CR75" s="227"/>
      <c r="CS75" s="227"/>
      <c r="CT75" s="227"/>
      <c r="CU75" s="234"/>
      <c r="CV75" s="226"/>
      <c r="CW75" s="227"/>
      <c r="CX75" s="234"/>
    </row>
    <row r="76" spans="1:102" ht="151.5" hidden="1" customHeight="1">
      <c r="A76" s="271">
        <v>51</v>
      </c>
      <c r="B76" s="272" t="str">
        <f>IFERROR(VLOOKUP($A76,Riesgos!$A$7:$H$84,2,FALSE),"")</f>
        <v/>
      </c>
      <c r="C76" s="272" t="str">
        <f>IFERROR(VLOOKUP($A76,Riesgos!$A$7:$H$84,7,FALSE),"")</f>
        <v/>
      </c>
      <c r="D76" s="272" t="str">
        <f>IFERROR(VLOOKUP($A76,Riesgos!$A$7:$H$84,8,FALSE),"")</f>
        <v/>
      </c>
      <c r="E76" s="273" t="s">
        <v>453</v>
      </c>
      <c r="F76" s="273">
        <v>700</v>
      </c>
      <c r="G76" s="335" t="str">
        <f>IF(F76&lt;=0,"",IF(F76&lt;='Listas y tablas'!$B$3,"Muy Baja",IF(F76&lt;='Listas y tablas'!$B$4,"Baja",IF(F76&lt;='Listas y tablas'!$B$5,"Media",IF(F76&lt;='Listas y tablas'!$B$6,"Alta","Muy Alta")))))</f>
        <v>Alta</v>
      </c>
      <c r="H76" s="336">
        <f>IF(G76="","",IF(G76="Muy Baja",'Listas y tablas'!$C$3,IF(G76="Baja",'Listas y tablas'!$C$4,IF(G76="Media",'Listas y tablas'!$C$5,IF(G76="Alta",'Listas y tablas'!$C$6,IF(G76="Muy Alta",'Listas y tablas'!$C$7,))))))</f>
        <v>0.8</v>
      </c>
      <c r="I76" s="338" t="s">
        <v>423</v>
      </c>
      <c r="J76" s="336" t="str">
        <f>IF(NOT(ISERROR(MATCH(I76,'Tabla Impacto'!$B$221:$B$223,0))),'Tabla Impacto'!$F$223&amp;"Por favor no seleccionar los criterios de impacto(Afectación Económica o presupuestal y Pérdida Reputacional)",I76)</f>
        <v xml:space="preserve">     El riesgo afecta la imagen de la entidad con algunos usuarios de relevancia frente al logro de los objetivos</v>
      </c>
      <c r="K76" s="335" t="str">
        <f>IF(OR(J76='Tabla Impacto'!$C$11,J76='Tabla Impacto'!$D$11),"Leve",IF(OR(J76='Tabla Impacto'!$C$12,J76='Tabla Impacto'!$D$12),"Menor",IF(OR(J76='Tabla Impacto'!$C$13,J76='Tabla Impacto'!$D$13),"Moderado",IF(OR(J76='Tabla Impacto'!$C$14,J76='Tabla Impacto'!$D$14),"Mayor",IF(OR(J76='Tabla Impacto'!$C$15,J76='Tabla Impacto'!$D$15),"Catastrófico","")))))</f>
        <v>Moderado</v>
      </c>
      <c r="L76" s="336">
        <f>IF(K76="","",IF(K76="Leve",'Listas y tablas'!$F$3,IF(K76="Menor",'Listas y tablas'!$F$4,IF(K76="Moderado",'Listas y tablas'!$F$5,IF(K76="Mayor",'Listas y tablas'!$F$6,IF(K76="Catastrófico",'Listas y tablas'!$F$7,))))))</f>
        <v>0.6</v>
      </c>
      <c r="M76" s="335" t="str">
        <f t="shared" si="25"/>
        <v>Alto</v>
      </c>
      <c r="N76" s="335" t="str">
        <f t="shared" si="26"/>
        <v>G</v>
      </c>
      <c r="O76" s="337" t="e">
        <f t="shared" si="27"/>
        <v>#REF!</v>
      </c>
      <c r="P76" s="337" t="e">
        <f t="shared" si="28"/>
        <v>#REF!</v>
      </c>
      <c r="Q76" s="286" t="s">
        <v>1134</v>
      </c>
      <c r="R76" s="337" t="str">
        <f t="shared" si="23"/>
        <v>Probabilidad</v>
      </c>
      <c r="S76" s="299" t="s">
        <v>381</v>
      </c>
      <c r="T76" s="299" t="s">
        <v>382</v>
      </c>
      <c r="U76" s="339" t="str">
        <f t="shared" si="24"/>
        <v>40%</v>
      </c>
      <c r="V76" s="299" t="s">
        <v>383</v>
      </c>
      <c r="W76" s="299" t="s">
        <v>384</v>
      </c>
      <c r="X76" s="299" t="s">
        <v>385</v>
      </c>
      <c r="Y76" s="346">
        <f t="shared" si="29"/>
        <v>0.48</v>
      </c>
      <c r="Z76" s="154" t="str">
        <f>IFERROR(IF(Y76="","",IF(Y76&lt;='Listas y tablas'!$L$3,"Muy Baja",IF(Y76&lt;='Listas y tablas'!$L$4,"Baja",IF(Y76&lt;='Listas y tablas'!$L$5,"Media",IF(Y76&lt;='Listas y tablas'!$L$6,"Alta","Muy Alta"))))),"")</f>
        <v>Media</v>
      </c>
      <c r="AA76" s="339">
        <f t="shared" si="30"/>
        <v>0.48</v>
      </c>
      <c r="AB76" s="154" t="str">
        <f>IFERROR(IF(AC76="","",IF(AC76&lt;='Listas y tablas'!$O$3,"Leve",IF(AC76&lt;='Listas y tablas'!$O$4,"Menor",IF(AC76&lt;='Listas y tablas'!$O$5,"Moderado",IF(AC76&lt;='Listas y tablas'!$O$6,"Mayor","Catastrófico"))))),"")</f>
        <v>Catastrófico</v>
      </c>
      <c r="AC76" s="339">
        <f t="shared" si="31"/>
        <v>700</v>
      </c>
      <c r="AD76" s="154" t="str">
        <f t="shared" si="32"/>
        <v>Extremo</v>
      </c>
      <c r="AE76" s="299" t="s">
        <v>386</v>
      </c>
      <c r="AF76" s="300" t="s">
        <v>1135</v>
      </c>
      <c r="AG76" s="364"/>
      <c r="AH76" s="364"/>
      <c r="AI76" s="273" t="s">
        <v>1136</v>
      </c>
      <c r="AJ76" s="273" t="s">
        <v>1137</v>
      </c>
      <c r="AK76" s="273" t="s">
        <v>1138</v>
      </c>
      <c r="AL76" s="304">
        <v>44958</v>
      </c>
      <c r="AM76" s="304">
        <v>45275</v>
      </c>
      <c r="AN76" s="273"/>
      <c r="AO76" s="273"/>
      <c r="AP76" s="273"/>
      <c r="AQ76" s="273"/>
      <c r="AR76" s="273"/>
      <c r="AS76" s="273"/>
      <c r="AT76" s="319" t="s">
        <v>1139</v>
      </c>
      <c r="AU76" s="320" t="s">
        <v>1140</v>
      </c>
      <c r="AV76" s="321">
        <v>0</v>
      </c>
      <c r="AW76" s="321">
        <v>0</v>
      </c>
      <c r="AX76" s="326" t="s">
        <v>1141</v>
      </c>
      <c r="AY76" s="326" t="s">
        <v>401</v>
      </c>
      <c r="AZ76" s="163" t="s">
        <v>402</v>
      </c>
      <c r="BA76" s="163" t="s">
        <v>402</v>
      </c>
      <c r="BB76" s="171" t="s">
        <v>401</v>
      </c>
      <c r="BC76" s="323" t="s">
        <v>1142</v>
      </c>
      <c r="BD76" s="324" t="s">
        <v>404</v>
      </c>
      <c r="BE76" s="324" t="s">
        <v>1143</v>
      </c>
      <c r="BF76" s="329" t="s">
        <v>406</v>
      </c>
      <c r="BG76" s="181" t="s">
        <v>402</v>
      </c>
      <c r="BH76" s="181" t="s">
        <v>402</v>
      </c>
      <c r="BI76" s="183" t="s">
        <v>401</v>
      </c>
      <c r="BJ76" s="323" t="s">
        <v>1144</v>
      </c>
      <c r="BK76" s="327" t="s">
        <v>408</v>
      </c>
      <c r="BL76" s="192" t="s">
        <v>402</v>
      </c>
      <c r="BM76" s="193"/>
      <c r="BN76" s="194"/>
      <c r="BO76" s="194"/>
      <c r="BP76" s="194"/>
      <c r="BQ76" s="194"/>
      <c r="BR76" s="194"/>
      <c r="BS76" s="194"/>
      <c r="BT76" s="194"/>
      <c r="BU76" s="204"/>
      <c r="BV76" s="205"/>
      <c r="BW76" s="206"/>
      <c r="BX76" s="206"/>
      <c r="BY76" s="206"/>
      <c r="BZ76" s="206"/>
      <c r="CA76" s="206"/>
      <c r="CB76" s="213"/>
      <c r="CC76" s="214"/>
      <c r="CD76" s="206"/>
      <c r="CE76" s="213"/>
      <c r="CF76" s="215"/>
      <c r="CG76" s="216"/>
      <c r="CH76" s="216"/>
      <c r="CI76" s="216"/>
      <c r="CJ76" s="216"/>
      <c r="CK76" s="216"/>
      <c r="CL76" s="216"/>
      <c r="CM76" s="216"/>
      <c r="CN76" s="225"/>
      <c r="CO76" s="226"/>
      <c r="CP76" s="227"/>
      <c r="CQ76" s="227"/>
      <c r="CR76" s="227"/>
      <c r="CS76" s="227"/>
      <c r="CT76" s="227"/>
      <c r="CU76" s="234"/>
      <c r="CV76" s="226"/>
      <c r="CW76" s="227"/>
      <c r="CX76" s="234"/>
    </row>
    <row r="77" spans="1:102" ht="151.5" hidden="1" customHeight="1">
      <c r="A77" s="271">
        <v>52</v>
      </c>
      <c r="B77" s="272" t="str">
        <f>IFERROR(VLOOKUP($A77,Riesgos!$A$7:$H$84,2,FALSE),"")</f>
        <v/>
      </c>
      <c r="C77" s="272" t="str">
        <f>IFERROR(VLOOKUP($A77,Riesgos!$A$7:$H$84,7,FALSE),"")</f>
        <v/>
      </c>
      <c r="D77" s="272" t="str">
        <f>IFERROR(VLOOKUP($A77,Riesgos!$A$7:$H$84,8,FALSE),"")</f>
        <v/>
      </c>
      <c r="E77" s="273" t="s">
        <v>453</v>
      </c>
      <c r="F77" s="273">
        <v>300</v>
      </c>
      <c r="G77" s="335" t="str">
        <f>IF(F77&lt;=0,"",IF(F77&lt;='Listas y tablas'!$B$3,"Muy Baja",IF(F77&lt;='Listas y tablas'!$B$4,"Baja",IF(F77&lt;='Listas y tablas'!$B$5,"Media",IF(F77&lt;='Listas y tablas'!$B$6,"Alta","Muy Alta")))))</f>
        <v>Media</v>
      </c>
      <c r="H77" s="336">
        <f>IF(G77="","",IF(G77="Muy Baja",'Listas y tablas'!$C$3,IF(G77="Baja",'Listas y tablas'!$C$4,IF(G77="Media",'Listas y tablas'!$C$5,IF(G77="Alta",'Listas y tablas'!$C$6,IF(G77="Muy Alta",'Listas y tablas'!$C$7,))))))</f>
        <v>0.6</v>
      </c>
      <c r="I77" s="338" t="s">
        <v>423</v>
      </c>
      <c r="J77" s="336" t="str">
        <f>IF(NOT(ISERROR(MATCH(I77,'Tabla Impacto'!$B$221:$B$223,0))),'Tabla Impacto'!$F$223&amp;"Por favor no seleccionar los criterios de impacto(Afectación Económica o presupuestal y Pérdida Reputacional)",I77)</f>
        <v xml:space="preserve">     El riesgo afecta la imagen de la entidad con algunos usuarios de relevancia frente al logro de los objetivos</v>
      </c>
      <c r="K77" s="335" t="str">
        <f>IF(OR(J77='Tabla Impacto'!$C$11,J77='Tabla Impacto'!$D$11),"Leve",IF(OR(J77='Tabla Impacto'!$C$12,J77='Tabla Impacto'!$D$12),"Menor",IF(OR(J77='Tabla Impacto'!$C$13,J77='Tabla Impacto'!$D$13),"Moderado",IF(OR(J77='Tabla Impacto'!$C$14,J77='Tabla Impacto'!$D$14),"Mayor",IF(OR(J77='Tabla Impacto'!$C$15,J77='Tabla Impacto'!$D$15),"Catastrófico","")))))</f>
        <v>Moderado</v>
      </c>
      <c r="L77" s="336">
        <f>IF(K77="","",IF(K77="Leve",'Listas y tablas'!$F$3,IF(K77="Menor",'Listas y tablas'!$F$4,IF(K77="Moderado",'Listas y tablas'!$F$5,IF(K77="Mayor",'Listas y tablas'!$F$6,IF(K77="Catastrófico",'Listas y tablas'!$F$7,))))))</f>
        <v>0.6</v>
      </c>
      <c r="M77" s="335" t="str">
        <f t="shared" si="25"/>
        <v>Moderado</v>
      </c>
      <c r="N77" s="335" t="str">
        <f t="shared" si="26"/>
        <v>G</v>
      </c>
      <c r="O77" s="337" t="e">
        <f t="shared" si="27"/>
        <v>#REF!</v>
      </c>
      <c r="P77" s="337" t="e">
        <f t="shared" si="28"/>
        <v>#REF!</v>
      </c>
      <c r="Q77" s="286" t="s">
        <v>1145</v>
      </c>
      <c r="R77" s="337" t="str">
        <f t="shared" si="23"/>
        <v>Probabilidad</v>
      </c>
      <c r="S77" s="299" t="s">
        <v>381</v>
      </c>
      <c r="T77" s="299" t="s">
        <v>382</v>
      </c>
      <c r="U77" s="339" t="str">
        <f t="shared" si="24"/>
        <v>40%</v>
      </c>
      <c r="V77" s="299" t="s">
        <v>383</v>
      </c>
      <c r="W77" s="299" t="s">
        <v>384</v>
      </c>
      <c r="X77" s="299" t="s">
        <v>385</v>
      </c>
      <c r="Y77" s="346">
        <f t="shared" si="29"/>
        <v>0.36</v>
      </c>
      <c r="Z77" s="154" t="str">
        <f>IFERROR(IF(Y77="","",IF(Y77&lt;='Listas y tablas'!$L$3,"Muy Baja",IF(Y77&lt;='Listas y tablas'!$L$4,"Baja",IF(Y77&lt;='Listas y tablas'!$L$5,"Media",IF(Y77&lt;='Listas y tablas'!$L$6,"Alta","Muy Alta"))))),"")</f>
        <v>Baja</v>
      </c>
      <c r="AA77" s="339">
        <f t="shared" si="30"/>
        <v>0.36</v>
      </c>
      <c r="AB77" s="154" t="str">
        <f>IFERROR(IF(AC77="","",IF(AC77&lt;='Listas y tablas'!$O$3,"Leve",IF(AC77&lt;='Listas y tablas'!$O$4,"Menor",IF(AC77&lt;='Listas y tablas'!$O$5,"Moderado",IF(AC77&lt;='Listas y tablas'!$O$6,"Mayor","Catastrófico"))))),"")</f>
        <v>Catastrófico</v>
      </c>
      <c r="AC77" s="339">
        <f t="shared" si="31"/>
        <v>300</v>
      </c>
      <c r="AD77" s="154" t="str">
        <f t="shared" si="32"/>
        <v>Extremo</v>
      </c>
      <c r="AE77" s="299" t="s">
        <v>386</v>
      </c>
      <c r="AF77" s="300" t="s">
        <v>1146</v>
      </c>
      <c r="AG77" s="364"/>
      <c r="AH77" s="364"/>
      <c r="AI77" s="273" t="s">
        <v>1147</v>
      </c>
      <c r="AJ77" s="273" t="s">
        <v>1148</v>
      </c>
      <c r="AK77" s="273" t="s">
        <v>1138</v>
      </c>
      <c r="AL77" s="407">
        <v>44958</v>
      </c>
      <c r="AM77" s="407">
        <v>45275</v>
      </c>
      <c r="AN77" s="273"/>
      <c r="AO77" s="273"/>
      <c r="AP77" s="273"/>
      <c r="AQ77" s="273"/>
      <c r="AR77" s="273"/>
      <c r="AS77" s="273"/>
      <c r="AT77" s="319" t="s">
        <v>1149</v>
      </c>
      <c r="AU77" s="320" t="s">
        <v>1150</v>
      </c>
      <c r="AV77" s="321">
        <v>1</v>
      </c>
      <c r="AW77" s="321">
        <v>1</v>
      </c>
      <c r="AX77" s="326" t="s">
        <v>1151</v>
      </c>
      <c r="AY77" s="320" t="s">
        <v>1152</v>
      </c>
      <c r="AZ77" s="163" t="s">
        <v>402</v>
      </c>
      <c r="BA77" s="163" t="s">
        <v>402</v>
      </c>
      <c r="BB77" s="171" t="s">
        <v>401</v>
      </c>
      <c r="BC77" s="323" t="s">
        <v>1153</v>
      </c>
      <c r="BD77" s="324" t="s">
        <v>404</v>
      </c>
      <c r="BE77" s="324" t="s">
        <v>1154</v>
      </c>
      <c r="BF77" s="329" t="s">
        <v>434</v>
      </c>
      <c r="BG77" s="181" t="s">
        <v>402</v>
      </c>
      <c r="BH77" s="181" t="s">
        <v>402</v>
      </c>
      <c r="BI77" s="183" t="s">
        <v>401</v>
      </c>
      <c r="BJ77" s="323" t="s">
        <v>1155</v>
      </c>
      <c r="BK77" s="327" t="s">
        <v>408</v>
      </c>
      <c r="BL77" s="192" t="s">
        <v>402</v>
      </c>
      <c r="BM77" s="193"/>
      <c r="BN77" s="194"/>
      <c r="BO77" s="194"/>
      <c r="BP77" s="194"/>
      <c r="BQ77" s="194"/>
      <c r="BR77" s="194"/>
      <c r="BS77" s="194"/>
      <c r="BT77" s="194"/>
      <c r="BU77" s="204"/>
      <c r="BV77" s="205"/>
      <c r="BW77" s="206"/>
      <c r="BX77" s="206"/>
      <c r="BY77" s="206"/>
      <c r="BZ77" s="206"/>
      <c r="CA77" s="206"/>
      <c r="CB77" s="213"/>
      <c r="CC77" s="214"/>
      <c r="CD77" s="206"/>
      <c r="CE77" s="213"/>
      <c r="CF77" s="215"/>
      <c r="CG77" s="216"/>
      <c r="CH77" s="216"/>
      <c r="CI77" s="216"/>
      <c r="CJ77" s="216"/>
      <c r="CK77" s="216"/>
      <c r="CL77" s="216"/>
      <c r="CM77" s="216"/>
      <c r="CN77" s="225"/>
      <c r="CO77" s="226"/>
      <c r="CP77" s="227"/>
      <c r="CQ77" s="227"/>
      <c r="CR77" s="227"/>
      <c r="CS77" s="227"/>
      <c r="CT77" s="227"/>
      <c r="CU77" s="234"/>
      <c r="CV77" s="226"/>
      <c r="CW77" s="227"/>
      <c r="CX77" s="234"/>
    </row>
    <row r="78" spans="1:102" ht="131.25" hidden="1" customHeight="1">
      <c r="A78" s="271">
        <v>53</v>
      </c>
      <c r="B78" s="272" t="str">
        <f>IFERROR(VLOOKUP($A78,Riesgos!$A$7:$H$84,2,FALSE),"")</f>
        <v/>
      </c>
      <c r="C78" s="272" t="str">
        <f>IFERROR(VLOOKUP($A78,Riesgos!$A$7:$H$84,7,FALSE),"")</f>
        <v/>
      </c>
      <c r="D78" s="272" t="str">
        <f>IFERROR(VLOOKUP($A78,Riesgos!$A$7:$H$84,8,FALSE),"")</f>
        <v/>
      </c>
      <c r="E78" s="273" t="s">
        <v>453</v>
      </c>
      <c r="F78" s="273">
        <v>1000</v>
      </c>
      <c r="G78" s="335" t="str">
        <f>IF(F78&lt;=0,"",IF(F78&lt;='Listas y tablas'!$B$3,"Muy Baja",IF(F78&lt;='Listas y tablas'!$B$4,"Baja",IF(F78&lt;='Listas y tablas'!$B$5,"Media",IF(F78&lt;='Listas y tablas'!$B$6,"Alta","Muy Alta")))))</f>
        <v>Alta</v>
      </c>
      <c r="H78" s="336">
        <f>IF(G78="","",IF(G78="Muy Baja",'Listas y tablas'!$C$3,IF(G78="Baja",'Listas y tablas'!$C$4,IF(G78="Media",'Listas y tablas'!$C$5,IF(G78="Alta",'Listas y tablas'!$C$6,IF(G78="Muy Alta",'Listas y tablas'!$C$7,))))))</f>
        <v>0.8</v>
      </c>
      <c r="I78" s="338" t="s">
        <v>983</v>
      </c>
      <c r="J78" s="336" t="str">
        <f>IF(NOT(ISERROR(MATCH(I78,'Tabla Impacto'!$B$221:$B$223,0))),'Tabla Impacto'!$F$223&amp;"Por favor no seleccionar los criterios de impacto(Afectación Económica o presupuestal y Pérdida Reputacional)",I78)</f>
        <v xml:space="preserve">     El riesgo afecta la imagen de de la entidad con efecto publicitario sostenido a nivel de sector administrativo, nivel departamental o municipal</v>
      </c>
      <c r="K78" s="335" t="str">
        <f>IF(OR(J78='Tabla Impacto'!$C$11,J78='Tabla Impacto'!$D$11),"Leve",IF(OR(J78='Tabla Impacto'!$C$12,J78='Tabla Impacto'!$D$12),"Menor",IF(OR(J78='Tabla Impacto'!$C$13,J78='Tabla Impacto'!$D$13),"Moderado",IF(OR(J78='Tabla Impacto'!$C$14,J78='Tabla Impacto'!$D$14),"Mayor",IF(OR(J78='Tabla Impacto'!$C$15,J78='Tabla Impacto'!$D$15),"Catastrófico","")))))</f>
        <v>Mayor</v>
      </c>
      <c r="L78" s="336">
        <f>IF(K78="","",IF(K78="Leve",'Listas y tablas'!$F$3,IF(K78="Menor",'Listas y tablas'!$F$4,IF(K78="Moderado",'Listas y tablas'!$F$5,IF(K78="Mayor",'Listas y tablas'!$F$6,IF(K78="Catastrófico",'Listas y tablas'!$F$7,))))))</f>
        <v>0.8</v>
      </c>
      <c r="M78" s="335" t="str">
        <f t="shared" si="25"/>
        <v>Alto</v>
      </c>
      <c r="N78" s="335" t="str">
        <f t="shared" si="26"/>
        <v>G</v>
      </c>
      <c r="O78" s="337" t="e">
        <f t="shared" si="27"/>
        <v>#REF!</v>
      </c>
      <c r="P78" s="337" t="e">
        <f t="shared" si="28"/>
        <v>#REF!</v>
      </c>
      <c r="Q78" s="286" t="s">
        <v>1156</v>
      </c>
      <c r="R78" s="337" t="str">
        <f t="shared" si="23"/>
        <v>Probabilidad</v>
      </c>
      <c r="S78" s="299" t="s">
        <v>381</v>
      </c>
      <c r="T78" s="299" t="s">
        <v>382</v>
      </c>
      <c r="U78" s="339" t="str">
        <f t="shared" si="24"/>
        <v>40%</v>
      </c>
      <c r="V78" s="299" t="s">
        <v>383</v>
      </c>
      <c r="W78" s="299" t="s">
        <v>384</v>
      </c>
      <c r="X78" s="299" t="s">
        <v>385</v>
      </c>
      <c r="Y78" s="346">
        <f t="shared" si="29"/>
        <v>0.48</v>
      </c>
      <c r="Z78" s="154" t="str">
        <f>IFERROR(IF(Y78="","",IF(Y78&lt;='Listas y tablas'!$L$3,"Muy Baja",IF(Y78&lt;='Listas y tablas'!$L$4,"Baja",IF(Y78&lt;='Listas y tablas'!$L$5,"Media",IF(Y78&lt;='Listas y tablas'!$L$6,"Alta","Muy Alta"))))),"")</f>
        <v>Media</v>
      </c>
      <c r="AA78" s="339">
        <f t="shared" si="30"/>
        <v>0.48</v>
      </c>
      <c r="AB78" s="154" t="str">
        <f>IFERROR(IF(AC78="","",IF(AC78&lt;='Listas y tablas'!$O$3,"Leve",IF(AC78&lt;='Listas y tablas'!$O$4,"Menor",IF(AC78&lt;='Listas y tablas'!$O$5,"Moderado",IF(AC78&lt;='Listas y tablas'!$O$6,"Mayor","Catastrófico"))))),"")</f>
        <v>Catastrófico</v>
      </c>
      <c r="AC78" s="339">
        <f t="shared" si="31"/>
        <v>1000</v>
      </c>
      <c r="AD78" s="154" t="str">
        <f t="shared" si="32"/>
        <v>Extremo</v>
      </c>
      <c r="AE78" s="299" t="s">
        <v>386</v>
      </c>
      <c r="AF78" s="300" t="s">
        <v>1157</v>
      </c>
      <c r="AG78" s="300" t="s">
        <v>767</v>
      </c>
      <c r="AH78" s="364"/>
      <c r="AI78" s="273" t="s">
        <v>1158</v>
      </c>
      <c r="AJ78" s="273" t="s">
        <v>1159</v>
      </c>
      <c r="AK78" s="273" t="s">
        <v>1138</v>
      </c>
      <c r="AL78" s="304">
        <v>44958</v>
      </c>
      <c r="AM78" s="304">
        <v>45275</v>
      </c>
      <c r="AN78" s="273"/>
      <c r="AO78" s="273"/>
      <c r="AP78" s="273"/>
      <c r="AQ78" s="273"/>
      <c r="AR78" s="273"/>
      <c r="AS78" s="273"/>
      <c r="AT78" s="319" t="s">
        <v>1160</v>
      </c>
      <c r="AU78" s="320" t="s">
        <v>1161</v>
      </c>
      <c r="AV78" s="321">
        <v>1</v>
      </c>
      <c r="AW78" s="321">
        <v>1</v>
      </c>
      <c r="AX78" s="320" t="s">
        <v>1162</v>
      </c>
      <c r="AY78" s="320" t="s">
        <v>1163</v>
      </c>
      <c r="AZ78" s="163" t="s">
        <v>422</v>
      </c>
      <c r="BA78" s="163" t="s">
        <v>402</v>
      </c>
      <c r="BB78" s="171" t="s">
        <v>402</v>
      </c>
      <c r="BC78" s="323" t="s">
        <v>1164</v>
      </c>
      <c r="BD78" s="324" t="s">
        <v>404</v>
      </c>
      <c r="BE78" s="324" t="s">
        <v>1165</v>
      </c>
      <c r="BF78" s="329" t="s">
        <v>434</v>
      </c>
      <c r="BG78" s="181"/>
      <c r="BH78" s="181"/>
      <c r="BI78" s="183"/>
      <c r="BJ78" s="323" t="s">
        <v>1166</v>
      </c>
      <c r="BK78" s="327" t="s">
        <v>408</v>
      </c>
      <c r="BL78" s="192" t="s">
        <v>422</v>
      </c>
      <c r="BM78" s="193"/>
      <c r="BN78" s="194"/>
      <c r="BO78" s="194"/>
      <c r="BP78" s="194"/>
      <c r="BQ78" s="194"/>
      <c r="BR78" s="194"/>
      <c r="BS78" s="194"/>
      <c r="BT78" s="194"/>
      <c r="BU78" s="204"/>
      <c r="BV78" s="205"/>
      <c r="BW78" s="206"/>
      <c r="BX78" s="206"/>
      <c r="BY78" s="206"/>
      <c r="BZ78" s="206"/>
      <c r="CA78" s="206"/>
      <c r="CB78" s="213"/>
      <c r="CC78" s="214"/>
      <c r="CD78" s="206"/>
      <c r="CE78" s="213"/>
      <c r="CF78" s="215"/>
      <c r="CG78" s="216"/>
      <c r="CH78" s="216"/>
      <c r="CI78" s="216"/>
      <c r="CJ78" s="216"/>
      <c r="CK78" s="216"/>
      <c r="CL78" s="216"/>
      <c r="CM78" s="216"/>
      <c r="CN78" s="225"/>
      <c r="CO78" s="226"/>
      <c r="CP78" s="227"/>
      <c r="CQ78" s="227"/>
      <c r="CR78" s="227"/>
      <c r="CS78" s="227"/>
      <c r="CT78" s="227"/>
      <c r="CU78" s="234"/>
      <c r="CV78" s="226"/>
      <c r="CW78" s="227"/>
      <c r="CX78" s="234"/>
    </row>
    <row r="79" spans="1:102" ht="101.25" hidden="1" customHeight="1">
      <c r="A79" s="271">
        <v>54</v>
      </c>
      <c r="B79" s="272" t="str">
        <f>IFERROR(VLOOKUP($A79,Riesgos!$A$7:$H$84,2,FALSE),"")</f>
        <v/>
      </c>
      <c r="C79" s="272" t="str">
        <f>IFERROR(VLOOKUP($A79,Riesgos!$A$7:$H$84,7,FALSE),"")</f>
        <v/>
      </c>
      <c r="D79" s="272" t="str">
        <f>IFERROR(VLOOKUP($A79,Riesgos!$A$7:$H$84,8,FALSE),"")</f>
        <v/>
      </c>
      <c r="E79" s="273" t="s">
        <v>453</v>
      </c>
      <c r="F79" s="273">
        <v>1</v>
      </c>
      <c r="G79" s="335" t="str">
        <f>IF(F79&lt;=0,"",IF(F79&lt;='Listas y tablas'!$B$3,"Muy Baja",IF(F79&lt;='Listas y tablas'!$B$4,"Baja",IF(F79&lt;='Listas y tablas'!$B$5,"Media",IF(F79&lt;='Listas y tablas'!$B$6,"Alta","Muy Alta")))))</f>
        <v>Muy Baja</v>
      </c>
      <c r="H79" s="336">
        <f>IF(G79="","",IF(G79="Muy Baja",'Listas y tablas'!$C$3,IF(G79="Baja",'Listas y tablas'!$C$4,IF(G79="Media",'Listas y tablas'!$C$5,IF(G79="Alta",'Listas y tablas'!$C$6,IF(G79="Muy Alta",'Listas y tablas'!$C$7,))))))</f>
        <v>0.2</v>
      </c>
      <c r="I79" s="338" t="s">
        <v>983</v>
      </c>
      <c r="J79" s="336" t="str">
        <f>IF(NOT(ISERROR(MATCH(I79,'Tabla Impacto'!$B$221:$B$223,0))),'Tabla Impacto'!$F$223&amp;"Por favor no seleccionar los criterios de impacto(Afectación Económica o presupuestal y Pérdida Reputacional)",I79)</f>
        <v xml:space="preserve">     El riesgo afecta la imagen de de la entidad con efecto publicitario sostenido a nivel de sector administrativo, nivel departamental o municipal</v>
      </c>
      <c r="K79" s="335" t="str">
        <f>IF(OR(J79='Tabla Impacto'!$C$11,J79='Tabla Impacto'!$D$11),"Leve",IF(OR(J79='Tabla Impacto'!$C$12,J79='Tabla Impacto'!$D$12),"Menor",IF(OR(J79='Tabla Impacto'!$C$13,J79='Tabla Impacto'!$D$13),"Moderado",IF(OR(J79='Tabla Impacto'!$C$14,J79='Tabla Impacto'!$D$14),"Mayor",IF(OR(J79='Tabla Impacto'!$C$15,J79='Tabla Impacto'!$D$15),"Catastrófico","")))))</f>
        <v>Mayor</v>
      </c>
      <c r="L79" s="336">
        <f>IF(K79="","",IF(K79="Leve",'Listas y tablas'!$F$3,IF(K79="Menor",'Listas y tablas'!$F$4,IF(K79="Moderado",'Listas y tablas'!$F$5,IF(K79="Mayor",'Listas y tablas'!$F$6,IF(K79="Catastrófico",'Listas y tablas'!$F$7,))))))</f>
        <v>0.8</v>
      </c>
      <c r="M79" s="335" t="str">
        <f t="shared" si="25"/>
        <v>Alto</v>
      </c>
      <c r="N79" s="335" t="str">
        <f t="shared" si="26"/>
        <v>G</v>
      </c>
      <c r="O79" s="337" t="e">
        <f t="shared" si="27"/>
        <v>#REF!</v>
      </c>
      <c r="P79" s="337" t="e">
        <f t="shared" si="28"/>
        <v>#REF!</v>
      </c>
      <c r="Q79" s="286" t="s">
        <v>1167</v>
      </c>
      <c r="R79" s="337" t="str">
        <f t="shared" si="23"/>
        <v>Probabilidad</v>
      </c>
      <c r="S79" s="299" t="s">
        <v>381</v>
      </c>
      <c r="T79" s="299" t="s">
        <v>382</v>
      </c>
      <c r="U79" s="339" t="str">
        <f t="shared" si="24"/>
        <v>40%</v>
      </c>
      <c r="V79" s="299" t="s">
        <v>491</v>
      </c>
      <c r="W79" s="299" t="s">
        <v>765</v>
      </c>
      <c r="X79" s="299" t="s">
        <v>742</v>
      </c>
      <c r="Y79" s="346">
        <f t="shared" si="29"/>
        <v>0.12</v>
      </c>
      <c r="Z79" s="154" t="str">
        <f>IFERROR(IF(Y79="","",IF(Y79&lt;='Listas y tablas'!$L$3,"Muy Baja",IF(Y79&lt;='Listas y tablas'!$L$4,"Baja",IF(Y79&lt;='Listas y tablas'!$L$5,"Media",IF(Y79&lt;='Listas y tablas'!$L$6,"Alta","Muy Alta"))))),"")</f>
        <v>Muy Baja</v>
      </c>
      <c r="AA79" s="339">
        <f t="shared" si="30"/>
        <v>0.12</v>
      </c>
      <c r="AB79" s="154" t="str">
        <f>IFERROR(IF(AC79="","",IF(AC79&lt;='Listas y tablas'!$O$3,"Leve",IF(AC79&lt;='Listas y tablas'!$O$4,"Menor",IF(AC79&lt;='Listas y tablas'!$O$5,"Moderado",IF(AC79&lt;='Listas y tablas'!$O$6,"Mayor","Catastrófico"))))),"")</f>
        <v>Catastrófico</v>
      </c>
      <c r="AC79" s="339">
        <f t="shared" si="31"/>
        <v>1</v>
      </c>
      <c r="AD79" s="154" t="str">
        <f t="shared" si="32"/>
        <v>Extremo</v>
      </c>
      <c r="AE79" s="299" t="s">
        <v>386</v>
      </c>
      <c r="AF79" s="300" t="s">
        <v>1168</v>
      </c>
      <c r="AG79" s="364"/>
      <c r="AH79" s="364"/>
      <c r="AI79" s="273"/>
      <c r="AJ79" s="273"/>
      <c r="AK79" s="273"/>
      <c r="AL79" s="304"/>
      <c r="AM79" s="304"/>
      <c r="AN79" s="273"/>
      <c r="AO79" s="273"/>
      <c r="AP79" s="273"/>
      <c r="AQ79" s="273"/>
      <c r="AR79" s="273"/>
      <c r="AS79" s="273"/>
      <c r="AT79" s="319" t="s">
        <v>1169</v>
      </c>
      <c r="AU79" s="320" t="s">
        <v>1170</v>
      </c>
      <c r="AV79" s="321">
        <v>0</v>
      </c>
      <c r="AW79" s="321">
        <v>0</v>
      </c>
      <c r="AX79" s="326" t="s">
        <v>401</v>
      </c>
      <c r="AY79" s="326" t="s">
        <v>401</v>
      </c>
      <c r="AZ79" s="163" t="s">
        <v>402</v>
      </c>
      <c r="BA79" s="163" t="s">
        <v>402</v>
      </c>
      <c r="BB79" s="171" t="s">
        <v>401</v>
      </c>
      <c r="BC79" s="323" t="s">
        <v>1164</v>
      </c>
      <c r="BD79" s="324" t="s">
        <v>404</v>
      </c>
      <c r="BE79" s="181"/>
      <c r="BF79" s="329"/>
      <c r="BG79" s="181"/>
      <c r="BH79" s="181"/>
      <c r="BI79" s="183"/>
      <c r="BJ79" s="323" t="s">
        <v>1171</v>
      </c>
      <c r="BK79" s="327" t="s">
        <v>408</v>
      </c>
      <c r="BL79" s="192" t="s">
        <v>402</v>
      </c>
      <c r="BM79" s="193"/>
      <c r="BN79" s="194"/>
      <c r="BO79" s="194"/>
      <c r="BP79" s="194"/>
      <c r="BQ79" s="194"/>
      <c r="BR79" s="194"/>
      <c r="BS79" s="194"/>
      <c r="BT79" s="194"/>
      <c r="BU79" s="204"/>
      <c r="BV79" s="205"/>
      <c r="BW79" s="206"/>
      <c r="BX79" s="206"/>
      <c r="BY79" s="206"/>
      <c r="BZ79" s="206"/>
      <c r="CA79" s="206"/>
      <c r="CB79" s="213"/>
      <c r="CC79" s="214"/>
      <c r="CD79" s="206"/>
      <c r="CE79" s="213"/>
      <c r="CF79" s="215"/>
      <c r="CG79" s="216"/>
      <c r="CH79" s="216"/>
      <c r="CI79" s="216"/>
      <c r="CJ79" s="216"/>
      <c r="CK79" s="216"/>
      <c r="CL79" s="216"/>
      <c r="CM79" s="216"/>
      <c r="CN79" s="225"/>
      <c r="CO79" s="226"/>
      <c r="CP79" s="227"/>
      <c r="CQ79" s="227"/>
      <c r="CR79" s="227"/>
      <c r="CS79" s="227"/>
      <c r="CT79" s="227"/>
      <c r="CU79" s="234"/>
      <c r="CV79" s="226"/>
      <c r="CW79" s="227"/>
      <c r="CX79" s="234"/>
    </row>
    <row r="80" spans="1:102" ht="151.5" hidden="1" customHeight="1">
      <c r="A80" s="271">
        <v>55</v>
      </c>
      <c r="B80" s="272" t="str">
        <f>IFERROR(VLOOKUP($A80,Riesgos!$A$7:$H$84,2,FALSE),"")</f>
        <v/>
      </c>
      <c r="C80" s="272" t="str">
        <f>IFERROR(VLOOKUP($A80,Riesgos!$A$7:$H$84,7,FALSE),"")</f>
        <v/>
      </c>
      <c r="D80" s="272" t="str">
        <f>IFERROR(VLOOKUP($A80,Riesgos!$A$7:$H$84,8,FALSE),"")</f>
        <v/>
      </c>
      <c r="E80" s="273" t="s">
        <v>453</v>
      </c>
      <c r="F80" s="273">
        <v>2</v>
      </c>
      <c r="G80" s="335" t="str">
        <f>IF(F80&lt;=0,"",IF(F80&lt;='Listas y tablas'!$B$3,"Muy Baja",IF(F80&lt;='Listas y tablas'!$B$4,"Baja",IF(F80&lt;='Listas y tablas'!$B$5,"Media",IF(F80&lt;='Listas y tablas'!$B$6,"Alta","Muy Alta")))))</f>
        <v>Muy Baja</v>
      </c>
      <c r="H80" s="336">
        <f>IF(G80="","",IF(G80="Muy Baja",'Listas y tablas'!$C$3,IF(G80="Baja",'Listas y tablas'!$C$4,IF(G80="Media",'Listas y tablas'!$C$5,IF(G80="Alta",'Listas y tablas'!$C$6,IF(G80="Muy Alta",'Listas y tablas'!$C$7,))))))</f>
        <v>0.2</v>
      </c>
      <c r="I80" s="338" t="s">
        <v>423</v>
      </c>
      <c r="J80" s="336" t="str">
        <f>IF(NOT(ISERROR(MATCH(I80,'Tabla Impacto'!$B$221:$B$223,0))),'Tabla Impacto'!$F$223&amp;"Por favor no seleccionar los criterios de impacto(Afectación Económica o presupuestal y Pérdida Reputacional)",I80)</f>
        <v xml:space="preserve">     El riesgo afecta la imagen de la entidad con algunos usuarios de relevancia frente al logro de los objetivos</v>
      </c>
      <c r="K80" s="335" t="str">
        <f>IF(OR(J80='Tabla Impacto'!$C$11,J80='Tabla Impacto'!$D$11),"Leve",IF(OR(J80='Tabla Impacto'!$C$12,J80='Tabla Impacto'!$D$12),"Menor",IF(OR(J80='Tabla Impacto'!$C$13,J80='Tabla Impacto'!$D$13),"Moderado",IF(OR(J80='Tabla Impacto'!$C$14,J80='Tabla Impacto'!$D$14),"Mayor",IF(OR(J80='Tabla Impacto'!$C$15,J80='Tabla Impacto'!$D$15),"Catastrófico","")))))</f>
        <v>Moderado</v>
      </c>
      <c r="L80" s="336">
        <f>IF(K80="","",IF(K80="Leve",'Listas y tablas'!$F$3,IF(K80="Menor",'Listas y tablas'!$F$4,IF(K80="Moderado",'Listas y tablas'!$F$5,IF(K80="Mayor",'Listas y tablas'!$F$6,IF(K80="Catastrófico",'Listas y tablas'!$F$7,))))))</f>
        <v>0.6</v>
      </c>
      <c r="M80" s="335" t="str">
        <f t="shared" si="25"/>
        <v>Moderado</v>
      </c>
      <c r="N80" s="335" t="str">
        <f t="shared" si="26"/>
        <v>G</v>
      </c>
      <c r="O80" s="337" t="e">
        <f t="shared" si="27"/>
        <v>#REF!</v>
      </c>
      <c r="P80" s="337" t="e">
        <f t="shared" si="28"/>
        <v>#REF!</v>
      </c>
      <c r="Q80" s="286" t="s">
        <v>1172</v>
      </c>
      <c r="R80" s="337" t="str">
        <f t="shared" si="23"/>
        <v>Probabilidad</v>
      </c>
      <c r="S80" s="299" t="s">
        <v>381</v>
      </c>
      <c r="T80" s="299" t="s">
        <v>382</v>
      </c>
      <c r="U80" s="339" t="str">
        <f t="shared" si="24"/>
        <v>40%</v>
      </c>
      <c r="V80" s="299" t="s">
        <v>491</v>
      </c>
      <c r="W80" s="299" t="s">
        <v>384</v>
      </c>
      <c r="X80" s="299" t="s">
        <v>385</v>
      </c>
      <c r="Y80" s="346">
        <f t="shared" si="29"/>
        <v>0.12</v>
      </c>
      <c r="Z80" s="154" t="str">
        <f>IFERROR(IF(Y80="","",IF(Y80&lt;='Listas y tablas'!$L$3,"Muy Baja",IF(Y80&lt;='Listas y tablas'!$L$4,"Baja",IF(Y80&lt;='Listas y tablas'!$L$5,"Media",IF(Y80&lt;='Listas y tablas'!$L$6,"Alta","Muy Alta"))))),"")</f>
        <v>Muy Baja</v>
      </c>
      <c r="AA80" s="339">
        <f t="shared" si="30"/>
        <v>0.12</v>
      </c>
      <c r="AB80" s="154" t="str">
        <f>IFERROR(IF(AC80="","",IF(AC80&lt;='Listas y tablas'!$O$3,"Leve",IF(AC80&lt;='Listas y tablas'!$O$4,"Menor",IF(AC80&lt;='Listas y tablas'!$O$5,"Moderado",IF(AC80&lt;='Listas y tablas'!$O$6,"Mayor","Catastrófico"))))),"")</f>
        <v>Catastrófico</v>
      </c>
      <c r="AC80" s="339">
        <f t="shared" si="31"/>
        <v>2</v>
      </c>
      <c r="AD80" s="154" t="str">
        <f t="shared" si="32"/>
        <v>Extremo</v>
      </c>
      <c r="AE80" s="299" t="s">
        <v>386</v>
      </c>
      <c r="AF80" s="300" t="s">
        <v>1173</v>
      </c>
      <c r="AG80" s="364"/>
      <c r="AH80" s="364"/>
      <c r="AI80" s="273"/>
      <c r="AJ80" s="273"/>
      <c r="AK80" s="273"/>
      <c r="AL80" s="304"/>
      <c r="AM80" s="304"/>
      <c r="AN80" s="273"/>
      <c r="AO80" s="273"/>
      <c r="AP80" s="273"/>
      <c r="AQ80" s="273"/>
      <c r="AR80" s="273"/>
      <c r="AS80" s="273"/>
      <c r="AT80" s="319" t="s">
        <v>1174</v>
      </c>
      <c r="AU80" s="320" t="s">
        <v>401</v>
      </c>
      <c r="AV80" s="321">
        <v>0</v>
      </c>
      <c r="AW80" s="321">
        <v>0</v>
      </c>
      <c r="AX80" s="326" t="s">
        <v>401</v>
      </c>
      <c r="AY80" s="326" t="s">
        <v>401</v>
      </c>
      <c r="AZ80" s="163" t="s">
        <v>402</v>
      </c>
      <c r="BA80" s="163" t="s">
        <v>402</v>
      </c>
      <c r="BB80" s="171" t="s">
        <v>401</v>
      </c>
      <c r="BC80" s="323" t="s">
        <v>1175</v>
      </c>
      <c r="BD80" s="324" t="s">
        <v>414</v>
      </c>
      <c r="BE80" s="181"/>
      <c r="BF80" s="329"/>
      <c r="BG80" s="181"/>
      <c r="BH80" s="181"/>
      <c r="BI80" s="183"/>
      <c r="BJ80" s="323" t="s">
        <v>1176</v>
      </c>
      <c r="BK80" s="327" t="s">
        <v>408</v>
      </c>
      <c r="BL80" s="192" t="s">
        <v>402</v>
      </c>
      <c r="BM80" s="193"/>
      <c r="BN80" s="194"/>
      <c r="BO80" s="194"/>
      <c r="BP80" s="194"/>
      <c r="BQ80" s="194"/>
      <c r="BR80" s="194"/>
      <c r="BS80" s="194"/>
      <c r="BT80" s="194"/>
      <c r="BU80" s="204"/>
      <c r="BV80" s="205"/>
      <c r="BW80" s="206"/>
      <c r="BX80" s="206"/>
      <c r="BY80" s="206"/>
      <c r="BZ80" s="206"/>
      <c r="CA80" s="206"/>
      <c r="CB80" s="213"/>
      <c r="CC80" s="214"/>
      <c r="CD80" s="206"/>
      <c r="CE80" s="213"/>
      <c r="CF80" s="215"/>
      <c r="CG80" s="216"/>
      <c r="CH80" s="216"/>
      <c r="CI80" s="216"/>
      <c r="CJ80" s="216"/>
      <c r="CK80" s="216"/>
      <c r="CL80" s="216"/>
      <c r="CM80" s="216"/>
      <c r="CN80" s="225"/>
      <c r="CO80" s="226"/>
      <c r="CP80" s="227"/>
      <c r="CQ80" s="227"/>
      <c r="CR80" s="227"/>
      <c r="CS80" s="227"/>
      <c r="CT80" s="227"/>
      <c r="CU80" s="234"/>
      <c r="CV80" s="226"/>
      <c r="CW80" s="227"/>
      <c r="CX80" s="234"/>
    </row>
    <row r="81" spans="1:102" ht="93.75" hidden="1" customHeight="1">
      <c r="A81" s="581">
        <v>61</v>
      </c>
      <c r="B81" s="584" t="str">
        <f>IFERROR(VLOOKUP($A81,Riesgos!$A$7:$H$84,2,FALSE),"")</f>
        <v/>
      </c>
      <c r="C81" s="587" t="str">
        <f>IFERROR(VLOOKUP($A81,Riesgos!$A$7:$H$84,7,FALSE),"")</f>
        <v/>
      </c>
      <c r="D81" s="587" t="str">
        <f>IFERROR(VLOOKUP($A81,Riesgos!$A$7:$H$84,8,FALSE),"")</f>
        <v/>
      </c>
      <c r="E81" s="589" t="s">
        <v>574</v>
      </c>
      <c r="F81" s="589">
        <v>42</v>
      </c>
      <c r="G81" s="594" t="str">
        <f>IF(F81&lt;=0,"",IF(F81&lt;='Listas y tablas'!$B$3,"Muy Baja",IF(F81&lt;='Listas y tablas'!$B$4,"Baja",IF(F81&lt;='Listas y tablas'!$B$5,"Media",IF(F81&lt;='Listas y tablas'!$B$6,"Alta","Muy Alta")))))</f>
        <v>Media</v>
      </c>
      <c r="H81" s="597">
        <f>IF(G81="","",IF(G81="Muy Baja",'Listas y tablas'!$C$3,IF(G81="Baja",'Listas y tablas'!$C$4,IF(G81="Media",'Listas y tablas'!$C$5,IF(G81="Alta",'Listas y tablas'!$C$6,IF(G81="Muy Alta",'Listas y tablas'!$C$7,))))))</f>
        <v>0.6</v>
      </c>
      <c r="I81" s="600" t="s">
        <v>379</v>
      </c>
      <c r="J81" s="597" t="str">
        <f>IF(NOT(ISERROR(MATCH(I81,'Tabla Impacto'!$B$221:$B$223,0))),'Tabla Impacto'!$F$223&amp;"Por favor no seleccionar los criterios de impacto(Afectación Económica o presupuestal y Pérdida Reputacional)",I81)</f>
        <v xml:space="preserve">     Afectación menor a 10 SMLMV .</v>
      </c>
      <c r="K81" s="594" t="str">
        <f>IF(OR(J81='Tabla Impacto'!$C$11,J81='Tabla Impacto'!$D$11),"Leve",IF(OR(J81='Tabla Impacto'!$C$12,J81='Tabla Impacto'!$D$12),"Menor",IF(OR(J81='Tabla Impacto'!$C$13,J81='Tabla Impacto'!$D$13),"Moderado",IF(OR(J81='Tabla Impacto'!$C$14,J81='Tabla Impacto'!$D$14),"Mayor",IF(OR(J81='Tabla Impacto'!$C$15,J81='Tabla Impacto'!$D$15),"Catastrófico","")))))</f>
        <v>Leve</v>
      </c>
      <c r="L81" s="597">
        <f>IF(K81="","",IF(K81="Leve",'Listas y tablas'!$F$3,IF(K81="Menor",'Listas y tablas'!$F$4,IF(K81="Moderado",'Listas y tablas'!$F$5,IF(K81="Mayor",'Listas y tablas'!$F$6,IF(K81="Catastrófico",'Listas y tablas'!$F$7,))))))</f>
        <v>0.2</v>
      </c>
      <c r="M81" s="594" t="str">
        <f t="shared" si="25"/>
        <v>Moderado</v>
      </c>
      <c r="N81" s="335" t="str">
        <f t="shared" si="26"/>
        <v>G</v>
      </c>
      <c r="O81" s="337" t="e">
        <f t="shared" si="27"/>
        <v>#REF!</v>
      </c>
      <c r="P81" s="337" t="e">
        <f t="shared" si="28"/>
        <v>#REF!</v>
      </c>
      <c r="Q81" s="286" t="s">
        <v>1177</v>
      </c>
      <c r="R81" s="337" t="str">
        <f t="shared" si="23"/>
        <v>Probabilidad</v>
      </c>
      <c r="S81" s="299" t="s">
        <v>381</v>
      </c>
      <c r="T81" s="299" t="s">
        <v>382</v>
      </c>
      <c r="U81" s="339" t="str">
        <f t="shared" si="24"/>
        <v>40%</v>
      </c>
      <c r="V81" s="299" t="s">
        <v>383</v>
      </c>
      <c r="W81" s="299" t="s">
        <v>384</v>
      </c>
      <c r="X81" s="299" t="s">
        <v>385</v>
      </c>
      <c r="Y81" s="612">
        <f t="shared" si="29"/>
        <v>0.36</v>
      </c>
      <c r="Z81" s="617" t="str">
        <f>IFERROR(IF(Y81="","",IF(Y81&lt;='Listas y tablas'!$L$3,"Muy Baja",IF(Y81&lt;='Listas y tablas'!$L$4,"Baja",IF(Y81&lt;='Listas y tablas'!$L$5,"Media",IF(Y81&lt;='Listas y tablas'!$L$6,"Alta","Muy Alta"))))),"")</f>
        <v>Baja</v>
      </c>
      <c r="AA81" s="597">
        <f t="shared" si="30"/>
        <v>0.36</v>
      </c>
      <c r="AB81" s="617" t="str">
        <f>IFERROR(IF(AC81="","",IF(AC81&lt;='Listas y tablas'!$O$3,"Leve",IF(AC81&lt;='Listas y tablas'!$O$4,"Menor",IF(AC81&lt;='Listas y tablas'!$O$5,"Moderado",IF(AC81&lt;='Listas y tablas'!$O$6,"Mayor","Catastrófico"))))),"")</f>
        <v>Catastrófico</v>
      </c>
      <c r="AC81" s="597">
        <f t="shared" si="31"/>
        <v>42</v>
      </c>
      <c r="AD81" s="617" t="str">
        <f t="shared" si="32"/>
        <v>Extremo</v>
      </c>
      <c r="AE81" s="609" t="s">
        <v>386</v>
      </c>
      <c r="AF81" s="300" t="s">
        <v>1178</v>
      </c>
      <c r="AG81" s="300" t="s">
        <v>439</v>
      </c>
      <c r="AH81" s="300" t="s">
        <v>1179</v>
      </c>
      <c r="AI81" s="273" t="s">
        <v>1180</v>
      </c>
      <c r="AJ81" s="273" t="s">
        <v>1181</v>
      </c>
      <c r="AK81" s="273" t="s">
        <v>1182</v>
      </c>
      <c r="AL81" s="304">
        <v>44927</v>
      </c>
      <c r="AM81" s="304">
        <v>45169</v>
      </c>
      <c r="AN81" s="273"/>
      <c r="AO81" s="273"/>
      <c r="AP81" s="273"/>
      <c r="AQ81" s="273"/>
      <c r="AR81" s="273"/>
      <c r="AS81" s="273"/>
      <c r="AT81" s="312" t="s">
        <v>1183</v>
      </c>
      <c r="AU81" s="411" t="s">
        <v>1184</v>
      </c>
      <c r="AV81" s="163">
        <v>0</v>
      </c>
      <c r="AW81" s="163">
        <v>0</v>
      </c>
      <c r="AX81" s="313" t="s">
        <v>1185</v>
      </c>
      <c r="AY81" s="313" t="s">
        <v>1186</v>
      </c>
      <c r="AZ81" s="163" t="s">
        <v>402</v>
      </c>
      <c r="BA81" s="163" t="s">
        <v>402</v>
      </c>
      <c r="BB81" s="171" t="s">
        <v>401</v>
      </c>
      <c r="BC81" s="323" t="s">
        <v>1187</v>
      </c>
      <c r="BD81" s="324" t="s">
        <v>404</v>
      </c>
      <c r="BE81" s="324" t="s">
        <v>1188</v>
      </c>
      <c r="BF81" s="329" t="s">
        <v>434</v>
      </c>
      <c r="BG81" s="181"/>
      <c r="BH81" s="181"/>
      <c r="BI81" s="183"/>
      <c r="BJ81" s="323" t="s">
        <v>1189</v>
      </c>
      <c r="BK81" s="327" t="s">
        <v>408</v>
      </c>
      <c r="BL81" s="641" t="s">
        <v>402</v>
      </c>
      <c r="BM81" s="193"/>
      <c r="BN81" s="194"/>
      <c r="BO81" s="194"/>
      <c r="BP81" s="194"/>
      <c r="BQ81" s="194"/>
      <c r="BR81" s="194"/>
      <c r="BS81" s="194"/>
      <c r="BT81" s="194"/>
      <c r="BU81" s="204"/>
      <c r="BV81" s="205"/>
      <c r="BW81" s="206"/>
      <c r="BX81" s="206"/>
      <c r="BY81" s="206"/>
      <c r="BZ81" s="206"/>
      <c r="CA81" s="206"/>
      <c r="CB81" s="213"/>
      <c r="CC81" s="214"/>
      <c r="CD81" s="206"/>
      <c r="CE81" s="213"/>
      <c r="CF81" s="215"/>
      <c r="CG81" s="216"/>
      <c r="CH81" s="216"/>
      <c r="CI81" s="216"/>
      <c r="CJ81" s="216"/>
      <c r="CK81" s="216"/>
      <c r="CL81" s="216"/>
      <c r="CM81" s="216"/>
      <c r="CN81" s="225"/>
      <c r="CO81" s="226"/>
      <c r="CP81" s="227"/>
      <c r="CQ81" s="227"/>
      <c r="CR81" s="227"/>
      <c r="CS81" s="227"/>
      <c r="CT81" s="227"/>
      <c r="CU81" s="234"/>
      <c r="CV81" s="226"/>
      <c r="CW81" s="227"/>
      <c r="CX81" s="234"/>
    </row>
    <row r="82" spans="1:102" ht="61.5" hidden="1" customHeight="1">
      <c r="A82" s="582"/>
      <c r="B82" s="585"/>
      <c r="C82" s="588"/>
      <c r="D82" s="588"/>
      <c r="E82" s="590"/>
      <c r="F82" s="590"/>
      <c r="G82" s="595"/>
      <c r="H82" s="598"/>
      <c r="I82" s="601"/>
      <c r="J82" s="598"/>
      <c r="K82" s="595"/>
      <c r="L82" s="598"/>
      <c r="M82" s="595"/>
      <c r="N82" s="335" t="str">
        <f>+IF(ISTEXT(D81),"G","")</f>
        <v>G</v>
      </c>
      <c r="O82" s="337" t="e">
        <f>IF(ISTEXT(D81),1+O81,"")</f>
        <v>#REF!</v>
      </c>
      <c r="P82" s="337" t="e">
        <f>IF(ISTEXT(D81),CONCATENATE(N82,O82),"")</f>
        <v>#REF!</v>
      </c>
      <c r="Q82" s="286" t="s">
        <v>1190</v>
      </c>
      <c r="R82" s="337" t="str">
        <f t="shared" si="23"/>
        <v>Probabilidad</v>
      </c>
      <c r="S82" s="299" t="s">
        <v>381</v>
      </c>
      <c r="T82" s="299" t="s">
        <v>382</v>
      </c>
      <c r="U82" s="339" t="str">
        <f t="shared" si="24"/>
        <v>40%</v>
      </c>
      <c r="V82" s="299" t="s">
        <v>383</v>
      </c>
      <c r="W82" s="299" t="s">
        <v>384</v>
      </c>
      <c r="X82" s="299" t="s">
        <v>385</v>
      </c>
      <c r="Y82" s="613"/>
      <c r="Z82" s="618"/>
      <c r="AA82" s="598"/>
      <c r="AB82" s="618"/>
      <c r="AC82" s="598"/>
      <c r="AD82" s="618"/>
      <c r="AE82" s="611"/>
      <c r="AF82" s="300" t="s">
        <v>1191</v>
      </c>
      <c r="AG82" s="300" t="s">
        <v>1192</v>
      </c>
      <c r="AH82" s="300" t="s">
        <v>1193</v>
      </c>
      <c r="AI82" s="273" t="s">
        <v>1194</v>
      </c>
      <c r="AJ82" s="273" t="s">
        <v>1195</v>
      </c>
      <c r="AK82" s="273" t="s">
        <v>1182</v>
      </c>
      <c r="AL82" s="304">
        <v>45047</v>
      </c>
      <c r="AM82" s="304">
        <v>45291</v>
      </c>
      <c r="AN82" s="273"/>
      <c r="AO82" s="273"/>
      <c r="AP82" s="273"/>
      <c r="AQ82" s="273"/>
      <c r="AR82" s="273"/>
      <c r="AS82" s="273"/>
      <c r="AT82" s="312" t="s">
        <v>1196</v>
      </c>
      <c r="AU82" s="313" t="s">
        <v>1197</v>
      </c>
      <c r="AV82" s="163">
        <v>0</v>
      </c>
      <c r="AW82" s="163">
        <v>0</v>
      </c>
      <c r="AX82" s="313" t="s">
        <v>1198</v>
      </c>
      <c r="AY82" s="325" t="s">
        <v>1199</v>
      </c>
      <c r="AZ82" s="163" t="s">
        <v>402</v>
      </c>
      <c r="BA82" s="163" t="s">
        <v>402</v>
      </c>
      <c r="BB82" s="171" t="s">
        <v>401</v>
      </c>
      <c r="BC82" s="323" t="s">
        <v>1187</v>
      </c>
      <c r="BD82" s="324" t="s">
        <v>404</v>
      </c>
      <c r="BE82" s="324" t="s">
        <v>1188</v>
      </c>
      <c r="BF82" s="329" t="s">
        <v>434</v>
      </c>
      <c r="BG82" s="181"/>
      <c r="BH82" s="181"/>
      <c r="BI82" s="183"/>
      <c r="BJ82" s="323" t="s">
        <v>1189</v>
      </c>
      <c r="BK82" s="327" t="s">
        <v>408</v>
      </c>
      <c r="BL82" s="642"/>
      <c r="BM82" s="193"/>
      <c r="BN82" s="194"/>
      <c r="BO82" s="194"/>
      <c r="BP82" s="194"/>
      <c r="BQ82" s="194"/>
      <c r="BR82" s="194"/>
      <c r="BS82" s="194"/>
      <c r="BT82" s="194"/>
      <c r="BU82" s="204"/>
      <c r="BV82" s="205"/>
      <c r="BW82" s="206"/>
      <c r="BX82" s="206"/>
      <c r="BY82" s="206"/>
      <c r="BZ82" s="206"/>
      <c r="CA82" s="206"/>
      <c r="CB82" s="213"/>
      <c r="CC82" s="214"/>
      <c r="CD82" s="206"/>
      <c r="CE82" s="213"/>
      <c r="CF82" s="215"/>
      <c r="CG82" s="216"/>
      <c r="CH82" s="216"/>
      <c r="CI82" s="216"/>
      <c r="CJ82" s="216"/>
      <c r="CK82" s="216"/>
      <c r="CL82" s="216"/>
      <c r="CM82" s="216"/>
      <c r="CN82" s="225"/>
      <c r="CO82" s="226"/>
      <c r="CP82" s="227"/>
      <c r="CQ82" s="227"/>
      <c r="CR82" s="227"/>
      <c r="CS82" s="227"/>
      <c r="CT82" s="227"/>
      <c r="CU82" s="234"/>
      <c r="CV82" s="226"/>
      <c r="CW82" s="227"/>
      <c r="CX82" s="234"/>
    </row>
    <row r="83" spans="1:102" ht="84.75" hidden="1" customHeight="1">
      <c r="A83" s="581">
        <v>63</v>
      </c>
      <c r="B83" s="584" t="str">
        <f>IFERROR(VLOOKUP($A83,Riesgos!$A$7:$H$84,2,FALSE),"")</f>
        <v/>
      </c>
      <c r="C83" s="584" t="str">
        <f>IFERROR(VLOOKUP($A83,Riesgos!$A$7:$H$84,7,FALSE),"")</f>
        <v/>
      </c>
      <c r="D83" s="584" t="str">
        <f>IFERROR(VLOOKUP($A83,Riesgos!$A$7:$H$84,8,FALSE),"")</f>
        <v/>
      </c>
      <c r="E83" s="589" t="s">
        <v>453</v>
      </c>
      <c r="F83" s="589">
        <v>42</v>
      </c>
      <c r="G83" s="594" t="str">
        <f>IF(F83&lt;=0,"",IF(F83&lt;='Listas y tablas'!$B$3,"Muy Baja",IF(F83&lt;='Listas y tablas'!$B$4,"Baja",IF(F83&lt;='Listas y tablas'!$B$5,"Media",IF(F83&lt;='Listas y tablas'!$B$6,"Alta","Muy Alta")))))</f>
        <v>Media</v>
      </c>
      <c r="H83" s="597">
        <f>IF(G83="","",IF(G83="Muy Baja",'Listas y tablas'!$C$3,IF(G83="Baja",'Listas y tablas'!$C$4,IF(G83="Media",'Listas y tablas'!$C$5,IF(G83="Alta",'Listas y tablas'!$C$6,IF(G83="Muy Alta",'Listas y tablas'!$C$7,))))))</f>
        <v>0.6</v>
      </c>
      <c r="I83" s="600" t="s">
        <v>423</v>
      </c>
      <c r="J83" s="597" t="str">
        <f>IF(NOT(ISERROR(MATCH(I83,'Tabla Impacto'!$B$221:$B$223,0))),'Tabla Impacto'!$F$223&amp;"Por favor no seleccionar los criterios de impacto(Afectación Económica o presupuestal y Pérdida Reputacional)",I83)</f>
        <v xml:space="preserve">     El riesgo afecta la imagen de la entidad con algunos usuarios de relevancia frente al logro de los objetivos</v>
      </c>
      <c r="K83" s="594" t="str">
        <f>IF(OR(J83='Tabla Impacto'!$C$11,J83='Tabla Impacto'!$D$11),"Leve",IF(OR(J83='Tabla Impacto'!$C$12,J83='Tabla Impacto'!$D$12),"Menor",IF(OR(J83='Tabla Impacto'!$C$13,J83='Tabla Impacto'!$D$13),"Moderado",IF(OR(J83='Tabla Impacto'!$C$14,J83='Tabla Impacto'!$D$14),"Mayor",IF(OR(J83='Tabla Impacto'!$C$15,J83='Tabla Impacto'!$D$15),"Catastrófico","")))))</f>
        <v>Moderado</v>
      </c>
      <c r="L83" s="597">
        <f>IF(K83="","",IF(K83="Leve",'Listas y tablas'!$F$3,IF(K83="Menor",'Listas y tablas'!$F$4,IF(K83="Moderado",'Listas y tablas'!$F$5,IF(K83="Mayor",'Listas y tablas'!$F$6,IF(K83="Catastrófico",'Listas y tablas'!$F$7,))))))</f>
        <v>0.6</v>
      </c>
      <c r="M83" s="594" t="str">
        <f t="shared" si="25"/>
        <v>Moderado</v>
      </c>
      <c r="N83" s="335" t="str">
        <f t="shared" si="26"/>
        <v>G</v>
      </c>
      <c r="O83" s="337" t="e">
        <f t="shared" si="27"/>
        <v>#REF!</v>
      </c>
      <c r="P83" s="337" t="e">
        <f t="shared" si="28"/>
        <v>#REF!</v>
      </c>
      <c r="Q83" s="286" t="s">
        <v>1200</v>
      </c>
      <c r="R83" s="337" t="str">
        <f t="shared" si="23"/>
        <v>Probabilidad</v>
      </c>
      <c r="S83" s="299" t="s">
        <v>381</v>
      </c>
      <c r="T83" s="299" t="s">
        <v>382</v>
      </c>
      <c r="U83" s="339" t="str">
        <f t="shared" si="24"/>
        <v>40%</v>
      </c>
      <c r="V83" s="299" t="s">
        <v>383</v>
      </c>
      <c r="W83" s="299" t="s">
        <v>384</v>
      </c>
      <c r="X83" s="299" t="s">
        <v>385</v>
      </c>
      <c r="Y83" s="612">
        <f t="shared" si="29"/>
        <v>0.36</v>
      </c>
      <c r="Z83" s="617" t="str">
        <f>IFERROR(IF(Y83="","",IF(Y83&lt;='Listas y tablas'!$L$3,"Muy Baja",IF(Y83&lt;='Listas y tablas'!$L$4,"Baja",IF(Y83&lt;='Listas y tablas'!$L$5,"Media",IF(Y83&lt;='Listas y tablas'!$L$6,"Alta","Muy Alta"))))),"")</f>
        <v>Baja</v>
      </c>
      <c r="AA83" s="597">
        <f t="shared" si="30"/>
        <v>0.36</v>
      </c>
      <c r="AB83" s="617" t="str">
        <f>IFERROR(IF(AC83="","",IF(AC83&lt;='Listas y tablas'!$O$3,"Leve",IF(AC83&lt;='Listas y tablas'!$O$4,"Menor",IF(AC83&lt;='Listas y tablas'!$O$5,"Moderado",IF(AC83&lt;='Listas y tablas'!$O$6,"Mayor","Catastrófico"))))),"")</f>
        <v>Catastrófico</v>
      </c>
      <c r="AC83" s="597">
        <f t="shared" si="31"/>
        <v>42</v>
      </c>
      <c r="AD83" s="617" t="str">
        <f t="shared" si="32"/>
        <v>Extremo</v>
      </c>
      <c r="AE83" s="609" t="s">
        <v>386</v>
      </c>
      <c r="AF83" s="300" t="s">
        <v>1201</v>
      </c>
      <c r="AG83" s="300" t="s">
        <v>1202</v>
      </c>
      <c r="AH83" s="300" t="s">
        <v>1179</v>
      </c>
      <c r="AI83" s="273" t="s">
        <v>1203</v>
      </c>
      <c r="AJ83" s="273" t="s">
        <v>1204</v>
      </c>
      <c r="AK83" s="273" t="s">
        <v>1205</v>
      </c>
      <c r="AL83" s="304">
        <v>44958</v>
      </c>
      <c r="AM83" s="304">
        <v>45291</v>
      </c>
      <c r="AN83" s="273"/>
      <c r="AO83" s="273"/>
      <c r="AP83" s="273"/>
      <c r="AQ83" s="273"/>
      <c r="AR83" s="273"/>
      <c r="AS83" s="273"/>
      <c r="AT83" s="312" t="s">
        <v>1206</v>
      </c>
      <c r="AU83" s="313"/>
      <c r="AV83" s="163">
        <v>1</v>
      </c>
      <c r="AW83" s="163">
        <v>1</v>
      </c>
      <c r="AX83" s="313" t="s">
        <v>1207</v>
      </c>
      <c r="AY83" s="325" t="s">
        <v>1208</v>
      </c>
      <c r="AZ83" s="163" t="s">
        <v>402</v>
      </c>
      <c r="BA83" s="163" t="s">
        <v>402</v>
      </c>
      <c r="BB83" s="171" t="s">
        <v>401</v>
      </c>
      <c r="BC83" s="323" t="s">
        <v>1209</v>
      </c>
      <c r="BD83" s="324" t="s">
        <v>414</v>
      </c>
      <c r="BE83" s="324" t="s">
        <v>1210</v>
      </c>
      <c r="BF83" s="329" t="s">
        <v>434</v>
      </c>
      <c r="BG83" s="181"/>
      <c r="BH83" s="181"/>
      <c r="BI83" s="183"/>
      <c r="BJ83" s="323" t="s">
        <v>1189</v>
      </c>
      <c r="BK83" s="327" t="s">
        <v>408</v>
      </c>
      <c r="BL83" s="641" t="s">
        <v>402</v>
      </c>
      <c r="BM83" s="193"/>
      <c r="BN83" s="194"/>
      <c r="BO83" s="194"/>
      <c r="BP83" s="194"/>
      <c r="BQ83" s="194"/>
      <c r="BR83" s="194"/>
      <c r="BS83" s="194"/>
      <c r="BT83" s="194"/>
      <c r="BU83" s="204"/>
      <c r="BV83" s="205"/>
      <c r="BW83" s="206"/>
      <c r="BX83" s="206"/>
      <c r="BY83" s="206"/>
      <c r="BZ83" s="206"/>
      <c r="CA83" s="206"/>
      <c r="CB83" s="213"/>
      <c r="CC83" s="214"/>
      <c r="CD83" s="206"/>
      <c r="CE83" s="213"/>
      <c r="CF83" s="215"/>
      <c r="CG83" s="216"/>
      <c r="CH83" s="216"/>
      <c r="CI83" s="216"/>
      <c r="CJ83" s="216"/>
      <c r="CK83" s="216"/>
      <c r="CL83" s="216"/>
      <c r="CM83" s="216"/>
      <c r="CN83" s="225"/>
      <c r="CO83" s="226"/>
      <c r="CP83" s="227"/>
      <c r="CQ83" s="227"/>
      <c r="CR83" s="227"/>
      <c r="CS83" s="227"/>
      <c r="CT83" s="227"/>
      <c r="CU83" s="234"/>
      <c r="CV83" s="226"/>
      <c r="CW83" s="227"/>
      <c r="CX83" s="234"/>
    </row>
    <row r="84" spans="1:102" ht="63.75" hidden="1" customHeight="1">
      <c r="A84" s="583"/>
      <c r="B84" s="586"/>
      <c r="C84" s="586"/>
      <c r="D84" s="586"/>
      <c r="E84" s="591"/>
      <c r="F84" s="591"/>
      <c r="G84" s="596"/>
      <c r="H84" s="599"/>
      <c r="I84" s="602"/>
      <c r="J84" s="599"/>
      <c r="K84" s="596"/>
      <c r="L84" s="599"/>
      <c r="M84" s="596"/>
      <c r="N84" s="335" t="str">
        <f>+IF(ISTEXT(D83),"G","")</f>
        <v>G</v>
      </c>
      <c r="O84" s="337" t="e">
        <f>IF(ISTEXT(D83),1+O83,"")</f>
        <v>#REF!</v>
      </c>
      <c r="P84" s="337" t="e">
        <f>IF(ISTEXT(D83),CONCATENATE(N84,O84),"")</f>
        <v>#REF!</v>
      </c>
      <c r="Q84" s="286" t="s">
        <v>1211</v>
      </c>
      <c r="R84" s="337" t="str">
        <f t="shared" si="23"/>
        <v>Probabilidad</v>
      </c>
      <c r="S84" s="299" t="s">
        <v>381</v>
      </c>
      <c r="T84" s="299" t="s">
        <v>382</v>
      </c>
      <c r="U84" s="339" t="str">
        <f t="shared" si="24"/>
        <v>40%</v>
      </c>
      <c r="V84" s="299" t="s">
        <v>383</v>
      </c>
      <c r="W84" s="299" t="s">
        <v>384</v>
      </c>
      <c r="X84" s="299" t="s">
        <v>385</v>
      </c>
      <c r="Y84" s="614"/>
      <c r="Z84" s="619"/>
      <c r="AA84" s="599"/>
      <c r="AB84" s="619"/>
      <c r="AC84" s="599"/>
      <c r="AD84" s="619"/>
      <c r="AE84" s="610"/>
      <c r="AF84" s="300" t="s">
        <v>1212</v>
      </c>
      <c r="AG84" s="300" t="s">
        <v>1213</v>
      </c>
      <c r="AH84" s="300" t="s">
        <v>1214</v>
      </c>
      <c r="AI84" s="273" t="s">
        <v>1215</v>
      </c>
      <c r="AJ84" s="273" t="s">
        <v>1216</v>
      </c>
      <c r="AK84" s="273" t="s">
        <v>1205</v>
      </c>
      <c r="AL84" s="304">
        <v>44958</v>
      </c>
      <c r="AM84" s="304">
        <v>45046</v>
      </c>
      <c r="AN84" s="273"/>
      <c r="AO84" s="273"/>
      <c r="AP84" s="273"/>
      <c r="AQ84" s="273"/>
      <c r="AR84" s="273"/>
      <c r="AS84" s="273"/>
      <c r="AT84" s="312" t="s">
        <v>1217</v>
      </c>
      <c r="AU84" s="313" t="s">
        <v>1218</v>
      </c>
      <c r="AV84" s="163">
        <v>1</v>
      </c>
      <c r="AW84" s="163">
        <v>1</v>
      </c>
      <c r="AX84" s="313" t="s">
        <v>1219</v>
      </c>
      <c r="AY84" s="313" t="s">
        <v>1220</v>
      </c>
      <c r="AZ84" s="163" t="s">
        <v>402</v>
      </c>
      <c r="BA84" s="163" t="s">
        <v>402</v>
      </c>
      <c r="BB84" s="171" t="s">
        <v>401</v>
      </c>
      <c r="BC84" s="323" t="s">
        <v>1209</v>
      </c>
      <c r="BD84" s="324" t="s">
        <v>414</v>
      </c>
      <c r="BE84" s="324" t="s">
        <v>955</v>
      </c>
      <c r="BF84" s="329" t="s">
        <v>434</v>
      </c>
      <c r="BG84" s="181"/>
      <c r="BH84" s="181"/>
      <c r="BI84" s="183"/>
      <c r="BJ84" s="323" t="s">
        <v>1189</v>
      </c>
      <c r="BK84" s="327" t="s">
        <v>408</v>
      </c>
      <c r="BL84" s="643"/>
      <c r="BM84" s="193"/>
      <c r="BN84" s="194"/>
      <c r="BO84" s="194"/>
      <c r="BP84" s="194"/>
      <c r="BQ84" s="194"/>
      <c r="BR84" s="194"/>
      <c r="BS84" s="194"/>
      <c r="BT84" s="194"/>
      <c r="BU84" s="204"/>
      <c r="BV84" s="205"/>
      <c r="BW84" s="206"/>
      <c r="BX84" s="206"/>
      <c r="BY84" s="206"/>
      <c r="BZ84" s="206"/>
      <c r="CA84" s="206"/>
      <c r="CB84" s="213"/>
      <c r="CC84" s="214"/>
      <c r="CD84" s="206"/>
      <c r="CE84" s="213"/>
      <c r="CF84" s="215"/>
      <c r="CG84" s="216"/>
      <c r="CH84" s="216"/>
      <c r="CI84" s="216"/>
      <c r="CJ84" s="216"/>
      <c r="CK84" s="216"/>
      <c r="CL84" s="216"/>
      <c r="CM84" s="216"/>
      <c r="CN84" s="225"/>
      <c r="CO84" s="226"/>
      <c r="CP84" s="227"/>
      <c r="CQ84" s="227"/>
      <c r="CR84" s="227"/>
      <c r="CS84" s="227"/>
      <c r="CT84" s="227"/>
      <c r="CU84" s="234"/>
      <c r="CV84" s="226"/>
      <c r="CW84" s="227"/>
      <c r="CX84" s="234"/>
    </row>
    <row r="85" spans="1:102" ht="130.5" hidden="1" customHeight="1">
      <c r="A85" s="583"/>
      <c r="B85" s="586"/>
      <c r="C85" s="586"/>
      <c r="D85" s="586"/>
      <c r="E85" s="591"/>
      <c r="F85" s="591"/>
      <c r="G85" s="596"/>
      <c r="H85" s="599"/>
      <c r="I85" s="602"/>
      <c r="J85" s="599"/>
      <c r="K85" s="596"/>
      <c r="L85" s="599"/>
      <c r="M85" s="596"/>
      <c r="N85" s="335" t="str">
        <f>+IF(ISTEXT(D83),"G","")</f>
        <v>G</v>
      </c>
      <c r="O85" s="337" t="e">
        <f>IF(ISTEXT(D83),1+O84,"")</f>
        <v>#REF!</v>
      </c>
      <c r="P85" s="337" t="e">
        <f>IF(ISTEXT(D83),CONCATENATE(N85,O85),"")</f>
        <v>#REF!</v>
      </c>
      <c r="Q85" s="286" t="s">
        <v>1221</v>
      </c>
      <c r="R85" s="337" t="str">
        <f t="shared" si="23"/>
        <v>Probabilidad</v>
      </c>
      <c r="S85" s="299" t="s">
        <v>381</v>
      </c>
      <c r="T85" s="299" t="s">
        <v>382</v>
      </c>
      <c r="U85" s="339" t="str">
        <f t="shared" si="24"/>
        <v>40%</v>
      </c>
      <c r="V85" s="299" t="s">
        <v>383</v>
      </c>
      <c r="W85" s="299" t="s">
        <v>384</v>
      </c>
      <c r="X85" s="299" t="s">
        <v>385</v>
      </c>
      <c r="Y85" s="614"/>
      <c r="Z85" s="619"/>
      <c r="AA85" s="599"/>
      <c r="AB85" s="619"/>
      <c r="AC85" s="599"/>
      <c r="AD85" s="619"/>
      <c r="AE85" s="610"/>
      <c r="AF85" s="300" t="s">
        <v>1222</v>
      </c>
      <c r="AG85" s="300" t="s">
        <v>1192</v>
      </c>
      <c r="AH85" s="300" t="s">
        <v>1214</v>
      </c>
      <c r="AI85" s="273"/>
      <c r="AJ85" s="273"/>
      <c r="AK85" s="273"/>
      <c r="AL85" s="304"/>
      <c r="AM85" s="304"/>
      <c r="AN85" s="273"/>
      <c r="AO85" s="273"/>
      <c r="AP85" s="273"/>
      <c r="AQ85" s="273"/>
      <c r="AR85" s="273"/>
      <c r="AS85" s="273"/>
      <c r="AT85" s="312" t="s">
        <v>1223</v>
      </c>
      <c r="AU85" s="313" t="s">
        <v>1224</v>
      </c>
      <c r="AV85" s="163"/>
      <c r="AW85" s="163"/>
      <c r="AX85" s="163" t="s">
        <v>554</v>
      </c>
      <c r="AY85" s="163" t="s">
        <v>554</v>
      </c>
      <c r="AZ85" s="163" t="s">
        <v>402</v>
      </c>
      <c r="BA85" s="163" t="s">
        <v>402</v>
      </c>
      <c r="BB85" s="171" t="s">
        <v>401</v>
      </c>
      <c r="BC85" s="323" t="s">
        <v>1225</v>
      </c>
      <c r="BD85" s="324" t="s">
        <v>404</v>
      </c>
      <c r="BE85" s="181"/>
      <c r="BF85" s="329"/>
      <c r="BG85" s="181"/>
      <c r="BH85" s="181"/>
      <c r="BI85" s="183"/>
      <c r="BJ85" s="323" t="s">
        <v>1189</v>
      </c>
      <c r="BK85" s="327" t="s">
        <v>408</v>
      </c>
      <c r="BL85" s="643"/>
      <c r="BM85" s="193"/>
      <c r="BN85" s="194"/>
      <c r="BO85" s="194"/>
      <c r="BP85" s="194"/>
      <c r="BQ85" s="194"/>
      <c r="BR85" s="194"/>
      <c r="BS85" s="194"/>
      <c r="BT85" s="194"/>
      <c r="BU85" s="204"/>
      <c r="BV85" s="205"/>
      <c r="BW85" s="206"/>
      <c r="BX85" s="206"/>
      <c r="BY85" s="206"/>
      <c r="BZ85" s="206"/>
      <c r="CA85" s="206"/>
      <c r="CB85" s="213"/>
      <c r="CC85" s="214"/>
      <c r="CD85" s="206"/>
      <c r="CE85" s="213"/>
      <c r="CF85" s="215"/>
      <c r="CG85" s="216"/>
      <c r="CH85" s="216"/>
      <c r="CI85" s="216"/>
      <c r="CJ85" s="216"/>
      <c r="CK85" s="216"/>
      <c r="CL85" s="216"/>
      <c r="CM85" s="216"/>
      <c r="CN85" s="225"/>
      <c r="CO85" s="226"/>
      <c r="CP85" s="227"/>
      <c r="CQ85" s="227"/>
      <c r="CR85" s="227"/>
      <c r="CS85" s="227"/>
      <c r="CT85" s="227"/>
      <c r="CU85" s="234"/>
      <c r="CV85" s="226"/>
      <c r="CW85" s="227"/>
      <c r="CX85" s="234"/>
    </row>
    <row r="86" spans="1:102" ht="75" hidden="1" customHeight="1">
      <c r="A86" s="582"/>
      <c r="B86" s="585"/>
      <c r="C86" s="585"/>
      <c r="D86" s="585"/>
      <c r="E86" s="590"/>
      <c r="F86" s="590"/>
      <c r="G86" s="595"/>
      <c r="H86" s="598"/>
      <c r="I86" s="601"/>
      <c r="J86" s="598"/>
      <c r="K86" s="595"/>
      <c r="L86" s="598"/>
      <c r="M86" s="595"/>
      <c r="N86" s="335" t="str">
        <f>+IF(ISTEXT(D83),"G","")</f>
        <v>G</v>
      </c>
      <c r="O86" s="337" t="e">
        <f>IF(ISTEXT(D83),1+O85,"")</f>
        <v>#REF!</v>
      </c>
      <c r="P86" s="337" t="e">
        <f>IF(ISTEXT(D83),CONCATENATE(N86,O86),"")</f>
        <v>#REF!</v>
      </c>
      <c r="Q86" s="286" t="s">
        <v>1226</v>
      </c>
      <c r="R86" s="337" t="str">
        <f t="shared" si="23"/>
        <v>Probabilidad</v>
      </c>
      <c r="S86" s="299" t="s">
        <v>381</v>
      </c>
      <c r="T86" s="299" t="s">
        <v>382</v>
      </c>
      <c r="U86" s="339" t="str">
        <f t="shared" si="24"/>
        <v>40%</v>
      </c>
      <c r="V86" s="299" t="s">
        <v>383</v>
      </c>
      <c r="W86" s="299" t="s">
        <v>384</v>
      </c>
      <c r="X86" s="299" t="s">
        <v>385</v>
      </c>
      <c r="Y86" s="613"/>
      <c r="Z86" s="618"/>
      <c r="AA86" s="598"/>
      <c r="AB86" s="618"/>
      <c r="AC86" s="598"/>
      <c r="AD86" s="618"/>
      <c r="AE86" s="611"/>
      <c r="AF86" s="300" t="s">
        <v>1227</v>
      </c>
      <c r="AG86" s="300" t="s">
        <v>1192</v>
      </c>
      <c r="AH86" s="300" t="s">
        <v>1179</v>
      </c>
      <c r="AI86" s="273"/>
      <c r="AJ86" s="273"/>
      <c r="AK86" s="273"/>
      <c r="AL86" s="304"/>
      <c r="AM86" s="304"/>
      <c r="AN86" s="273"/>
      <c r="AO86" s="273"/>
      <c r="AP86" s="273"/>
      <c r="AQ86" s="273"/>
      <c r="AR86" s="273"/>
      <c r="AS86" s="273"/>
      <c r="AT86" s="312" t="s">
        <v>1228</v>
      </c>
      <c r="AU86" s="313" t="s">
        <v>1229</v>
      </c>
      <c r="AV86" s="163"/>
      <c r="AW86" s="163"/>
      <c r="AX86" s="163" t="s">
        <v>554</v>
      </c>
      <c r="AY86" s="163" t="s">
        <v>554</v>
      </c>
      <c r="AZ86" s="163" t="s">
        <v>402</v>
      </c>
      <c r="BA86" s="163" t="s">
        <v>402</v>
      </c>
      <c r="BB86" s="171" t="s">
        <v>401</v>
      </c>
      <c r="BC86" s="323" t="s">
        <v>1225</v>
      </c>
      <c r="BD86" s="324" t="s">
        <v>404</v>
      </c>
      <c r="BE86" s="181" t="s">
        <v>1230</v>
      </c>
      <c r="BF86" s="329"/>
      <c r="BG86" s="181"/>
      <c r="BH86" s="181"/>
      <c r="BI86" s="183"/>
      <c r="BJ86" s="323" t="s">
        <v>1189</v>
      </c>
      <c r="BK86" s="327" t="s">
        <v>408</v>
      </c>
      <c r="BL86" s="642"/>
      <c r="BM86" s="193"/>
      <c r="BN86" s="194"/>
      <c r="BO86" s="194"/>
      <c r="BP86" s="194"/>
      <c r="BQ86" s="194"/>
      <c r="BR86" s="194"/>
      <c r="BS86" s="194"/>
      <c r="BT86" s="194"/>
      <c r="BU86" s="204"/>
      <c r="BV86" s="205"/>
      <c r="BW86" s="206"/>
      <c r="BX86" s="206"/>
      <c r="BY86" s="206"/>
      <c r="BZ86" s="206"/>
      <c r="CA86" s="206"/>
      <c r="CB86" s="213"/>
      <c r="CC86" s="214"/>
      <c r="CD86" s="206"/>
      <c r="CE86" s="213"/>
      <c r="CF86" s="215"/>
      <c r="CG86" s="216"/>
      <c r="CH86" s="216"/>
      <c r="CI86" s="216"/>
      <c r="CJ86" s="216"/>
      <c r="CK86" s="216"/>
      <c r="CL86" s="216"/>
      <c r="CM86" s="216"/>
      <c r="CN86" s="225"/>
      <c r="CO86" s="226"/>
      <c r="CP86" s="227"/>
      <c r="CQ86" s="227"/>
      <c r="CR86" s="227"/>
      <c r="CS86" s="227"/>
      <c r="CT86" s="227"/>
      <c r="CU86" s="234"/>
      <c r="CV86" s="226"/>
      <c r="CW86" s="227"/>
      <c r="CX86" s="234"/>
    </row>
    <row r="87" spans="1:102" ht="151.5" hidden="1" customHeight="1">
      <c r="A87" s="271"/>
      <c r="B87" s="272" t="str">
        <f>IFERROR(VLOOKUP($A87,Riesgos!$A$7:$H$84,2,FALSE),"")</f>
        <v/>
      </c>
      <c r="C87" s="272" t="str">
        <f>IFERROR(VLOOKUP($A87,Riesgos!$A$7:$H$84,7,FALSE),"")</f>
        <v/>
      </c>
      <c r="D87" s="272" t="str">
        <f>IFERROR(VLOOKUP($A87,Riesgos!$A$7:$H$84,8,FALSE),"")</f>
        <v/>
      </c>
      <c r="E87" s="273"/>
      <c r="F87" s="273"/>
      <c r="G87" s="335" t="str">
        <f>IF(F87&lt;=0,"",IF(F87&lt;='Listas y tablas'!$B$3,"Muy Baja",IF(F87&lt;='Listas y tablas'!$B$4,"Baja",IF(F87&lt;='Listas y tablas'!$B$5,"Media",IF(F87&lt;='Listas y tablas'!$B$6,"Alta","Muy Alta")))))</f>
        <v/>
      </c>
      <c r="H87" s="336" t="str">
        <f>IF(G87="","",IF(G87="Muy Baja",'Listas y tablas'!$C$3,IF(G87="Baja",'Listas y tablas'!$C$4,IF(G87="Media",'Listas y tablas'!$C$5,IF(G87="Alta",'Listas y tablas'!$C$6,IF(G87="Muy Alta",'Listas y tablas'!$C$7,))))))</f>
        <v/>
      </c>
      <c r="I87" s="338"/>
      <c r="J87" s="336">
        <f>IF(NOT(ISERROR(MATCH(I87,'Tabla Impacto'!$B$221:$B$223,0))),'Tabla Impacto'!$F$223&amp;"Por favor no seleccionar los criterios de impacto(Afectación Económica o presupuestal y Pérdida Reputacional)",I87)</f>
        <v>0</v>
      </c>
      <c r="K87" s="335" t="str">
        <f>IF(OR(J87='Tabla Impacto'!$C$11,J87='Tabla Impacto'!$D$11),"Leve",IF(OR(J87='Tabla Impacto'!$C$12,J87='Tabla Impacto'!$D$12),"Menor",IF(OR(J87='Tabla Impacto'!$C$13,J87='Tabla Impacto'!$D$13),"Moderado",IF(OR(J87='Tabla Impacto'!$C$14,J87='Tabla Impacto'!$D$14),"Mayor",IF(OR(J87='Tabla Impacto'!$C$15,J87='Tabla Impacto'!$D$15),"Catastrófico","")))))</f>
        <v/>
      </c>
      <c r="L87" s="336" t="str">
        <f>IF(K87="","",IF(K87="Leve",'Listas y tablas'!$F$3,IF(K87="Menor",'Listas y tablas'!$F$4,IF(K87="Moderado",'Listas y tablas'!$F$5,IF(K87="Mayor",'Listas y tablas'!$F$6,IF(K87="Catastrófico",'Listas y tablas'!$F$7,))))))</f>
        <v/>
      </c>
      <c r="M87" s="335" t="str">
        <f t="shared" si="25"/>
        <v/>
      </c>
      <c r="N87" s="335" t="str">
        <f t="shared" si="26"/>
        <v>G</v>
      </c>
      <c r="O87" s="337" t="e">
        <f>IF(ISTEXT(D87),1+O86,"")</f>
        <v>#REF!</v>
      </c>
      <c r="P87" s="337" t="e">
        <f t="shared" si="28"/>
        <v>#REF!</v>
      </c>
      <c r="Q87" s="286"/>
      <c r="R87" s="337" t="str">
        <f t="shared" si="23"/>
        <v/>
      </c>
      <c r="S87" s="299"/>
      <c r="T87" s="299"/>
      <c r="U87" s="339" t="str">
        <f t="shared" si="24"/>
        <v/>
      </c>
      <c r="V87" s="299"/>
      <c r="W87" s="299"/>
      <c r="X87" s="299"/>
      <c r="Y87" s="346" t="str">
        <f>IF(A86=A87,IFERROR(IF(AND(R86="Probabilidad",R87="Probabilidad"),(AA86-(+AA86*U87)),IF(R87="Probabilidad",(H86-(+H86*U87)),IF(R87="Impacto",AA86,""))),""),IFERROR(IF(R87="Probabilidad",(H87-(+H87*U87)),IF(R87="Impacto",K87,"")),""))</f>
        <v/>
      </c>
      <c r="Z87" s="154" t="str">
        <f>IFERROR(IF(Y87="","",IF(Y87&lt;='Listas y tablas'!$L$3,"Muy Baja",IF(Y87&lt;='Listas y tablas'!$L$4,"Baja",IF(Y87&lt;='Listas y tablas'!$L$5,"Media",IF(Y87&lt;='Listas y tablas'!$L$6,"Alta","Muy Alta"))))),"")</f>
        <v/>
      </c>
      <c r="AA87" s="339" t="str">
        <f t="shared" si="30"/>
        <v/>
      </c>
      <c r="AB87" s="154" t="str">
        <f>IFERROR(IF(AC87="","",IF(AC87&lt;='Listas y tablas'!$O$3,"Leve",IF(AC87&lt;='Listas y tablas'!$O$4,"Menor",IF(AC87&lt;='Listas y tablas'!$O$5,"Moderado",IF(AC87&lt;='Listas y tablas'!$O$6,"Mayor","Catastrófico"))))),"")</f>
        <v/>
      </c>
      <c r="AC87" s="339" t="str">
        <f>IF(A86=A87,IFERROR(IF(AND(R86="Impacto",R87="Impacto"),(AC86-(+AC86*U87)),IF(R87="Impacto",($F86-(+$F86*U87)),IF(R87="Probabilidad",AC86,""))),""),IFERROR(IF(R87="Impacto",(F87-(+F87*U87)),IF(R87="Probabilidad",F87,"")),""))</f>
        <v/>
      </c>
      <c r="AD87" s="154" t="str">
        <f t="shared" si="32"/>
        <v/>
      </c>
      <c r="AE87" s="299"/>
      <c r="AF87" s="300"/>
      <c r="AG87" s="300"/>
      <c r="AH87" s="300"/>
      <c r="AI87" s="273"/>
      <c r="AJ87" s="273"/>
      <c r="AK87" s="273"/>
      <c r="AL87" s="304"/>
      <c r="AM87" s="304"/>
      <c r="AN87" s="273"/>
      <c r="AO87" s="273"/>
      <c r="AP87" s="273"/>
      <c r="AQ87" s="273"/>
      <c r="AR87" s="273"/>
      <c r="AS87" s="273"/>
      <c r="AT87" s="150"/>
      <c r="AU87" s="163"/>
      <c r="AV87" s="163"/>
      <c r="AW87" s="163"/>
      <c r="AX87" s="163"/>
      <c r="AY87" s="163"/>
      <c r="AZ87" s="163"/>
      <c r="BA87" s="163"/>
      <c r="BB87" s="171"/>
      <c r="BC87" s="323"/>
      <c r="BD87" s="324"/>
      <c r="BE87" s="324"/>
      <c r="BF87" s="329"/>
      <c r="BG87" s="181"/>
      <c r="BH87" s="181"/>
      <c r="BI87" s="183"/>
      <c r="BJ87" s="323"/>
      <c r="BK87" s="327"/>
      <c r="BL87" s="192"/>
      <c r="BM87" s="193"/>
      <c r="BN87" s="194"/>
      <c r="BO87" s="194"/>
      <c r="BP87" s="194"/>
      <c r="BQ87" s="194"/>
      <c r="BR87" s="194"/>
      <c r="BS87" s="194"/>
      <c r="BT87" s="194"/>
      <c r="BU87" s="204"/>
      <c r="BV87" s="205"/>
      <c r="BW87" s="206"/>
      <c r="BX87" s="206"/>
      <c r="BY87" s="206"/>
      <c r="BZ87" s="206"/>
      <c r="CA87" s="206"/>
      <c r="CB87" s="213"/>
      <c r="CC87" s="214"/>
      <c r="CD87" s="206"/>
      <c r="CE87" s="213"/>
      <c r="CF87" s="215"/>
      <c r="CG87" s="216"/>
      <c r="CH87" s="216"/>
      <c r="CI87" s="216"/>
      <c r="CJ87" s="216"/>
      <c r="CK87" s="216"/>
      <c r="CL87" s="216"/>
      <c r="CM87" s="216"/>
      <c r="CN87" s="225"/>
      <c r="CO87" s="226"/>
      <c r="CP87" s="227"/>
      <c r="CQ87" s="227"/>
      <c r="CR87" s="227"/>
      <c r="CS87" s="227"/>
      <c r="CT87" s="227"/>
      <c r="CU87" s="234"/>
      <c r="CV87" s="226"/>
      <c r="CW87" s="227"/>
      <c r="CX87" s="234"/>
    </row>
    <row r="88" spans="1:102" ht="151.5" hidden="1" customHeight="1">
      <c r="A88" s="271"/>
      <c r="B88" s="272" t="str">
        <f>IFERROR(VLOOKUP($A88,Riesgos!$A$7:$H$84,2,FALSE),"")</f>
        <v/>
      </c>
      <c r="C88" s="272" t="str">
        <f>IFERROR(VLOOKUP($A88,Riesgos!$A$7:$H$84,7,FALSE),"")</f>
        <v/>
      </c>
      <c r="D88" s="272" t="str">
        <f>IFERROR(VLOOKUP($A88,Riesgos!$A$7:$H$84,8,FALSE),"")</f>
        <v/>
      </c>
      <c r="E88" s="273"/>
      <c r="F88" s="273"/>
      <c r="G88" s="335" t="str">
        <f>IF(F88&lt;=0,"",IF(F88&lt;='Listas y tablas'!$B$3,"Muy Baja",IF(F88&lt;='Listas y tablas'!$B$4,"Baja",IF(F88&lt;='Listas y tablas'!$B$5,"Media",IF(F88&lt;='Listas y tablas'!$B$6,"Alta","Muy Alta")))))</f>
        <v/>
      </c>
      <c r="H88" s="336" t="str">
        <f>IF(G88="","",IF(G88="Muy Baja",'Listas y tablas'!$C$3,IF(G88="Baja",'Listas y tablas'!$C$4,IF(G88="Media",'Listas y tablas'!$C$5,IF(G88="Alta",'Listas y tablas'!$C$6,IF(G88="Muy Alta",'Listas y tablas'!$C$7,))))))</f>
        <v/>
      </c>
      <c r="I88" s="338"/>
      <c r="J88" s="336">
        <f>IF(NOT(ISERROR(MATCH(I88,'Tabla Impacto'!$B$221:$B$223,0))),'Tabla Impacto'!$F$223&amp;"Por favor no seleccionar los criterios de impacto(Afectación Económica o presupuestal y Pérdida Reputacional)",I88)</f>
        <v>0</v>
      </c>
      <c r="K88" s="335" t="str">
        <f>IF(OR(J88='Tabla Impacto'!$C$11,J88='Tabla Impacto'!$D$11),"Leve",IF(OR(J88='Tabla Impacto'!$C$12,J88='Tabla Impacto'!$D$12),"Menor",IF(OR(J88='Tabla Impacto'!$C$13,J88='Tabla Impacto'!$D$13),"Moderado",IF(OR(J88='Tabla Impacto'!$C$14,J88='Tabla Impacto'!$D$14),"Mayor",IF(OR(J88='Tabla Impacto'!$C$15,J88='Tabla Impacto'!$D$15),"Catastrófico","")))))</f>
        <v/>
      </c>
      <c r="L88" s="336" t="str">
        <f>IF(K88="","",IF(K88="Leve",'Listas y tablas'!$F$3,IF(K88="Menor",'Listas y tablas'!$F$4,IF(K88="Moderado",'Listas y tablas'!$F$5,IF(K88="Mayor",'Listas y tablas'!$F$6,IF(K88="Catastrófico",'Listas y tablas'!$F$7,))))))</f>
        <v/>
      </c>
      <c r="M88" s="335" t="str">
        <f t="shared" si="25"/>
        <v/>
      </c>
      <c r="N88" s="335" t="str">
        <f t="shared" si="26"/>
        <v>G</v>
      </c>
      <c r="O88" s="337" t="e">
        <f t="shared" si="27"/>
        <v>#REF!</v>
      </c>
      <c r="P88" s="337" t="e">
        <f t="shared" si="28"/>
        <v>#REF!</v>
      </c>
      <c r="Q88" s="286"/>
      <c r="R88" s="337" t="str">
        <f t="shared" si="23"/>
        <v/>
      </c>
      <c r="S88" s="299"/>
      <c r="T88" s="299"/>
      <c r="U88" s="339" t="str">
        <f t="shared" si="24"/>
        <v/>
      </c>
      <c r="V88" s="299"/>
      <c r="W88" s="299"/>
      <c r="X88" s="299"/>
      <c r="Y88" s="346" t="str">
        <f t="shared" si="29"/>
        <v/>
      </c>
      <c r="Z88" s="154" t="str">
        <f>IFERROR(IF(Y88="","",IF(Y88&lt;='Listas y tablas'!$L$3,"Muy Baja",IF(Y88&lt;='Listas y tablas'!$L$4,"Baja",IF(Y88&lt;='Listas y tablas'!$L$5,"Media",IF(Y88&lt;='Listas y tablas'!$L$6,"Alta","Muy Alta"))))),"")</f>
        <v/>
      </c>
      <c r="AA88" s="339" t="str">
        <f t="shared" si="30"/>
        <v/>
      </c>
      <c r="AB88" s="154" t="str">
        <f>IFERROR(IF(AC88="","",IF(AC88&lt;='Listas y tablas'!$O$3,"Leve",IF(AC88&lt;='Listas y tablas'!$O$4,"Menor",IF(AC88&lt;='Listas y tablas'!$O$5,"Moderado",IF(AC88&lt;='Listas y tablas'!$O$6,"Mayor","Catastrófico"))))),"")</f>
        <v/>
      </c>
      <c r="AC88" s="339" t="str">
        <f t="shared" si="31"/>
        <v/>
      </c>
      <c r="AD88" s="154" t="str">
        <f t="shared" si="32"/>
        <v/>
      </c>
      <c r="AE88" s="299"/>
      <c r="AF88" s="300"/>
      <c r="AG88" s="300"/>
      <c r="AH88" s="300"/>
      <c r="AI88" s="273"/>
      <c r="AJ88" s="273"/>
      <c r="AK88" s="273"/>
      <c r="AL88" s="304"/>
      <c r="AM88" s="304"/>
      <c r="AN88" s="273"/>
      <c r="AO88" s="273"/>
      <c r="AP88" s="273"/>
      <c r="AQ88" s="273"/>
      <c r="AR88" s="273"/>
      <c r="AS88" s="273"/>
      <c r="AT88" s="150"/>
      <c r="AU88" s="163"/>
      <c r="AV88" s="163"/>
      <c r="AW88" s="163"/>
      <c r="AX88" s="163"/>
      <c r="AY88" s="163"/>
      <c r="AZ88" s="163"/>
      <c r="BA88" s="163"/>
      <c r="BB88" s="171"/>
      <c r="BC88" s="323"/>
      <c r="BD88" s="324"/>
      <c r="BE88" s="324"/>
      <c r="BF88" s="329"/>
      <c r="BG88" s="181"/>
      <c r="BH88" s="181"/>
      <c r="BI88" s="183"/>
      <c r="BJ88" s="323"/>
      <c r="BK88" s="327"/>
      <c r="BL88" s="192"/>
      <c r="BM88" s="193"/>
      <c r="BN88" s="194"/>
      <c r="BO88" s="194"/>
      <c r="BP88" s="194"/>
      <c r="BQ88" s="194"/>
      <c r="BR88" s="194"/>
      <c r="BS88" s="194"/>
      <c r="BT88" s="194"/>
      <c r="BU88" s="204"/>
      <c r="BV88" s="205"/>
      <c r="BW88" s="206"/>
      <c r="BX88" s="206"/>
      <c r="BY88" s="206"/>
      <c r="BZ88" s="206"/>
      <c r="CA88" s="206"/>
      <c r="CB88" s="213"/>
      <c r="CC88" s="214"/>
      <c r="CD88" s="206"/>
      <c r="CE88" s="213"/>
      <c r="CF88" s="215"/>
      <c r="CG88" s="216"/>
      <c r="CH88" s="216"/>
      <c r="CI88" s="216"/>
      <c r="CJ88" s="216"/>
      <c r="CK88" s="216"/>
      <c r="CL88" s="216"/>
      <c r="CM88" s="216"/>
      <c r="CN88" s="225"/>
      <c r="CO88" s="226"/>
      <c r="CP88" s="227"/>
      <c r="CQ88" s="227"/>
      <c r="CR88" s="227"/>
      <c r="CS88" s="227"/>
      <c r="CT88" s="227"/>
      <c r="CU88" s="234"/>
      <c r="CV88" s="226"/>
      <c r="CW88" s="227"/>
      <c r="CX88" s="234"/>
    </row>
    <row r="89" spans="1:102" ht="151.5" hidden="1" customHeight="1">
      <c r="A89" s="271"/>
      <c r="B89" s="272" t="str">
        <f>IFERROR(VLOOKUP($A89,Riesgos!$A$7:$H$84,2,FALSE),"")</f>
        <v/>
      </c>
      <c r="C89" s="272" t="str">
        <f>IFERROR(VLOOKUP($A89,Riesgos!$A$7:$H$84,7,FALSE),"")</f>
        <v/>
      </c>
      <c r="D89" s="272" t="str">
        <f>IFERROR(VLOOKUP($A89,Riesgos!$A$7:$H$84,8,FALSE),"")</f>
        <v/>
      </c>
      <c r="E89" s="273"/>
      <c r="F89" s="273"/>
      <c r="G89" s="335" t="str">
        <f>IF(F89&lt;=0,"",IF(F89&lt;='Listas y tablas'!$B$3,"Muy Baja",IF(F89&lt;='Listas y tablas'!$B$4,"Baja",IF(F89&lt;='Listas y tablas'!$B$5,"Media",IF(F89&lt;='Listas y tablas'!$B$6,"Alta","Muy Alta")))))</f>
        <v/>
      </c>
      <c r="H89" s="336" t="str">
        <f>IF(G89="","",IF(G89="Muy Baja",'Listas y tablas'!$C$3,IF(G89="Baja",'Listas y tablas'!$C$4,IF(G89="Media",'Listas y tablas'!$C$5,IF(G89="Alta",'Listas y tablas'!$C$6,IF(G89="Muy Alta",'Listas y tablas'!$C$7,))))))</f>
        <v/>
      </c>
      <c r="I89" s="338"/>
      <c r="J89" s="336">
        <f>IF(NOT(ISERROR(MATCH(I89,'Tabla Impacto'!$B$221:$B$223,0))),'Tabla Impacto'!$F$223&amp;"Por favor no seleccionar los criterios de impacto(Afectación Económica o presupuestal y Pérdida Reputacional)",I89)</f>
        <v>0</v>
      </c>
      <c r="K89" s="335" t="str">
        <f>IF(OR(J89='Tabla Impacto'!$C$11,J89='Tabla Impacto'!$D$11),"Leve",IF(OR(J89='Tabla Impacto'!$C$12,J89='Tabla Impacto'!$D$12),"Menor",IF(OR(J89='Tabla Impacto'!$C$13,J89='Tabla Impacto'!$D$13),"Moderado",IF(OR(J89='Tabla Impacto'!$C$14,J89='Tabla Impacto'!$D$14),"Mayor",IF(OR(J89='Tabla Impacto'!$C$15,J89='Tabla Impacto'!$D$15),"Catastrófico","")))))</f>
        <v/>
      </c>
      <c r="L89" s="336" t="str">
        <f>IF(K89="","",IF(K89="Leve",'Listas y tablas'!$F$3,IF(K89="Menor",'Listas y tablas'!$F$4,IF(K89="Moderado",'Listas y tablas'!$F$5,IF(K89="Mayor",'Listas y tablas'!$F$6,IF(K89="Catastrófico",'Listas y tablas'!$F$7,))))))</f>
        <v/>
      </c>
      <c r="M89" s="335" t="str">
        <f t="shared" si="25"/>
        <v/>
      </c>
      <c r="N89" s="335" t="str">
        <f t="shared" si="26"/>
        <v>G</v>
      </c>
      <c r="O89" s="337" t="e">
        <f t="shared" si="27"/>
        <v>#REF!</v>
      </c>
      <c r="P89" s="337" t="e">
        <f t="shared" si="28"/>
        <v>#REF!</v>
      </c>
      <c r="Q89" s="286"/>
      <c r="R89" s="337" t="str">
        <f t="shared" si="23"/>
        <v/>
      </c>
      <c r="S89" s="299"/>
      <c r="T89" s="299"/>
      <c r="U89" s="339" t="str">
        <f t="shared" si="24"/>
        <v/>
      </c>
      <c r="V89" s="299"/>
      <c r="W89" s="299"/>
      <c r="X89" s="299"/>
      <c r="Y89" s="346" t="str">
        <f t="shared" si="29"/>
        <v/>
      </c>
      <c r="Z89" s="154" t="str">
        <f>IFERROR(IF(Y89="","",IF(Y89&lt;='Listas y tablas'!$L$3,"Muy Baja",IF(Y89&lt;='Listas y tablas'!$L$4,"Baja",IF(Y89&lt;='Listas y tablas'!$L$5,"Media",IF(Y89&lt;='Listas y tablas'!$L$6,"Alta","Muy Alta"))))),"")</f>
        <v/>
      </c>
      <c r="AA89" s="339" t="str">
        <f t="shared" si="30"/>
        <v/>
      </c>
      <c r="AB89" s="154" t="str">
        <f>IFERROR(IF(AC89="","",IF(AC89&lt;='Listas y tablas'!$O$3,"Leve",IF(AC89&lt;='Listas y tablas'!$O$4,"Menor",IF(AC89&lt;='Listas y tablas'!$O$5,"Moderado",IF(AC89&lt;='Listas y tablas'!$O$6,"Mayor","Catastrófico"))))),"")</f>
        <v/>
      </c>
      <c r="AC89" s="339" t="str">
        <f t="shared" si="31"/>
        <v/>
      </c>
      <c r="AD89" s="154" t="str">
        <f t="shared" si="32"/>
        <v/>
      </c>
      <c r="AE89" s="299"/>
      <c r="AF89" s="300"/>
      <c r="AG89" s="300"/>
      <c r="AH89" s="300"/>
      <c r="AI89" s="273"/>
      <c r="AJ89" s="273"/>
      <c r="AK89" s="273"/>
      <c r="AL89" s="304"/>
      <c r="AM89" s="304"/>
      <c r="AN89" s="273"/>
      <c r="AO89" s="273"/>
      <c r="AP89" s="273"/>
      <c r="AQ89" s="273"/>
      <c r="AR89" s="273"/>
      <c r="AS89" s="273"/>
      <c r="AT89" s="150"/>
      <c r="AU89" s="163"/>
      <c r="AV89" s="163"/>
      <c r="AW89" s="163"/>
      <c r="AX89" s="163"/>
      <c r="AY89" s="163"/>
      <c r="AZ89" s="163"/>
      <c r="BA89" s="163"/>
      <c r="BB89" s="171"/>
      <c r="BC89" s="323"/>
      <c r="BD89" s="324"/>
      <c r="BE89" s="324"/>
      <c r="BF89" s="329"/>
      <c r="BG89" s="181"/>
      <c r="BH89" s="181"/>
      <c r="BI89" s="183"/>
      <c r="BJ89" s="323"/>
      <c r="BK89" s="327"/>
      <c r="BL89" s="192"/>
      <c r="BM89" s="193"/>
      <c r="BN89" s="194"/>
      <c r="BO89" s="194"/>
      <c r="BP89" s="194"/>
      <c r="BQ89" s="194"/>
      <c r="BR89" s="194"/>
      <c r="BS89" s="194"/>
      <c r="BT89" s="194"/>
      <c r="BU89" s="204"/>
      <c r="BV89" s="205"/>
      <c r="BW89" s="206"/>
      <c r="BX89" s="206"/>
      <c r="BY89" s="206"/>
      <c r="BZ89" s="206"/>
      <c r="CA89" s="206"/>
      <c r="CB89" s="213"/>
      <c r="CC89" s="214"/>
      <c r="CD89" s="206"/>
      <c r="CE89" s="213"/>
      <c r="CF89" s="215"/>
      <c r="CG89" s="216"/>
      <c r="CH89" s="216"/>
      <c r="CI89" s="216"/>
      <c r="CJ89" s="216"/>
      <c r="CK89" s="216"/>
      <c r="CL89" s="216"/>
      <c r="CM89" s="216"/>
      <c r="CN89" s="225"/>
      <c r="CO89" s="226"/>
      <c r="CP89" s="227"/>
      <c r="CQ89" s="227"/>
      <c r="CR89" s="227"/>
      <c r="CS89" s="227"/>
      <c r="CT89" s="227"/>
      <c r="CU89" s="234"/>
      <c r="CV89" s="226"/>
      <c r="CW89" s="227"/>
      <c r="CX89" s="234"/>
    </row>
    <row r="90" spans="1:102" ht="151.5" hidden="1" customHeight="1">
      <c r="A90" s="271"/>
      <c r="B90" s="272" t="str">
        <f>IFERROR(VLOOKUP($A90,Riesgos!$A$7:$H$84,2,FALSE),"")</f>
        <v/>
      </c>
      <c r="C90" s="272" t="str">
        <f>IFERROR(VLOOKUP($A90,Riesgos!$A$7:$H$84,7,FALSE),"")</f>
        <v/>
      </c>
      <c r="D90" s="272" t="str">
        <f>IFERROR(VLOOKUP($A90,Riesgos!$A$7:$H$84,8,FALSE),"")</f>
        <v/>
      </c>
      <c r="E90" s="273"/>
      <c r="F90" s="273"/>
      <c r="G90" s="335" t="str">
        <f>IF(F90&lt;=0,"",IF(F90&lt;='Listas y tablas'!$B$3,"Muy Baja",IF(F90&lt;='Listas y tablas'!$B$4,"Baja",IF(F90&lt;='Listas y tablas'!$B$5,"Media",IF(F90&lt;='Listas y tablas'!$B$6,"Alta","Muy Alta")))))</f>
        <v/>
      </c>
      <c r="H90" s="336" t="str">
        <f>IF(G90="","",IF(G90="Muy Baja",'Listas y tablas'!$C$3,IF(G90="Baja",'Listas y tablas'!$C$4,IF(G90="Media",'Listas y tablas'!$C$5,IF(G90="Alta",'Listas y tablas'!$C$6,IF(G90="Muy Alta",'Listas y tablas'!$C$7,))))))</f>
        <v/>
      </c>
      <c r="I90" s="338"/>
      <c r="J90" s="336">
        <f>IF(NOT(ISERROR(MATCH(I90,'Tabla Impacto'!$B$221:$B$223,0))),'Tabla Impacto'!$F$223&amp;"Por favor no seleccionar los criterios de impacto(Afectación Económica o presupuestal y Pérdida Reputacional)",I90)</f>
        <v>0</v>
      </c>
      <c r="K90" s="335" t="str">
        <f>IF(OR(J90='Tabla Impacto'!$C$11,J90='Tabla Impacto'!$D$11),"Leve",IF(OR(J90='Tabla Impacto'!$C$12,J90='Tabla Impacto'!$D$12),"Menor",IF(OR(J90='Tabla Impacto'!$C$13,J90='Tabla Impacto'!$D$13),"Moderado",IF(OR(J90='Tabla Impacto'!$C$14,J90='Tabla Impacto'!$D$14),"Mayor",IF(OR(J90='Tabla Impacto'!$C$15,J90='Tabla Impacto'!$D$15),"Catastrófico","")))))</f>
        <v/>
      </c>
      <c r="L90" s="336" t="str">
        <f>IF(K90="","",IF(K90="Leve",'Listas y tablas'!$F$3,IF(K90="Menor",'Listas y tablas'!$F$4,IF(K90="Moderado",'Listas y tablas'!$F$5,IF(K90="Mayor",'Listas y tablas'!$F$6,IF(K90="Catastrófico",'Listas y tablas'!$F$7,))))))</f>
        <v/>
      </c>
      <c r="M90" s="335" t="str">
        <f t="shared" si="25"/>
        <v/>
      </c>
      <c r="N90" s="335" t="str">
        <f t="shared" si="26"/>
        <v>G</v>
      </c>
      <c r="O90" s="337" t="e">
        <f t="shared" si="27"/>
        <v>#REF!</v>
      </c>
      <c r="P90" s="337" t="e">
        <f t="shared" si="28"/>
        <v>#REF!</v>
      </c>
      <c r="Q90" s="286"/>
      <c r="R90" s="337" t="str">
        <f t="shared" si="23"/>
        <v/>
      </c>
      <c r="S90" s="299"/>
      <c r="T90" s="299"/>
      <c r="U90" s="339" t="str">
        <f t="shared" si="24"/>
        <v/>
      </c>
      <c r="V90" s="299"/>
      <c r="W90" s="299"/>
      <c r="X90" s="299"/>
      <c r="Y90" s="346" t="str">
        <f t="shared" si="29"/>
        <v/>
      </c>
      <c r="Z90" s="154" t="str">
        <f>IFERROR(IF(Y90="","",IF(Y90&lt;='Listas y tablas'!$L$3,"Muy Baja",IF(Y90&lt;='Listas y tablas'!$L$4,"Baja",IF(Y90&lt;='Listas y tablas'!$L$5,"Media",IF(Y90&lt;='Listas y tablas'!$L$6,"Alta","Muy Alta"))))),"")</f>
        <v/>
      </c>
      <c r="AA90" s="339" t="str">
        <f t="shared" si="30"/>
        <v/>
      </c>
      <c r="AB90" s="154" t="str">
        <f>IFERROR(IF(AC90="","",IF(AC90&lt;='Listas y tablas'!$O$3,"Leve",IF(AC90&lt;='Listas y tablas'!$O$4,"Menor",IF(AC90&lt;='Listas y tablas'!$O$5,"Moderado",IF(AC90&lt;='Listas y tablas'!$O$6,"Mayor","Catastrófico"))))),"")</f>
        <v/>
      </c>
      <c r="AC90" s="339" t="str">
        <f t="shared" si="31"/>
        <v/>
      </c>
      <c r="AD90" s="154" t="str">
        <f t="shared" si="32"/>
        <v/>
      </c>
      <c r="AE90" s="299"/>
      <c r="AF90" s="300"/>
      <c r="AG90" s="300"/>
      <c r="AH90" s="300"/>
      <c r="AI90" s="273"/>
      <c r="AJ90" s="273"/>
      <c r="AK90" s="273"/>
      <c r="AL90" s="304"/>
      <c r="AM90" s="304"/>
      <c r="AN90" s="273"/>
      <c r="AO90" s="273"/>
      <c r="AP90" s="273"/>
      <c r="AQ90" s="273"/>
      <c r="AR90" s="273"/>
      <c r="AS90" s="273"/>
      <c r="AT90" s="150"/>
      <c r="AU90" s="163"/>
      <c r="AV90" s="163"/>
      <c r="AW90" s="163"/>
      <c r="AX90" s="163"/>
      <c r="AY90" s="163"/>
      <c r="AZ90" s="163"/>
      <c r="BA90" s="163"/>
      <c r="BB90" s="171"/>
      <c r="BC90" s="323"/>
      <c r="BD90" s="324"/>
      <c r="BE90" s="324"/>
      <c r="BF90" s="329"/>
      <c r="BG90" s="181"/>
      <c r="BH90" s="181"/>
      <c r="BI90" s="183"/>
      <c r="BJ90" s="323"/>
      <c r="BK90" s="327"/>
      <c r="BL90" s="192"/>
      <c r="BM90" s="193"/>
      <c r="BN90" s="194"/>
      <c r="BO90" s="194"/>
      <c r="BP90" s="194"/>
      <c r="BQ90" s="194"/>
      <c r="BR90" s="194"/>
      <c r="BS90" s="194"/>
      <c r="BT90" s="194"/>
      <c r="BU90" s="204"/>
      <c r="BV90" s="205"/>
      <c r="BW90" s="206"/>
      <c r="BX90" s="206"/>
      <c r="BY90" s="206"/>
      <c r="BZ90" s="206"/>
      <c r="CA90" s="206"/>
      <c r="CB90" s="213"/>
      <c r="CC90" s="214"/>
      <c r="CD90" s="206"/>
      <c r="CE90" s="213"/>
      <c r="CF90" s="215"/>
      <c r="CG90" s="216"/>
      <c r="CH90" s="216"/>
      <c r="CI90" s="216"/>
      <c r="CJ90" s="216"/>
      <c r="CK90" s="216"/>
      <c r="CL90" s="216"/>
      <c r="CM90" s="216"/>
      <c r="CN90" s="225"/>
      <c r="CO90" s="226"/>
      <c r="CP90" s="227"/>
      <c r="CQ90" s="227"/>
      <c r="CR90" s="227"/>
      <c r="CS90" s="227"/>
      <c r="CT90" s="227"/>
      <c r="CU90" s="234"/>
      <c r="CV90" s="226"/>
      <c r="CW90" s="227"/>
      <c r="CX90" s="234"/>
    </row>
    <row r="91" spans="1:102" ht="151.5" hidden="1" customHeight="1">
      <c r="A91" s="271"/>
      <c r="B91" s="272" t="str">
        <f>IFERROR(VLOOKUP($A91,Riesgos!$A$7:$H$84,2,FALSE),"")</f>
        <v/>
      </c>
      <c r="C91" s="272" t="str">
        <f>IFERROR(VLOOKUP($A91,Riesgos!$A$7:$H$84,7,FALSE),"")</f>
        <v/>
      </c>
      <c r="D91" s="272" t="str">
        <f>IFERROR(VLOOKUP($A91,Riesgos!$A$7:$H$84,8,FALSE),"")</f>
        <v/>
      </c>
      <c r="E91" s="273"/>
      <c r="F91" s="273"/>
      <c r="G91" s="335" t="str">
        <f>IF(F91&lt;=0,"",IF(F91&lt;='Listas y tablas'!$B$3,"Muy Baja",IF(F91&lt;='Listas y tablas'!$B$4,"Baja",IF(F91&lt;='Listas y tablas'!$B$5,"Media",IF(F91&lt;='Listas y tablas'!$B$6,"Alta","Muy Alta")))))</f>
        <v/>
      </c>
      <c r="H91" s="336" t="str">
        <f>IF(G91="","",IF(G91="Muy Baja",'Listas y tablas'!$C$3,IF(G91="Baja",'Listas y tablas'!$C$4,IF(G91="Media",'Listas y tablas'!$C$5,IF(G91="Alta",'Listas y tablas'!$C$6,IF(G91="Muy Alta",'Listas y tablas'!$C$7,))))))</f>
        <v/>
      </c>
      <c r="I91" s="338"/>
      <c r="J91" s="336">
        <f>IF(NOT(ISERROR(MATCH(I91,'Tabla Impacto'!$B$221:$B$223,0))),'Tabla Impacto'!$F$223&amp;"Por favor no seleccionar los criterios de impacto(Afectación Económica o presupuestal y Pérdida Reputacional)",I91)</f>
        <v>0</v>
      </c>
      <c r="K91" s="335" t="str">
        <f>IF(OR(J91='Tabla Impacto'!$C$11,J91='Tabla Impacto'!$D$11),"Leve",IF(OR(J91='Tabla Impacto'!$C$12,J91='Tabla Impacto'!$D$12),"Menor",IF(OR(J91='Tabla Impacto'!$C$13,J91='Tabla Impacto'!$D$13),"Moderado",IF(OR(J91='Tabla Impacto'!$C$14,J91='Tabla Impacto'!$D$14),"Mayor",IF(OR(J91='Tabla Impacto'!$C$15,J91='Tabla Impacto'!$D$15),"Catastrófico","")))))</f>
        <v/>
      </c>
      <c r="L91" s="336" t="str">
        <f>IF(K91="","",IF(K91="Leve",'Listas y tablas'!$F$3,IF(K91="Menor",'Listas y tablas'!$F$4,IF(K91="Moderado",'Listas y tablas'!$F$5,IF(K91="Mayor",'Listas y tablas'!$F$6,IF(K91="Catastrófico",'Listas y tablas'!$F$7,))))))</f>
        <v/>
      </c>
      <c r="M91" s="335" t="str">
        <f t="shared" si="25"/>
        <v/>
      </c>
      <c r="N91" s="335" t="str">
        <f t="shared" si="26"/>
        <v>G</v>
      </c>
      <c r="O91" s="337" t="e">
        <f t="shared" si="27"/>
        <v>#REF!</v>
      </c>
      <c r="P91" s="337" t="e">
        <f t="shared" si="28"/>
        <v>#REF!</v>
      </c>
      <c r="Q91" s="286"/>
      <c r="R91" s="337" t="str">
        <f t="shared" si="23"/>
        <v/>
      </c>
      <c r="S91" s="299"/>
      <c r="T91" s="299"/>
      <c r="U91" s="339" t="str">
        <f t="shared" si="24"/>
        <v/>
      </c>
      <c r="V91" s="299"/>
      <c r="W91" s="299"/>
      <c r="X91" s="299"/>
      <c r="Y91" s="346" t="str">
        <f t="shared" si="29"/>
        <v/>
      </c>
      <c r="Z91" s="154" t="str">
        <f>IFERROR(IF(Y91="","",IF(Y91&lt;='Listas y tablas'!$L$3,"Muy Baja",IF(Y91&lt;='Listas y tablas'!$L$4,"Baja",IF(Y91&lt;='Listas y tablas'!$L$5,"Media",IF(Y91&lt;='Listas y tablas'!$L$6,"Alta","Muy Alta"))))),"")</f>
        <v/>
      </c>
      <c r="AA91" s="339" t="str">
        <f t="shared" si="30"/>
        <v/>
      </c>
      <c r="AB91" s="154" t="str">
        <f>IFERROR(IF(AC91="","",IF(AC91&lt;='Listas y tablas'!$O$3,"Leve",IF(AC91&lt;='Listas y tablas'!$O$4,"Menor",IF(AC91&lt;='Listas y tablas'!$O$5,"Moderado",IF(AC91&lt;='Listas y tablas'!$O$6,"Mayor","Catastrófico"))))),"")</f>
        <v/>
      </c>
      <c r="AC91" s="339" t="str">
        <f t="shared" si="31"/>
        <v/>
      </c>
      <c r="AD91" s="154" t="str">
        <f t="shared" si="32"/>
        <v/>
      </c>
      <c r="AE91" s="299"/>
      <c r="AF91" s="300"/>
      <c r="AG91" s="300"/>
      <c r="AH91" s="300"/>
      <c r="AI91" s="273"/>
      <c r="AJ91" s="273"/>
      <c r="AK91" s="273"/>
      <c r="AL91" s="304"/>
      <c r="AM91" s="304"/>
      <c r="AN91" s="273"/>
      <c r="AO91" s="273"/>
      <c r="AP91" s="273"/>
      <c r="AQ91" s="273"/>
      <c r="AR91" s="273"/>
      <c r="AS91" s="273"/>
      <c r="AT91" s="150"/>
      <c r="AU91" s="163"/>
      <c r="AV91" s="163"/>
      <c r="AW91" s="163"/>
      <c r="AX91" s="163"/>
      <c r="AY91" s="163"/>
      <c r="AZ91" s="163"/>
      <c r="BA91" s="163"/>
      <c r="BB91" s="171"/>
      <c r="BC91" s="323"/>
      <c r="BD91" s="324"/>
      <c r="BE91" s="324"/>
      <c r="BF91" s="329"/>
      <c r="BG91" s="181"/>
      <c r="BH91" s="181"/>
      <c r="BI91" s="183"/>
      <c r="BJ91" s="323"/>
      <c r="BK91" s="327"/>
      <c r="BL91" s="192"/>
      <c r="BM91" s="193"/>
      <c r="BN91" s="194"/>
      <c r="BO91" s="194"/>
      <c r="BP91" s="194"/>
      <c r="BQ91" s="194"/>
      <c r="BR91" s="194"/>
      <c r="BS91" s="194"/>
      <c r="BT91" s="194"/>
      <c r="BU91" s="204"/>
      <c r="BV91" s="205"/>
      <c r="BW91" s="206"/>
      <c r="BX91" s="206"/>
      <c r="BY91" s="206"/>
      <c r="BZ91" s="206"/>
      <c r="CA91" s="206"/>
      <c r="CB91" s="213"/>
      <c r="CC91" s="214"/>
      <c r="CD91" s="206"/>
      <c r="CE91" s="213"/>
      <c r="CF91" s="215"/>
      <c r="CG91" s="216"/>
      <c r="CH91" s="216"/>
      <c r="CI91" s="216"/>
      <c r="CJ91" s="216"/>
      <c r="CK91" s="216"/>
      <c r="CL91" s="216"/>
      <c r="CM91" s="216"/>
      <c r="CN91" s="225"/>
      <c r="CO91" s="226"/>
      <c r="CP91" s="227"/>
      <c r="CQ91" s="227"/>
      <c r="CR91" s="227"/>
      <c r="CS91" s="227"/>
      <c r="CT91" s="227"/>
      <c r="CU91" s="234"/>
      <c r="CV91" s="226"/>
      <c r="CW91" s="227"/>
      <c r="CX91" s="234"/>
    </row>
    <row r="92" spans="1:102" ht="151.5" hidden="1" customHeight="1">
      <c r="A92" s="271"/>
      <c r="B92" s="272" t="str">
        <f>IFERROR(VLOOKUP($A92,Riesgos!$A$7:$H$84,2,FALSE),"")</f>
        <v/>
      </c>
      <c r="C92" s="272" t="str">
        <f>IFERROR(VLOOKUP($A92,Riesgos!$A$7:$H$84,7,FALSE),"")</f>
        <v/>
      </c>
      <c r="D92" s="272" t="str">
        <f>IFERROR(VLOOKUP($A92,Riesgos!$A$7:$H$84,8,FALSE),"")</f>
        <v/>
      </c>
      <c r="E92" s="273"/>
      <c r="F92" s="273"/>
      <c r="G92" s="335" t="str">
        <f>IF(F92&lt;=0,"",IF(F92&lt;='Listas y tablas'!$B$3,"Muy Baja",IF(F92&lt;='Listas y tablas'!$B$4,"Baja",IF(F92&lt;='Listas y tablas'!$B$5,"Media",IF(F92&lt;='Listas y tablas'!$B$6,"Alta","Muy Alta")))))</f>
        <v/>
      </c>
      <c r="H92" s="336" t="str">
        <f>IF(G92="","",IF(G92="Muy Baja",'Listas y tablas'!$C$3,IF(G92="Baja",'Listas y tablas'!$C$4,IF(G92="Media",'Listas y tablas'!$C$5,IF(G92="Alta",'Listas y tablas'!$C$6,IF(G92="Muy Alta",'Listas y tablas'!$C$7,))))))</f>
        <v/>
      </c>
      <c r="I92" s="338"/>
      <c r="J92" s="336">
        <f>IF(NOT(ISERROR(MATCH(I92,'Tabla Impacto'!$B$221:$B$223,0))),'Tabla Impacto'!$F$223&amp;"Por favor no seleccionar los criterios de impacto(Afectación Económica o presupuestal y Pérdida Reputacional)",I92)</f>
        <v>0</v>
      </c>
      <c r="K92" s="335" t="str">
        <f>IF(OR(J92='Tabla Impacto'!$C$11,J92='Tabla Impacto'!$D$11),"Leve",IF(OR(J92='Tabla Impacto'!$C$12,J92='Tabla Impacto'!$D$12),"Menor",IF(OR(J92='Tabla Impacto'!$C$13,J92='Tabla Impacto'!$D$13),"Moderado",IF(OR(J92='Tabla Impacto'!$C$14,J92='Tabla Impacto'!$D$14),"Mayor",IF(OR(J92='Tabla Impacto'!$C$15,J92='Tabla Impacto'!$D$15),"Catastrófico","")))))</f>
        <v/>
      </c>
      <c r="L92" s="336" t="str">
        <f>IF(K92="","",IF(K92="Leve",'Listas y tablas'!$F$3,IF(K92="Menor",'Listas y tablas'!$F$4,IF(K92="Moderado",'Listas y tablas'!$F$5,IF(K92="Mayor",'Listas y tablas'!$F$6,IF(K92="Catastrófico",'Listas y tablas'!$F$7,))))))</f>
        <v/>
      </c>
      <c r="M92" s="335" t="str">
        <f t="shared" si="25"/>
        <v/>
      </c>
      <c r="N92" s="335" t="str">
        <f t="shared" si="26"/>
        <v>G</v>
      </c>
      <c r="O92" s="337" t="e">
        <f t="shared" si="27"/>
        <v>#REF!</v>
      </c>
      <c r="P92" s="337" t="e">
        <f t="shared" si="28"/>
        <v>#REF!</v>
      </c>
      <c r="Q92" s="286"/>
      <c r="R92" s="337" t="str">
        <f t="shared" si="23"/>
        <v/>
      </c>
      <c r="S92" s="299"/>
      <c r="T92" s="299"/>
      <c r="U92" s="339" t="str">
        <f t="shared" si="24"/>
        <v/>
      </c>
      <c r="V92" s="299"/>
      <c r="W92" s="299"/>
      <c r="X92" s="299"/>
      <c r="Y92" s="346" t="str">
        <f t="shared" si="29"/>
        <v/>
      </c>
      <c r="Z92" s="154" t="str">
        <f>IFERROR(IF(Y92="","",IF(Y92&lt;='Listas y tablas'!$L$3,"Muy Baja",IF(Y92&lt;='Listas y tablas'!$L$4,"Baja",IF(Y92&lt;='Listas y tablas'!$L$5,"Media",IF(Y92&lt;='Listas y tablas'!$L$6,"Alta","Muy Alta"))))),"")</f>
        <v/>
      </c>
      <c r="AA92" s="339" t="str">
        <f t="shared" si="30"/>
        <v/>
      </c>
      <c r="AB92" s="154" t="str">
        <f>IFERROR(IF(AC92="","",IF(AC92&lt;='Listas y tablas'!$O$3,"Leve",IF(AC92&lt;='Listas y tablas'!$O$4,"Menor",IF(AC92&lt;='Listas y tablas'!$O$5,"Moderado",IF(AC92&lt;='Listas y tablas'!$O$6,"Mayor","Catastrófico"))))),"")</f>
        <v/>
      </c>
      <c r="AC92" s="339" t="str">
        <f t="shared" si="31"/>
        <v/>
      </c>
      <c r="AD92" s="154" t="str">
        <f t="shared" si="32"/>
        <v/>
      </c>
      <c r="AE92" s="299"/>
      <c r="AF92" s="300"/>
      <c r="AG92" s="300"/>
      <c r="AH92" s="300"/>
      <c r="AI92" s="273"/>
      <c r="AJ92" s="273"/>
      <c r="AK92" s="273"/>
      <c r="AL92" s="304"/>
      <c r="AM92" s="304"/>
      <c r="AN92" s="273"/>
      <c r="AO92" s="273"/>
      <c r="AP92" s="273"/>
      <c r="AQ92" s="273"/>
      <c r="AR92" s="273"/>
      <c r="AS92" s="273"/>
      <c r="AT92" s="150"/>
      <c r="AU92" s="163"/>
      <c r="AV92" s="163"/>
      <c r="AW92" s="163"/>
      <c r="AX92" s="163"/>
      <c r="AY92" s="163"/>
      <c r="AZ92" s="163"/>
      <c r="BA92" s="163"/>
      <c r="BB92" s="171"/>
      <c r="BC92" s="323"/>
      <c r="BD92" s="324"/>
      <c r="BE92" s="324"/>
      <c r="BF92" s="329"/>
      <c r="BG92" s="181"/>
      <c r="BH92" s="181"/>
      <c r="BI92" s="183"/>
      <c r="BJ92" s="323"/>
      <c r="BK92" s="327"/>
      <c r="BL92" s="192"/>
      <c r="BM92" s="193"/>
      <c r="BN92" s="194"/>
      <c r="BO92" s="194"/>
      <c r="BP92" s="194"/>
      <c r="BQ92" s="194"/>
      <c r="BR92" s="194"/>
      <c r="BS92" s="194"/>
      <c r="BT92" s="194"/>
      <c r="BU92" s="204"/>
      <c r="BV92" s="205"/>
      <c r="BW92" s="206"/>
      <c r="BX92" s="206"/>
      <c r="BY92" s="206"/>
      <c r="BZ92" s="206"/>
      <c r="CA92" s="206"/>
      <c r="CB92" s="213"/>
      <c r="CC92" s="214"/>
      <c r="CD92" s="206"/>
      <c r="CE92" s="213"/>
      <c r="CF92" s="215"/>
      <c r="CG92" s="216"/>
      <c r="CH92" s="216"/>
      <c r="CI92" s="216"/>
      <c r="CJ92" s="216"/>
      <c r="CK92" s="216"/>
      <c r="CL92" s="216"/>
      <c r="CM92" s="216"/>
      <c r="CN92" s="225"/>
      <c r="CO92" s="226"/>
      <c r="CP92" s="227"/>
      <c r="CQ92" s="227"/>
      <c r="CR92" s="227"/>
      <c r="CS92" s="227"/>
      <c r="CT92" s="227"/>
      <c r="CU92" s="234"/>
      <c r="CV92" s="226"/>
      <c r="CW92" s="227"/>
      <c r="CX92" s="234"/>
    </row>
    <row r="93" spans="1:102" ht="151.5" hidden="1" customHeight="1">
      <c r="A93" s="271"/>
      <c r="B93" s="272" t="str">
        <f>IFERROR(VLOOKUP($A93,Riesgos!$A$7:$H$84,2,FALSE),"")</f>
        <v/>
      </c>
      <c r="C93" s="272" t="str">
        <f>IFERROR(VLOOKUP($A93,Riesgos!$A$7:$H$84,7,FALSE),"")</f>
        <v/>
      </c>
      <c r="D93" s="272" t="str">
        <f>IFERROR(VLOOKUP($A93,Riesgos!$A$7:$H$84,8,FALSE),"")</f>
        <v/>
      </c>
      <c r="E93" s="273"/>
      <c r="F93" s="273"/>
      <c r="G93" s="335" t="str">
        <f>IF(F93&lt;=0,"",IF(F93&lt;='Listas y tablas'!$B$3,"Muy Baja",IF(F93&lt;='Listas y tablas'!$B$4,"Baja",IF(F93&lt;='Listas y tablas'!$B$5,"Media",IF(F93&lt;='Listas y tablas'!$B$6,"Alta","Muy Alta")))))</f>
        <v/>
      </c>
      <c r="H93" s="336" t="str">
        <f>IF(G93="","",IF(G93="Muy Baja",'Listas y tablas'!$C$3,IF(G93="Baja",'Listas y tablas'!$C$4,IF(G93="Media",'Listas y tablas'!$C$5,IF(G93="Alta",'Listas y tablas'!$C$6,IF(G93="Muy Alta",'Listas y tablas'!$C$7,))))))</f>
        <v/>
      </c>
      <c r="I93" s="338"/>
      <c r="J93" s="336">
        <f>IF(NOT(ISERROR(MATCH(I93,'Tabla Impacto'!$B$221:$B$223,0))),'Tabla Impacto'!$F$223&amp;"Por favor no seleccionar los criterios de impacto(Afectación Económica o presupuestal y Pérdida Reputacional)",I93)</f>
        <v>0</v>
      </c>
      <c r="K93" s="335" t="str">
        <f>IF(OR(J93='Tabla Impacto'!$C$11,J93='Tabla Impacto'!$D$11),"Leve",IF(OR(J93='Tabla Impacto'!$C$12,J93='Tabla Impacto'!$D$12),"Menor",IF(OR(J93='Tabla Impacto'!$C$13,J93='Tabla Impacto'!$D$13),"Moderado",IF(OR(J93='Tabla Impacto'!$C$14,J93='Tabla Impacto'!$D$14),"Mayor",IF(OR(J93='Tabla Impacto'!$C$15,J93='Tabla Impacto'!$D$15),"Catastrófico","")))))</f>
        <v/>
      </c>
      <c r="L93" s="336" t="str">
        <f>IF(K93="","",IF(K93="Leve",'Listas y tablas'!$F$3,IF(K93="Menor",'Listas y tablas'!$F$4,IF(K93="Moderado",'Listas y tablas'!$F$5,IF(K93="Mayor",'Listas y tablas'!$F$6,IF(K93="Catastrófico",'Listas y tablas'!$F$7,))))))</f>
        <v/>
      </c>
      <c r="M93" s="335" t="str">
        <f t="shared" si="25"/>
        <v/>
      </c>
      <c r="N93" s="335" t="str">
        <f t="shared" si="26"/>
        <v>G</v>
      </c>
      <c r="O93" s="337" t="e">
        <f t="shared" si="27"/>
        <v>#REF!</v>
      </c>
      <c r="P93" s="337" t="e">
        <f t="shared" si="28"/>
        <v>#REF!</v>
      </c>
      <c r="Q93" s="286"/>
      <c r="R93" s="337" t="str">
        <f t="shared" si="23"/>
        <v/>
      </c>
      <c r="S93" s="299"/>
      <c r="T93" s="299"/>
      <c r="U93" s="339" t="str">
        <f t="shared" si="24"/>
        <v/>
      </c>
      <c r="V93" s="299"/>
      <c r="W93" s="299"/>
      <c r="X93" s="299"/>
      <c r="Y93" s="346" t="str">
        <f t="shared" si="29"/>
        <v/>
      </c>
      <c r="Z93" s="154" t="str">
        <f>IFERROR(IF(Y93="","",IF(Y93&lt;='Listas y tablas'!$L$3,"Muy Baja",IF(Y93&lt;='Listas y tablas'!$L$4,"Baja",IF(Y93&lt;='Listas y tablas'!$L$5,"Media",IF(Y93&lt;='Listas y tablas'!$L$6,"Alta","Muy Alta"))))),"")</f>
        <v/>
      </c>
      <c r="AA93" s="339" t="str">
        <f t="shared" si="30"/>
        <v/>
      </c>
      <c r="AB93" s="154" t="str">
        <f>IFERROR(IF(AC93="","",IF(AC93&lt;='Listas y tablas'!$O$3,"Leve",IF(AC93&lt;='Listas y tablas'!$O$4,"Menor",IF(AC93&lt;='Listas y tablas'!$O$5,"Moderado",IF(AC93&lt;='Listas y tablas'!$O$6,"Mayor","Catastrófico"))))),"")</f>
        <v/>
      </c>
      <c r="AC93" s="339" t="str">
        <f t="shared" si="31"/>
        <v/>
      </c>
      <c r="AD93" s="154" t="str">
        <f t="shared" si="32"/>
        <v/>
      </c>
      <c r="AE93" s="299"/>
      <c r="AF93" s="300"/>
      <c r="AG93" s="300"/>
      <c r="AH93" s="300"/>
      <c r="AI93" s="273"/>
      <c r="AJ93" s="273"/>
      <c r="AK93" s="273"/>
      <c r="AL93" s="304"/>
      <c r="AM93" s="304"/>
      <c r="AN93" s="273"/>
      <c r="AO93" s="273"/>
      <c r="AP93" s="273"/>
      <c r="AQ93" s="273"/>
      <c r="AR93" s="273"/>
      <c r="AS93" s="273"/>
      <c r="AT93" s="150"/>
      <c r="AU93" s="163"/>
      <c r="AV93" s="163"/>
      <c r="AW93" s="163"/>
      <c r="AX93" s="163"/>
      <c r="AY93" s="163"/>
      <c r="AZ93" s="163"/>
      <c r="BA93" s="163"/>
      <c r="BB93" s="171"/>
      <c r="BC93" s="323"/>
      <c r="BD93" s="324"/>
      <c r="BE93" s="324"/>
      <c r="BF93" s="329"/>
      <c r="BG93" s="181"/>
      <c r="BH93" s="181"/>
      <c r="BI93" s="183"/>
      <c r="BJ93" s="323"/>
      <c r="BK93" s="327"/>
      <c r="BL93" s="192"/>
      <c r="BM93" s="193"/>
      <c r="BN93" s="194"/>
      <c r="BO93" s="194"/>
      <c r="BP93" s="194"/>
      <c r="BQ93" s="194"/>
      <c r="BR93" s="194"/>
      <c r="BS93" s="194"/>
      <c r="BT93" s="194"/>
      <c r="BU93" s="204"/>
      <c r="BV93" s="205"/>
      <c r="BW93" s="206"/>
      <c r="BX93" s="206"/>
      <c r="BY93" s="206"/>
      <c r="BZ93" s="206"/>
      <c r="CA93" s="206"/>
      <c r="CB93" s="213"/>
      <c r="CC93" s="214"/>
      <c r="CD93" s="206"/>
      <c r="CE93" s="213"/>
      <c r="CF93" s="215"/>
      <c r="CG93" s="216"/>
      <c r="CH93" s="216"/>
      <c r="CI93" s="216"/>
      <c r="CJ93" s="216"/>
      <c r="CK93" s="216"/>
      <c r="CL93" s="216"/>
      <c r="CM93" s="216"/>
      <c r="CN93" s="225"/>
      <c r="CO93" s="226"/>
      <c r="CP93" s="227"/>
      <c r="CQ93" s="227"/>
      <c r="CR93" s="227"/>
      <c r="CS93" s="227"/>
      <c r="CT93" s="227"/>
      <c r="CU93" s="234"/>
      <c r="CV93" s="226"/>
      <c r="CW93" s="227"/>
      <c r="CX93" s="234"/>
    </row>
    <row r="94" spans="1:102" ht="49.5" hidden="1" customHeight="1">
      <c r="A94" s="317"/>
      <c r="B94" s="317"/>
      <c r="C94" s="313" t="s">
        <v>284</v>
      </c>
      <c r="D94" s="313" t="s">
        <v>284</v>
      </c>
      <c r="E94" s="313"/>
      <c r="F94" s="313"/>
      <c r="G94" s="313"/>
      <c r="H94" s="313"/>
      <c r="I94" s="313"/>
      <c r="J94" s="313"/>
      <c r="K94" s="313"/>
      <c r="L94" s="313"/>
      <c r="M94" s="313"/>
      <c r="N94" s="313"/>
      <c r="O94" s="313"/>
      <c r="P94" s="313"/>
      <c r="Q94" s="313"/>
      <c r="R94" s="313"/>
      <c r="S94" s="313"/>
      <c r="T94" s="313"/>
      <c r="U94" s="313"/>
      <c r="V94" s="313"/>
      <c r="W94" s="313"/>
      <c r="X94" s="313"/>
      <c r="Y94" s="313"/>
      <c r="Z94" s="313"/>
      <c r="AA94" s="313"/>
      <c r="AB94" s="313"/>
      <c r="AC94" s="313"/>
      <c r="AD94" s="313"/>
      <c r="AE94" s="313"/>
      <c r="AF94" s="313"/>
      <c r="AG94" s="313"/>
      <c r="AH94" s="313"/>
      <c r="AI94" s="313"/>
      <c r="AJ94" s="313"/>
      <c r="AK94" s="313"/>
      <c r="AL94" s="408"/>
      <c r="AM94" s="408"/>
      <c r="AN94" s="313"/>
      <c r="AO94" s="313"/>
      <c r="AP94" s="313"/>
      <c r="AQ94" s="313"/>
      <c r="AR94" s="313"/>
      <c r="AS94" s="313"/>
    </row>
    <row r="95" spans="1:102" hidden="1">
      <c r="A95" s="257" t="s">
        <v>196</v>
      </c>
      <c r="B95" s="257" t="s">
        <v>196</v>
      </c>
      <c r="C95" s="257" t="s">
        <v>196</v>
      </c>
      <c r="D95" s="256" t="s">
        <v>196</v>
      </c>
      <c r="E95" s="256" t="s">
        <v>196</v>
      </c>
      <c r="F95" s="256" t="s">
        <v>196</v>
      </c>
      <c r="G95" s="256" t="s">
        <v>196</v>
      </c>
      <c r="H95" s="256" t="s">
        <v>196</v>
      </c>
      <c r="I95" s="256" t="s">
        <v>196</v>
      </c>
      <c r="J95" s="256" t="s">
        <v>196</v>
      </c>
      <c r="K95" s="256" t="s">
        <v>196</v>
      </c>
      <c r="L95" s="256" t="s">
        <v>196</v>
      </c>
      <c r="M95" s="256" t="s">
        <v>196</v>
      </c>
      <c r="N95" s="256" t="s">
        <v>196</v>
      </c>
      <c r="O95" s="256" t="s">
        <v>196</v>
      </c>
      <c r="P95" s="256" t="s">
        <v>196</v>
      </c>
      <c r="Q95" s="256" t="s">
        <v>196</v>
      </c>
      <c r="R95" s="256" t="s">
        <v>196</v>
      </c>
      <c r="S95" s="256" t="s">
        <v>196</v>
      </c>
      <c r="T95" s="256" t="s">
        <v>196</v>
      </c>
      <c r="U95" s="256" t="s">
        <v>196</v>
      </c>
      <c r="V95" s="256" t="s">
        <v>196</v>
      </c>
      <c r="W95" s="256" t="s">
        <v>196</v>
      </c>
      <c r="X95" s="256" t="s">
        <v>196</v>
      </c>
      <c r="Y95" s="256" t="s">
        <v>196</v>
      </c>
      <c r="Z95" s="256" t="s">
        <v>196</v>
      </c>
      <c r="AA95" s="256" t="s">
        <v>196</v>
      </c>
      <c r="AB95" s="256" t="s">
        <v>196</v>
      </c>
      <c r="AC95" s="256" t="s">
        <v>196</v>
      </c>
      <c r="AD95" s="256" t="s">
        <v>196</v>
      </c>
      <c r="AE95" s="256" t="s">
        <v>196</v>
      </c>
      <c r="AF95" s="256" t="s">
        <v>196</v>
      </c>
      <c r="AG95" s="256" t="s">
        <v>196</v>
      </c>
      <c r="AI95" s="256" t="s">
        <v>196</v>
      </c>
      <c r="AJ95" s="256" t="s">
        <v>196</v>
      </c>
      <c r="AK95" s="256" t="s">
        <v>196</v>
      </c>
      <c r="AL95" s="333" t="s">
        <v>196</v>
      </c>
      <c r="AM95" s="333" t="s">
        <v>196</v>
      </c>
      <c r="AN95" s="256" t="s">
        <v>196</v>
      </c>
      <c r="AO95" s="256" t="s">
        <v>196</v>
      </c>
      <c r="AP95" s="256" t="s">
        <v>196</v>
      </c>
      <c r="AQ95" s="256" t="s">
        <v>196</v>
      </c>
      <c r="AR95" s="256" t="s">
        <v>196</v>
      </c>
      <c r="AS95" s="256" t="s">
        <v>196</v>
      </c>
    </row>
    <row r="96" spans="1:102">
      <c r="A96" s="256"/>
      <c r="B96" s="256"/>
      <c r="C96" s="256"/>
    </row>
  </sheetData>
  <autoFilter ref="A6:CX95">
    <filterColumn colId="1">
      <filters>
        <filter val="Gestión Territorial del Patrimonio"/>
      </filters>
    </filterColumn>
  </autoFilter>
  <mergeCells count="587">
    <mergeCell ref="BL83:BL86"/>
    <mergeCell ref="CC5:CC6"/>
    <mergeCell ref="CD5:CD6"/>
    <mergeCell ref="CE5:CE6"/>
    <mergeCell ref="CV5:CV6"/>
    <mergeCell ref="CW5:CW6"/>
    <mergeCell ref="CX5:CX6"/>
    <mergeCell ref="AN3:AS4"/>
    <mergeCell ref="A1:AE2"/>
    <mergeCell ref="AI3:AM4"/>
    <mergeCell ref="Y3:AE5"/>
    <mergeCell ref="AF3:AH5"/>
    <mergeCell ref="BL54:BL55"/>
    <mergeCell ref="BL56:BL58"/>
    <mergeCell ref="BL60:BL61"/>
    <mergeCell ref="BL64:BL65"/>
    <mergeCell ref="BL66:BL67"/>
    <mergeCell ref="BL68:BL69"/>
    <mergeCell ref="BL70:BL71"/>
    <mergeCell ref="BL73:BL75"/>
    <mergeCell ref="BL81:BL82"/>
    <mergeCell ref="BL24:BL25"/>
    <mergeCell ref="BL26:BL28"/>
    <mergeCell ref="BL29:BL30"/>
    <mergeCell ref="BL31:BL32"/>
    <mergeCell ref="BL37:BL38"/>
    <mergeCell ref="BL41:BL42"/>
    <mergeCell ref="BL43:BL44"/>
    <mergeCell ref="BL48:BL49"/>
    <mergeCell ref="BL50:BL51"/>
    <mergeCell ref="AU15:AU18"/>
    <mergeCell ref="AU19:AU22"/>
    <mergeCell ref="BC15:BC18"/>
    <mergeCell ref="BC19:BC22"/>
    <mergeCell ref="BD15:BD18"/>
    <mergeCell ref="BD19:BD22"/>
    <mergeCell ref="BJ5:BJ6"/>
    <mergeCell ref="BK5:BK6"/>
    <mergeCell ref="BL5:BL6"/>
    <mergeCell ref="BL7:BL8"/>
    <mergeCell ref="BL11:BL12"/>
    <mergeCell ref="BL15:BL18"/>
    <mergeCell ref="BL19:BL22"/>
    <mergeCell ref="AP15:AP18"/>
    <mergeCell ref="AP19:AP22"/>
    <mergeCell ref="AQ15:AQ18"/>
    <mergeCell ref="AQ19:AQ22"/>
    <mergeCell ref="AR15:AR18"/>
    <mergeCell ref="AR19:AR22"/>
    <mergeCell ref="AS15:AS18"/>
    <mergeCell ref="AS19:AS22"/>
    <mergeCell ref="AT15:AT18"/>
    <mergeCell ref="AT19:AT22"/>
    <mergeCell ref="AF15:AF18"/>
    <mergeCell ref="AF19:AF22"/>
    <mergeCell ref="AG15:AG18"/>
    <mergeCell ref="AG19:AG22"/>
    <mergeCell ref="AH15:AH18"/>
    <mergeCell ref="AH19:AH22"/>
    <mergeCell ref="AN15:AN18"/>
    <mergeCell ref="AN19:AN22"/>
    <mergeCell ref="AO15:AO18"/>
    <mergeCell ref="AO19:AO22"/>
    <mergeCell ref="AD83:AD86"/>
    <mergeCell ref="AE7:AE8"/>
    <mergeCell ref="AE11:AE12"/>
    <mergeCell ref="AE15:AE18"/>
    <mergeCell ref="AE19:AE22"/>
    <mergeCell ref="AE26:AE28"/>
    <mergeCell ref="AE29:AE30"/>
    <mergeCell ref="AE31:AE32"/>
    <mergeCell ref="AE37:AE38"/>
    <mergeCell ref="AE41:AE42"/>
    <mergeCell ref="AE43:AE44"/>
    <mergeCell ref="AE50:AE51"/>
    <mergeCell ref="AE54:AE55"/>
    <mergeCell ref="AE56:AE58"/>
    <mergeCell ref="AE60:AE61"/>
    <mergeCell ref="AE64:AE65"/>
    <mergeCell ref="AE66:AE67"/>
    <mergeCell ref="AE68:AE69"/>
    <mergeCell ref="AE70:AE71"/>
    <mergeCell ref="AE73:AE75"/>
    <mergeCell ref="AE81:AE82"/>
    <mergeCell ref="AE83:AE86"/>
    <mergeCell ref="AC81:AC82"/>
    <mergeCell ref="AC83:AC86"/>
    <mergeCell ref="AD7:AD8"/>
    <mergeCell ref="AD11:AD12"/>
    <mergeCell ref="AD15:AD18"/>
    <mergeCell ref="AD19:AD22"/>
    <mergeCell ref="AD24:AD25"/>
    <mergeCell ref="AD26:AD28"/>
    <mergeCell ref="AD29:AD30"/>
    <mergeCell ref="AD31:AD32"/>
    <mergeCell ref="AD37:AD38"/>
    <mergeCell ref="AD41:AD42"/>
    <mergeCell ref="AD43:AD44"/>
    <mergeCell ref="AD48:AD49"/>
    <mergeCell ref="AD50:AD51"/>
    <mergeCell ref="AD54:AD55"/>
    <mergeCell ref="AD56:AD58"/>
    <mergeCell ref="AD60:AD61"/>
    <mergeCell ref="AD64:AD65"/>
    <mergeCell ref="AD66:AD67"/>
    <mergeCell ref="AD68:AD69"/>
    <mergeCell ref="AD70:AD71"/>
    <mergeCell ref="AD73:AD75"/>
    <mergeCell ref="AD81:AD82"/>
    <mergeCell ref="AB81:AB82"/>
    <mergeCell ref="AB83:AB86"/>
    <mergeCell ref="AC7:AC8"/>
    <mergeCell ref="AC11:AC12"/>
    <mergeCell ref="AC15:AC18"/>
    <mergeCell ref="AC19:AC22"/>
    <mergeCell ref="AC24:AC25"/>
    <mergeCell ref="AC26:AC28"/>
    <mergeCell ref="AC29:AC30"/>
    <mergeCell ref="AC31:AC32"/>
    <mergeCell ref="AC37:AC38"/>
    <mergeCell ref="AC39:AC40"/>
    <mergeCell ref="AC41:AC42"/>
    <mergeCell ref="AC43:AC44"/>
    <mergeCell ref="AC48:AC49"/>
    <mergeCell ref="AC50:AC51"/>
    <mergeCell ref="AC54:AC55"/>
    <mergeCell ref="AC56:AC58"/>
    <mergeCell ref="AC60:AC61"/>
    <mergeCell ref="AC64:AC65"/>
    <mergeCell ref="AC66:AC67"/>
    <mergeCell ref="AC68:AC69"/>
    <mergeCell ref="AC70:AC71"/>
    <mergeCell ref="AC73:AC75"/>
    <mergeCell ref="AA81:AA82"/>
    <mergeCell ref="AA83:AA86"/>
    <mergeCell ref="AB7:AB8"/>
    <mergeCell ref="AB11:AB12"/>
    <mergeCell ref="AB15:AB18"/>
    <mergeCell ref="AB19:AB22"/>
    <mergeCell ref="AB24:AB25"/>
    <mergeCell ref="AB26:AB28"/>
    <mergeCell ref="AB29:AB30"/>
    <mergeCell ref="AB31:AB32"/>
    <mergeCell ref="AB37:AB38"/>
    <mergeCell ref="AB39:AB40"/>
    <mergeCell ref="AB41:AB42"/>
    <mergeCell ref="AB43:AB44"/>
    <mergeCell ref="AB48:AB49"/>
    <mergeCell ref="AB50:AB51"/>
    <mergeCell ref="AB54:AB55"/>
    <mergeCell ref="AB56:AB58"/>
    <mergeCell ref="AB60:AB61"/>
    <mergeCell ref="AB64:AB65"/>
    <mergeCell ref="AB66:AB67"/>
    <mergeCell ref="AB68:AB69"/>
    <mergeCell ref="AB70:AB71"/>
    <mergeCell ref="AB73:AB75"/>
    <mergeCell ref="Z81:Z82"/>
    <mergeCell ref="Z83:Z86"/>
    <mergeCell ref="AA7:AA8"/>
    <mergeCell ref="AA11:AA12"/>
    <mergeCell ref="AA15:AA18"/>
    <mergeCell ref="AA19:AA22"/>
    <mergeCell ref="AA24:AA25"/>
    <mergeCell ref="AA26:AA28"/>
    <mergeCell ref="AA29:AA30"/>
    <mergeCell ref="AA31:AA32"/>
    <mergeCell ref="AA37:AA38"/>
    <mergeCell ref="AA39:AA40"/>
    <mergeCell ref="AA41:AA42"/>
    <mergeCell ref="AA43:AA44"/>
    <mergeCell ref="AA48:AA49"/>
    <mergeCell ref="AA50:AA51"/>
    <mergeCell ref="AA54:AA55"/>
    <mergeCell ref="AA56:AA58"/>
    <mergeCell ref="AA60:AA61"/>
    <mergeCell ref="AA64:AA65"/>
    <mergeCell ref="AA66:AA67"/>
    <mergeCell ref="AA68:AA69"/>
    <mergeCell ref="AA70:AA71"/>
    <mergeCell ref="AA73:AA75"/>
    <mergeCell ref="Y81:Y82"/>
    <mergeCell ref="Y83:Y86"/>
    <mergeCell ref="Z7:Z8"/>
    <mergeCell ref="Z11:Z12"/>
    <mergeCell ref="Z15:Z18"/>
    <mergeCell ref="Z19:Z22"/>
    <mergeCell ref="Z24:Z25"/>
    <mergeCell ref="Z26:Z28"/>
    <mergeCell ref="Z29:Z30"/>
    <mergeCell ref="Z31:Z32"/>
    <mergeCell ref="Z37:Z38"/>
    <mergeCell ref="Z39:Z40"/>
    <mergeCell ref="Z41:Z42"/>
    <mergeCell ref="Z43:Z44"/>
    <mergeCell ref="Z48:Z49"/>
    <mergeCell ref="Z50:Z51"/>
    <mergeCell ref="Z54:Z55"/>
    <mergeCell ref="Z56:Z58"/>
    <mergeCell ref="Z60:Z61"/>
    <mergeCell ref="Z64:Z65"/>
    <mergeCell ref="Z66:Z67"/>
    <mergeCell ref="Z68:Z69"/>
    <mergeCell ref="Z70:Z71"/>
    <mergeCell ref="Z73:Z75"/>
    <mergeCell ref="Y50:Y51"/>
    <mergeCell ref="Y54:Y55"/>
    <mergeCell ref="Y56:Y58"/>
    <mergeCell ref="Y60:Y61"/>
    <mergeCell ref="Y64:Y65"/>
    <mergeCell ref="Y66:Y67"/>
    <mergeCell ref="Y68:Y69"/>
    <mergeCell ref="Y70:Y71"/>
    <mergeCell ref="Y73:Y75"/>
    <mergeCell ref="Y24:Y25"/>
    <mergeCell ref="Y26:Y28"/>
    <mergeCell ref="Y29:Y30"/>
    <mergeCell ref="Y31:Y32"/>
    <mergeCell ref="Y37:Y38"/>
    <mergeCell ref="Y39:Y40"/>
    <mergeCell ref="Y41:Y42"/>
    <mergeCell ref="Y43:Y44"/>
    <mergeCell ref="Y48:Y49"/>
    <mergeCell ref="V15:V18"/>
    <mergeCell ref="V19:V22"/>
    <mergeCell ref="W15:W18"/>
    <mergeCell ref="W19:W22"/>
    <mergeCell ref="X15:X18"/>
    <mergeCell ref="X19:X22"/>
    <mergeCell ref="Y7:Y8"/>
    <mergeCell ref="Y11:Y12"/>
    <mergeCell ref="Y15:Y18"/>
    <mergeCell ref="Y19:Y22"/>
    <mergeCell ref="Q15:Q18"/>
    <mergeCell ref="Q19:Q22"/>
    <mergeCell ref="R15:R18"/>
    <mergeCell ref="R19:R22"/>
    <mergeCell ref="S15:S18"/>
    <mergeCell ref="S19:S22"/>
    <mergeCell ref="T15:T18"/>
    <mergeCell ref="T19:T22"/>
    <mergeCell ref="U15:U18"/>
    <mergeCell ref="U19:U22"/>
    <mergeCell ref="M70:M71"/>
    <mergeCell ref="M73:M75"/>
    <mergeCell ref="M81:M82"/>
    <mergeCell ref="M83:M86"/>
    <mergeCell ref="N15:N18"/>
    <mergeCell ref="N19:N22"/>
    <mergeCell ref="O15:O18"/>
    <mergeCell ref="O19:O22"/>
    <mergeCell ref="P15:P18"/>
    <mergeCell ref="P19:P22"/>
    <mergeCell ref="L70:L71"/>
    <mergeCell ref="L73:L75"/>
    <mergeCell ref="L81:L82"/>
    <mergeCell ref="L83:L86"/>
    <mergeCell ref="M7:M8"/>
    <mergeCell ref="M11:M12"/>
    <mergeCell ref="M15:M18"/>
    <mergeCell ref="M19:M22"/>
    <mergeCell ref="M24:M25"/>
    <mergeCell ref="M26:M28"/>
    <mergeCell ref="M29:M30"/>
    <mergeCell ref="M31:M32"/>
    <mergeCell ref="M37:M38"/>
    <mergeCell ref="M39:M40"/>
    <mergeCell ref="M41:M42"/>
    <mergeCell ref="M43:M44"/>
    <mergeCell ref="M48:M49"/>
    <mergeCell ref="M50:M51"/>
    <mergeCell ref="M54:M55"/>
    <mergeCell ref="M56:M58"/>
    <mergeCell ref="M60:M61"/>
    <mergeCell ref="M64:M65"/>
    <mergeCell ref="M66:M67"/>
    <mergeCell ref="M68:M69"/>
    <mergeCell ref="K70:K71"/>
    <mergeCell ref="K73:K75"/>
    <mergeCell ref="K81:K82"/>
    <mergeCell ref="K83:K86"/>
    <mergeCell ref="L7:L8"/>
    <mergeCell ref="L11:L12"/>
    <mergeCell ref="L15:L18"/>
    <mergeCell ref="L19:L22"/>
    <mergeCell ref="L24:L25"/>
    <mergeCell ref="L26:L28"/>
    <mergeCell ref="L29:L30"/>
    <mergeCell ref="L31:L32"/>
    <mergeCell ref="L37:L38"/>
    <mergeCell ref="L39:L40"/>
    <mergeCell ref="L41:L42"/>
    <mergeCell ref="L43:L44"/>
    <mergeCell ref="L48:L49"/>
    <mergeCell ref="L50:L51"/>
    <mergeCell ref="L54:L55"/>
    <mergeCell ref="L56:L58"/>
    <mergeCell ref="L60:L61"/>
    <mergeCell ref="L64:L65"/>
    <mergeCell ref="L66:L67"/>
    <mergeCell ref="L68:L69"/>
    <mergeCell ref="J70:J71"/>
    <mergeCell ref="J73:J75"/>
    <mergeCell ref="J81:J82"/>
    <mergeCell ref="J83:J86"/>
    <mergeCell ref="K7:K8"/>
    <mergeCell ref="K11:K12"/>
    <mergeCell ref="K15:K18"/>
    <mergeCell ref="K19:K22"/>
    <mergeCell ref="K24:K25"/>
    <mergeCell ref="K26:K28"/>
    <mergeCell ref="K29:K30"/>
    <mergeCell ref="K31:K32"/>
    <mergeCell ref="K37:K38"/>
    <mergeCell ref="K39:K40"/>
    <mergeCell ref="K41:K42"/>
    <mergeCell ref="K43:K44"/>
    <mergeCell ref="K48:K49"/>
    <mergeCell ref="K50:K51"/>
    <mergeCell ref="K54:K55"/>
    <mergeCell ref="K56:K58"/>
    <mergeCell ref="K60:K61"/>
    <mergeCell ref="K64:K65"/>
    <mergeCell ref="K66:K67"/>
    <mergeCell ref="K68:K69"/>
    <mergeCell ref="I70:I71"/>
    <mergeCell ref="I73:I75"/>
    <mergeCell ref="I81:I82"/>
    <mergeCell ref="I83:I86"/>
    <mergeCell ref="J7:J8"/>
    <mergeCell ref="J11:J12"/>
    <mergeCell ref="J15:J18"/>
    <mergeCell ref="J19:J22"/>
    <mergeCell ref="J24:J25"/>
    <mergeCell ref="J26:J28"/>
    <mergeCell ref="J29:J30"/>
    <mergeCell ref="J31:J32"/>
    <mergeCell ref="J37:J38"/>
    <mergeCell ref="J39:J40"/>
    <mergeCell ref="J41:J42"/>
    <mergeCell ref="J43:J44"/>
    <mergeCell ref="J48:J49"/>
    <mergeCell ref="J50:J51"/>
    <mergeCell ref="J54:J55"/>
    <mergeCell ref="J56:J58"/>
    <mergeCell ref="J60:J61"/>
    <mergeCell ref="J64:J65"/>
    <mergeCell ref="J66:J67"/>
    <mergeCell ref="J68:J69"/>
    <mergeCell ref="H70:H71"/>
    <mergeCell ref="H73:H75"/>
    <mergeCell ref="H81:H82"/>
    <mergeCell ref="H83:H86"/>
    <mergeCell ref="I7:I8"/>
    <mergeCell ref="I11:I12"/>
    <mergeCell ref="I15:I18"/>
    <mergeCell ref="I19:I22"/>
    <mergeCell ref="I24:I25"/>
    <mergeCell ref="I26:I28"/>
    <mergeCell ref="I29:I30"/>
    <mergeCell ref="I31:I32"/>
    <mergeCell ref="I37:I38"/>
    <mergeCell ref="I39:I40"/>
    <mergeCell ref="I41:I42"/>
    <mergeCell ref="I43:I44"/>
    <mergeCell ref="I48:I49"/>
    <mergeCell ref="I50:I51"/>
    <mergeCell ref="I54:I55"/>
    <mergeCell ref="I56:I58"/>
    <mergeCell ref="I60:I61"/>
    <mergeCell ref="I64:I65"/>
    <mergeCell ref="I66:I67"/>
    <mergeCell ref="I68:I69"/>
    <mergeCell ref="G70:G71"/>
    <mergeCell ref="G73:G75"/>
    <mergeCell ref="G81:G82"/>
    <mergeCell ref="G83:G86"/>
    <mergeCell ref="H7:H8"/>
    <mergeCell ref="H11:H12"/>
    <mergeCell ref="H15:H18"/>
    <mergeCell ref="H19:H22"/>
    <mergeCell ref="H24:H25"/>
    <mergeCell ref="H26:H28"/>
    <mergeCell ref="H29:H30"/>
    <mergeCell ref="H31:H32"/>
    <mergeCell ref="H37:H38"/>
    <mergeCell ref="H39:H40"/>
    <mergeCell ref="H41:H42"/>
    <mergeCell ref="H43:H44"/>
    <mergeCell ref="H48:H49"/>
    <mergeCell ref="H50:H51"/>
    <mergeCell ref="H54:H55"/>
    <mergeCell ref="H56:H58"/>
    <mergeCell ref="H60:H61"/>
    <mergeCell ref="H64:H65"/>
    <mergeCell ref="H66:H67"/>
    <mergeCell ref="H68:H69"/>
    <mergeCell ref="F70:F71"/>
    <mergeCell ref="F73:F75"/>
    <mergeCell ref="F81:F82"/>
    <mergeCell ref="F83:F86"/>
    <mergeCell ref="G7:G8"/>
    <mergeCell ref="G11:G12"/>
    <mergeCell ref="G15:G18"/>
    <mergeCell ref="G19:G22"/>
    <mergeCell ref="G24:G25"/>
    <mergeCell ref="G26:G28"/>
    <mergeCell ref="G29:G30"/>
    <mergeCell ref="G31:G32"/>
    <mergeCell ref="G37:G38"/>
    <mergeCell ref="G39:G40"/>
    <mergeCell ref="G41:G42"/>
    <mergeCell ref="G43:G44"/>
    <mergeCell ref="G48:G49"/>
    <mergeCell ref="G50:G51"/>
    <mergeCell ref="G54:G55"/>
    <mergeCell ref="G56:G58"/>
    <mergeCell ref="G60:G61"/>
    <mergeCell ref="G64:G65"/>
    <mergeCell ref="G66:G67"/>
    <mergeCell ref="G68:G69"/>
    <mergeCell ref="F41:F42"/>
    <mergeCell ref="F43:F44"/>
    <mergeCell ref="F48:F49"/>
    <mergeCell ref="F50:F51"/>
    <mergeCell ref="F54:F55"/>
    <mergeCell ref="F56:F58"/>
    <mergeCell ref="F60:F61"/>
    <mergeCell ref="F66:F67"/>
    <mergeCell ref="F68:F69"/>
    <mergeCell ref="F7:F8"/>
    <mergeCell ref="F15:F18"/>
    <mergeCell ref="F19:F22"/>
    <mergeCell ref="F24:F25"/>
    <mergeCell ref="F26:F28"/>
    <mergeCell ref="F29:F30"/>
    <mergeCell ref="F31:F32"/>
    <mergeCell ref="F37:F38"/>
    <mergeCell ref="F39:F40"/>
    <mergeCell ref="D81:D82"/>
    <mergeCell ref="D83:D86"/>
    <mergeCell ref="E7:E8"/>
    <mergeCell ref="E15:E18"/>
    <mergeCell ref="E19:E22"/>
    <mergeCell ref="E24:E25"/>
    <mergeCell ref="E26:E28"/>
    <mergeCell ref="E29:E30"/>
    <mergeCell ref="E31:E32"/>
    <mergeCell ref="E37:E38"/>
    <mergeCell ref="E39:E40"/>
    <mergeCell ref="E41:E42"/>
    <mergeCell ref="E43:E44"/>
    <mergeCell ref="E48:E49"/>
    <mergeCell ref="E50:E51"/>
    <mergeCell ref="E54:E55"/>
    <mergeCell ref="E56:E58"/>
    <mergeCell ref="E60:E61"/>
    <mergeCell ref="E66:E67"/>
    <mergeCell ref="E68:E69"/>
    <mergeCell ref="E70:E71"/>
    <mergeCell ref="E73:E75"/>
    <mergeCell ref="E81:E82"/>
    <mergeCell ref="E83:E86"/>
    <mergeCell ref="C73:C75"/>
    <mergeCell ref="C81:C82"/>
    <mergeCell ref="C83:C86"/>
    <mergeCell ref="D7:D8"/>
    <mergeCell ref="D11:D12"/>
    <mergeCell ref="D15:D18"/>
    <mergeCell ref="D19:D22"/>
    <mergeCell ref="D24:D25"/>
    <mergeCell ref="D26:D28"/>
    <mergeCell ref="D29:D30"/>
    <mergeCell ref="D31:D32"/>
    <mergeCell ref="D37:D38"/>
    <mergeCell ref="D39:D40"/>
    <mergeCell ref="D41:D42"/>
    <mergeCell ref="D43:D44"/>
    <mergeCell ref="D48:D49"/>
    <mergeCell ref="D50:D51"/>
    <mergeCell ref="D54:D55"/>
    <mergeCell ref="D56:D58"/>
    <mergeCell ref="D60:D61"/>
    <mergeCell ref="D66:D67"/>
    <mergeCell ref="D68:D69"/>
    <mergeCell ref="D70:D71"/>
    <mergeCell ref="D73:D75"/>
    <mergeCell ref="B70:B71"/>
    <mergeCell ref="B73:B75"/>
    <mergeCell ref="B81:B82"/>
    <mergeCell ref="B83:B86"/>
    <mergeCell ref="C7:C8"/>
    <mergeCell ref="C11:C12"/>
    <mergeCell ref="C15:C18"/>
    <mergeCell ref="C19:C22"/>
    <mergeCell ref="C24:C25"/>
    <mergeCell ref="C26:C28"/>
    <mergeCell ref="C29:C30"/>
    <mergeCell ref="C31:C32"/>
    <mergeCell ref="C37:C38"/>
    <mergeCell ref="C39:C40"/>
    <mergeCell ref="C41:C42"/>
    <mergeCell ref="C43:C44"/>
    <mergeCell ref="C48:C49"/>
    <mergeCell ref="C50:C51"/>
    <mergeCell ref="C54:C55"/>
    <mergeCell ref="C56:C58"/>
    <mergeCell ref="C60:C61"/>
    <mergeCell ref="C66:C67"/>
    <mergeCell ref="C68:C69"/>
    <mergeCell ref="C70:C71"/>
    <mergeCell ref="A68:A69"/>
    <mergeCell ref="A70:A71"/>
    <mergeCell ref="A73:A75"/>
    <mergeCell ref="A81:A82"/>
    <mergeCell ref="A83:A86"/>
    <mergeCell ref="B7:B8"/>
    <mergeCell ref="B11:B12"/>
    <mergeCell ref="B15:B18"/>
    <mergeCell ref="B19:B22"/>
    <mergeCell ref="B24:B25"/>
    <mergeCell ref="B26:B28"/>
    <mergeCell ref="B29:B30"/>
    <mergeCell ref="B31:B32"/>
    <mergeCell ref="B37:B38"/>
    <mergeCell ref="B39:B40"/>
    <mergeCell ref="B41:B42"/>
    <mergeCell ref="B43:B44"/>
    <mergeCell ref="B48:B49"/>
    <mergeCell ref="B50:B51"/>
    <mergeCell ref="B54:B55"/>
    <mergeCell ref="B56:B58"/>
    <mergeCell ref="B60:B61"/>
    <mergeCell ref="B66:B67"/>
    <mergeCell ref="B68:B69"/>
    <mergeCell ref="A39:A40"/>
    <mergeCell ref="A41:A42"/>
    <mergeCell ref="A43:A44"/>
    <mergeCell ref="A48:A49"/>
    <mergeCell ref="A50:A51"/>
    <mergeCell ref="A54:A55"/>
    <mergeCell ref="A56:A58"/>
    <mergeCell ref="A60:A61"/>
    <mergeCell ref="A66:A67"/>
    <mergeCell ref="A7:A8"/>
    <mergeCell ref="A11:A12"/>
    <mergeCell ref="A15:A18"/>
    <mergeCell ref="A19:A22"/>
    <mergeCell ref="A24:A25"/>
    <mergeCell ref="A26:A28"/>
    <mergeCell ref="A29:A30"/>
    <mergeCell ref="A31:A32"/>
    <mergeCell ref="A37:A38"/>
    <mergeCell ref="BV5:BW5"/>
    <mergeCell ref="BX5:BY5"/>
    <mergeCell ref="CA5:CB5"/>
    <mergeCell ref="CF5:CG5"/>
    <mergeCell ref="CH5:CK5"/>
    <mergeCell ref="CM5:CN5"/>
    <mergeCell ref="CO5:CP5"/>
    <mergeCell ref="CQ5:CR5"/>
    <mergeCell ref="CT5:CU5"/>
    <mergeCell ref="AT5:AU5"/>
    <mergeCell ref="AV5:AY5"/>
    <mergeCell ref="BA5:BB5"/>
    <mergeCell ref="BC5:BD5"/>
    <mergeCell ref="BE5:BF5"/>
    <mergeCell ref="BH5:BI5"/>
    <mergeCell ref="BM5:BN5"/>
    <mergeCell ref="BO5:BR5"/>
    <mergeCell ref="BT5:BU5"/>
    <mergeCell ref="A3:D3"/>
    <mergeCell ref="E3:M3"/>
    <mergeCell ref="O3:X3"/>
    <mergeCell ref="AT3:BL3"/>
    <mergeCell ref="BM3:CE3"/>
    <mergeCell ref="CF3:CX3"/>
    <mergeCell ref="S4:X4"/>
    <mergeCell ref="AT4:BB4"/>
    <mergeCell ref="BC4:BI4"/>
    <mergeCell ref="BJ4:BL4"/>
    <mergeCell ref="BM4:BU4"/>
    <mergeCell ref="BV4:CB4"/>
    <mergeCell ref="CC4:CE4"/>
    <mergeCell ref="CF4:CN4"/>
    <mergeCell ref="CO4:CU4"/>
    <mergeCell ref="CV4:CX4"/>
  </mergeCells>
  <conditionalFormatting sqref="G7">
    <cfRule type="cellIs" dxfId="114" priority="1078" operator="equal">
      <formula>"Muy Alta"</formula>
    </cfRule>
    <cfRule type="cellIs" dxfId="113" priority="1079" operator="equal">
      <formula>"Alta"</formula>
    </cfRule>
    <cfRule type="cellIs" dxfId="112" priority="1080" operator="equal">
      <formula>"Media"</formula>
    </cfRule>
    <cfRule type="cellIs" dxfId="111" priority="1081" operator="equal">
      <formula>"Baja"</formula>
    </cfRule>
    <cfRule type="cellIs" dxfId="110" priority="1082" operator="equal">
      <formula>"Muy Baja"</formula>
    </cfRule>
  </conditionalFormatting>
  <conditionalFormatting sqref="J7">
    <cfRule type="containsText" dxfId="109" priority="1068" operator="containsText" text="❌">
      <formula>NOT(ISERROR(SEARCH("❌",J7)))</formula>
    </cfRule>
  </conditionalFormatting>
  <conditionalFormatting sqref="K7">
    <cfRule type="cellIs" dxfId="108" priority="1073" operator="equal">
      <formula>"Catastrófico"</formula>
    </cfRule>
    <cfRule type="cellIs" dxfId="107" priority="1074" operator="equal">
      <formula>"Mayor"</formula>
    </cfRule>
    <cfRule type="cellIs" dxfId="106" priority="1075" operator="equal">
      <formula>"Moderado"</formula>
    </cfRule>
    <cfRule type="cellIs" dxfId="105" priority="1076" operator="equal">
      <formula>"Menor"</formula>
    </cfRule>
    <cfRule type="cellIs" dxfId="104" priority="1077" operator="equal">
      <formula>"Leve"</formula>
    </cfRule>
  </conditionalFormatting>
  <conditionalFormatting sqref="M7:N7">
    <cfRule type="cellIs" dxfId="103" priority="1069" operator="equal">
      <formula>"Extremo"</formula>
    </cfRule>
    <cfRule type="cellIs" dxfId="102" priority="1070" operator="equal">
      <formula>"Alto"</formula>
    </cfRule>
    <cfRule type="cellIs" dxfId="101" priority="1071" operator="equal">
      <formula>"Moderado"</formula>
    </cfRule>
    <cfRule type="cellIs" dxfId="100" priority="1072" operator="equal">
      <formula>"Bajo"</formula>
    </cfRule>
  </conditionalFormatting>
  <conditionalFormatting sqref="Z7">
    <cfRule type="cellIs" dxfId="99" priority="1181" operator="equal">
      <formula>"Muy Alta"</formula>
    </cfRule>
    <cfRule type="cellIs" dxfId="98" priority="1182" operator="equal">
      <formula>"Alta"</formula>
    </cfRule>
    <cfRule type="cellIs" dxfId="97" priority="1183" operator="equal">
      <formula>"Media"</formula>
    </cfRule>
    <cfRule type="cellIs" dxfId="96" priority="1184" operator="equal">
      <formula>"Baja"</formula>
    </cfRule>
    <cfRule type="cellIs" dxfId="95" priority="1185" operator="equal">
      <formula>"Muy Baja"</formula>
    </cfRule>
  </conditionalFormatting>
  <conditionalFormatting sqref="AB7">
    <cfRule type="cellIs" dxfId="94" priority="1176" operator="equal">
      <formula>"Catastrófico"</formula>
    </cfRule>
    <cfRule type="cellIs" dxfId="93" priority="1177" operator="equal">
      <formula>"Mayor"</formula>
    </cfRule>
    <cfRule type="cellIs" dxfId="92" priority="1178" operator="equal">
      <formula>"Moderado"</formula>
    </cfRule>
    <cfRule type="cellIs" dxfId="91" priority="1179" operator="equal">
      <formula>"Menor"</formula>
    </cfRule>
    <cfRule type="cellIs" dxfId="90" priority="1180" operator="equal">
      <formula>"Leve"</formula>
    </cfRule>
  </conditionalFormatting>
  <conditionalFormatting sqref="AB9">
    <cfRule type="cellIs" dxfId="89" priority="1110" operator="equal">
      <formula>"Catastrófico"</formula>
    </cfRule>
    <cfRule type="cellIs" dxfId="88" priority="1111" operator="equal">
      <formula>"Mayor"</formula>
    </cfRule>
    <cfRule type="cellIs" dxfId="87" priority="1112" operator="equal">
      <formula>"Moderado"</formula>
    </cfRule>
    <cfRule type="cellIs" dxfId="86" priority="1113" operator="equal">
      <formula>"Menor"</formula>
    </cfRule>
    <cfRule type="cellIs" dxfId="85" priority="1114" operator="equal">
      <formula>"Leve"</formula>
    </cfRule>
  </conditionalFormatting>
  <conditionalFormatting sqref="N55">
    <cfRule type="cellIs" dxfId="84" priority="8" operator="equal">
      <formula>"Extremo"</formula>
    </cfRule>
    <cfRule type="cellIs" dxfId="83" priority="9" operator="equal">
      <formula>"Alto"</formula>
    </cfRule>
    <cfRule type="cellIs" dxfId="82" priority="10" operator="equal">
      <formula>"Moderado"</formula>
    </cfRule>
    <cfRule type="cellIs" dxfId="81" priority="11" operator="equal">
      <formula>"Bajo"</formula>
    </cfRule>
  </conditionalFormatting>
  <conditionalFormatting sqref="CL64">
    <cfRule type="cellIs" dxfId="80" priority="2" operator="equal">
      <formula>"sí"</formula>
    </cfRule>
  </conditionalFormatting>
  <conditionalFormatting sqref="CL65">
    <cfRule type="cellIs" dxfId="79" priority="1" operator="equal">
      <formula>"sí"</formula>
    </cfRule>
  </conditionalFormatting>
  <conditionalFormatting sqref="AZ69">
    <cfRule type="cellIs" dxfId="78" priority="3" operator="equal">
      <formula>"sí"</formula>
    </cfRule>
  </conditionalFormatting>
  <conditionalFormatting sqref="AZ81:AZ86">
    <cfRule type="cellIs" dxfId="77" priority="4" operator="equal">
      <formula>"sí"</formula>
    </cfRule>
  </conditionalFormatting>
  <dataValidations count="1">
    <dataValidation type="list" allowBlank="1" showInputMessage="1" showErrorMessage="1" sqref="BL7 BL9">
      <formula1>#N/A</formula1>
    </dataValidation>
  </dataValidations>
  <pageMargins left="0.70866141732283505" right="0.70866141732283505" top="0.74803149606299202" bottom="0.74803149606299202" header="0.31496062992126" footer="0.31496062992126"/>
  <pageSetup orientation="landscape"/>
  <headerFooter>
    <oddFooter>&amp;LVersión 3  02/05/2022</oddFooter>
  </headerFooter>
  <legacyDrawing r:id="rId1"/>
  <extLst>
    <ext xmlns:x14="http://schemas.microsoft.com/office/spreadsheetml/2009/9/main" uri="{CCE6A557-97BC-4b89-ADB6-D9C93CAAB3DF}">
      <x14:dataValidations xmlns:xm="http://schemas.microsoft.com/office/excel/2006/main" count="13">
        <x14:dataValidation type="list" allowBlank="1" showInputMessage="1" showErrorMessage="1">
          <x14:formula1>
            <xm:f>'Opciones Tratamiento'!$B$13:$B$19</xm:f>
          </x14:formula1>
          <xm:sqref>E7 E19 E26 E29 E31 E39 E41 E43 E50 E56 E68 E70 E83 E9:E15 E23:E24 E33:E37 E45:E48 E52:E54 E59:E60 E62:E66 E72:E73 E76:E81 E87:E93</xm:sqref>
        </x14:dataValidation>
        <x14:dataValidation type="list" allowBlank="1" showInputMessage="1" showErrorMessage="1">
          <x14:formula1>
            <xm:f>'Tabla Impacto'!$F$210:$F$221</xm:f>
          </x14:formula1>
          <xm:sqref>I7 I19 I26 I29 I31 I39 I41 I43 I50 I56 I66 I68 I70 I83 I9:I11 I13:I15 I23:I24 I33:I37 I45:I48 I52:I54 I59:I60 I62:I64 I72:I73 I76:I81 I87:I93</xm:sqref>
        </x14:dataValidation>
        <x14:dataValidation type="list" allowBlank="1" showInputMessage="1" showErrorMessage="1">
          <x14:formula1>
            <xm:f>'Opciones Tratamiento'!$B$2:$B$5</xm:f>
          </x14:formula1>
          <xm:sqref>AE7 AE19 AE29 AE31 AE39 AE41 AE43 AE56 AE66 AE68 AE70 AE83 AE9:AE11 AE13:AE15 AE23:AE26 AE33:AE37 AE45:AE50 AE52:AE54 AE59:AE60 AE62:AE64 AE72:AE73 AE76:AE81 AE87:AE93</xm:sqref>
        </x14:dataValidation>
        <x14:dataValidation type="list" allowBlank="1" showInputMessage="1" showErrorMessage="1">
          <x14:formula1>
            <xm:f>'Tabla Valoración controles'!$D$4:$D$6</xm:f>
          </x14:formula1>
          <xm:sqref>S19 S7:S15 S23:S93</xm:sqref>
        </x14:dataValidation>
        <x14:dataValidation type="list" allowBlank="1" showInputMessage="1" showErrorMessage="1">
          <x14:formula1>
            <xm:f>'Tabla Valoración controles'!$D$7:$D$8</xm:f>
          </x14:formula1>
          <xm:sqref>T19 T7:T15 T23:T93</xm:sqref>
        </x14:dataValidation>
        <x14:dataValidation type="list" allowBlank="1" showInputMessage="1" showErrorMessage="1">
          <x14:formula1>
            <xm:f>'Tabla Valoración controles'!$D$9:$D$10</xm:f>
          </x14:formula1>
          <xm:sqref>V19 V7:V15 V23:V93</xm:sqref>
        </x14:dataValidation>
        <x14:dataValidation type="list" allowBlank="1" showInputMessage="1" showErrorMessage="1">
          <x14:formula1>
            <xm:f>'Tabla Valoración controles'!$D$11:$D$12</xm:f>
          </x14:formula1>
          <xm:sqref>W19 W7:W15 W23:W93</xm:sqref>
        </x14:dataValidation>
        <x14:dataValidation type="list" allowBlank="1" showInputMessage="1" showErrorMessage="1">
          <x14:formula1>
            <xm:f>'Tabla Valoración controles'!$D$13:$D$14</xm:f>
          </x14:formula1>
          <xm:sqref>X19 X7:X15 X23:X93</xm:sqref>
        </x14:dataValidation>
        <x14:dataValidation type="list" allowBlank="1" showInputMessage="1" showErrorMessage="1">
          <x14:formula1>
            <xm:f>'Listas y tablas'!$T$3:$T$8</xm:f>
          </x14:formula1>
          <xm:sqref>BD19 BD63 BD7:BD15 BD23:BD61 BD66:BD93 BW7:BW93 CP7:CP93</xm:sqref>
        </x14:dataValidation>
        <x14:dataValidation type="list" allowBlank="1" showInputMessage="1" showErrorMessage="1">
          <x14:formula1>
            <xm:f>'Listas y tablas'!#REF!</xm:f>
          </x14:formula1>
          <xm:sqref>BL19 BL23 BL35 BL10:BL11 BL13:BL15</xm:sqref>
        </x14:dataValidation>
        <x14:dataValidation type="list" allowBlank="1" showInputMessage="1" showErrorMessage="1">
          <x14:formula1>
            <xm:f>'Listas y tablas'!$Z$3:$Z$4</xm:f>
          </x14:formula1>
          <xm:sqref>BL24 BL26 BL29 BL31 BL39 BL41 BL43 BL50 BL56 BL66 BL68 BL70 BL83 BL33:BL34 BL36:BL37 BL45:BL48 BL52:BL54 BL59:BL60 BL62:BL64 BL72:BL73 BL76:BL81 BL87:BL93 CE7:CE93 CX7:CX93 AZ7:BA93 BZ7:CA93 CL7:CM93 BG7:BH93 BS7:BT93 CS7:CT93</xm:sqref>
        </x14:dataValidation>
        <x14:dataValidation type="list" allowBlank="1" showInputMessage="1" showErrorMessage="1">
          <x14:formula1>
            <xm:f>'V:\RIESGOS\2024\6_Proteccion_e_Intervencion_de_los_Patrimonios_2024\[4. 20233030183843 Protección VF ene-abr2024.xlsx]Listas y tablas'!#REF!</xm:f>
          </x14:formula1>
          <xm:sqref>BD62 BD64:BD65</xm:sqref>
        </x14:dataValidation>
        <x14:dataValidation type="list" allowBlank="1" showInputMessage="1" showErrorMessage="1">
          <x14:formula1>
            <xm:f>'Listas y tablas'!$V$3:$V$10</xm:f>
          </x14:formula1>
          <xm:sqref>BF7:BF93 BY7:BY93 CR7:CR93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DU70"/>
  <sheetViews>
    <sheetView topLeftCell="A4" zoomScale="110" zoomScaleNormal="110" workbookViewId="0">
      <pane xSplit="4" ySplit="4" topLeftCell="E8" activePane="bottomRight" state="frozen"/>
      <selection pane="topRight"/>
      <selection pane="bottomLeft"/>
      <selection pane="bottomRight" activeCell="BH8" sqref="BH8"/>
    </sheetView>
  </sheetViews>
  <sheetFormatPr baseColWidth="10" defaultColWidth="11.42578125" defaultRowHeight="16.5"/>
  <cols>
    <col min="1" max="1" width="4" style="257" customWidth="1"/>
    <col min="2" max="2" width="25.28515625" style="257" customWidth="1"/>
    <col min="3" max="3" width="29.7109375" style="257" customWidth="1"/>
    <col min="4" max="4" width="36.85546875" style="258" customWidth="1"/>
    <col min="5" max="5" width="17.28515625" style="258" hidden="1" customWidth="1"/>
    <col min="6" max="6" width="8.7109375" style="259" hidden="1" customWidth="1"/>
    <col min="7" max="7" width="15.42578125" style="258" hidden="1" customWidth="1"/>
    <col min="8" max="26" width="18.7109375" style="259" hidden="1" customWidth="1"/>
    <col min="27" max="27" width="8.7109375" style="258" hidden="1" customWidth="1"/>
    <col min="28" max="28" width="17.7109375" style="258" hidden="1" customWidth="1"/>
    <col min="29" max="29" width="23.42578125" style="258" hidden="1" customWidth="1"/>
    <col min="30" max="30" width="17.42578125" style="259" hidden="1" customWidth="1"/>
    <col min="31" max="32" width="5.85546875" style="258" hidden="1" customWidth="1"/>
    <col min="33" max="33" width="5.85546875" style="258" customWidth="1"/>
    <col min="34" max="34" width="31" style="258" customWidth="1"/>
    <col min="35" max="35" width="15.140625" style="258" hidden="1" customWidth="1"/>
    <col min="36" max="55" width="16.7109375" style="258" hidden="1" customWidth="1"/>
    <col min="56" max="56" width="38.28515625" style="258" hidden="1" customWidth="1"/>
    <col min="57" max="57" width="7.28515625" style="258" hidden="1" customWidth="1"/>
    <col min="58" max="58" width="52.42578125" style="258" customWidth="1"/>
    <col min="59" max="59" width="35.85546875" style="258" customWidth="1"/>
    <col min="60" max="60" width="16.7109375" style="258" customWidth="1"/>
    <col min="61" max="62" width="14.7109375" style="258" customWidth="1"/>
    <col min="63" max="68" width="18.7109375" style="258" customWidth="1"/>
    <col min="69" max="69" width="55.140625" style="258" customWidth="1"/>
    <col min="70" max="70" width="24.5703125" style="258" customWidth="1"/>
    <col min="71" max="72" width="11.42578125" style="258"/>
    <col min="73" max="73" width="45.42578125" style="260" customWidth="1"/>
    <col min="74" max="74" width="33" style="260" customWidth="1"/>
    <col min="75" max="77" width="11.42578125" style="258"/>
    <col min="78" max="78" width="34" style="258" customWidth="1"/>
    <col min="79" max="79" width="22.28515625" style="258" customWidth="1"/>
    <col min="80" max="80" width="35" style="258" customWidth="1"/>
    <col min="81" max="81" width="21.28515625" style="258" customWidth="1"/>
    <col min="82" max="82" width="18.42578125" style="258" customWidth="1"/>
    <col min="83" max="83" width="16" style="258" customWidth="1"/>
    <col min="84" max="84" width="20.28515625" style="258" customWidth="1"/>
    <col min="85" max="85" width="43.42578125" style="258" customWidth="1"/>
    <col min="86" max="86" width="13.5703125" style="258" customWidth="1"/>
    <col min="87" max="16384" width="11.42578125" style="258"/>
  </cols>
  <sheetData>
    <row r="1" spans="1:125">
      <c r="A1" s="514" t="s">
        <v>1231</v>
      </c>
      <c r="B1" s="515"/>
      <c r="C1" s="515"/>
      <c r="D1" s="515"/>
      <c r="E1" s="515"/>
      <c r="F1" s="515"/>
      <c r="G1" s="515"/>
      <c r="H1" s="515"/>
      <c r="I1" s="515"/>
      <c r="J1" s="515"/>
      <c r="K1" s="515"/>
      <c r="L1" s="515"/>
      <c r="M1" s="515"/>
      <c r="N1" s="515"/>
      <c r="O1" s="515"/>
      <c r="P1" s="515"/>
      <c r="Q1" s="515"/>
      <c r="R1" s="515"/>
      <c r="S1" s="515"/>
      <c r="T1" s="515"/>
      <c r="U1" s="515"/>
      <c r="V1" s="515"/>
      <c r="W1" s="515"/>
      <c r="X1" s="515"/>
      <c r="Y1" s="515"/>
      <c r="Z1" s="515"/>
      <c r="AA1" s="515"/>
      <c r="AB1" s="515"/>
      <c r="AC1" s="515"/>
      <c r="AD1" s="515"/>
      <c r="AE1" s="515"/>
      <c r="AF1" s="515"/>
      <c r="AG1" s="515"/>
      <c r="AH1" s="515"/>
      <c r="AI1" s="515"/>
      <c r="AJ1" s="515"/>
      <c r="AK1" s="515"/>
      <c r="AL1" s="515"/>
      <c r="AM1" s="515"/>
      <c r="AN1" s="515"/>
      <c r="AO1" s="515"/>
      <c r="AP1" s="515"/>
      <c r="AQ1" s="515"/>
      <c r="AR1" s="515"/>
      <c r="AS1" s="515"/>
      <c r="AT1" s="515"/>
      <c r="AU1" s="515"/>
      <c r="AV1" s="515"/>
      <c r="AW1" s="515"/>
      <c r="AX1" s="515"/>
      <c r="AY1" s="515"/>
      <c r="AZ1" s="515"/>
      <c r="BA1" s="515"/>
      <c r="BB1" s="515"/>
      <c r="BC1" s="515"/>
      <c r="BD1" s="515"/>
      <c r="BE1" s="515"/>
      <c r="BF1" s="515"/>
      <c r="BG1" s="515"/>
      <c r="BH1" s="515"/>
      <c r="BI1" s="515"/>
      <c r="BJ1" s="515"/>
      <c r="BK1" s="515"/>
      <c r="BL1" s="515"/>
      <c r="BM1" s="515"/>
      <c r="BN1" s="515"/>
      <c r="BO1" s="515"/>
      <c r="BP1" s="515"/>
    </row>
    <row r="2" spans="1:125">
      <c r="A2" s="514"/>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c r="AN2" s="515"/>
      <c r="AO2" s="515"/>
      <c r="AP2" s="515"/>
      <c r="AQ2" s="515"/>
      <c r="AR2" s="515"/>
      <c r="AS2" s="515"/>
      <c r="AT2" s="515"/>
      <c r="AU2" s="515"/>
      <c r="AV2" s="515"/>
      <c r="AW2" s="515"/>
      <c r="AX2" s="515"/>
      <c r="AY2" s="515"/>
      <c r="AZ2" s="515"/>
      <c r="BA2" s="515"/>
      <c r="BB2" s="515"/>
      <c r="BC2" s="515"/>
      <c r="BD2" s="515"/>
      <c r="BE2" s="515"/>
      <c r="BF2" s="515"/>
      <c r="BG2" s="515"/>
      <c r="BH2" s="515"/>
      <c r="BI2" s="515"/>
      <c r="BJ2" s="515"/>
      <c r="BK2" s="515"/>
      <c r="BL2" s="515"/>
      <c r="BM2" s="515"/>
      <c r="BN2" s="515"/>
      <c r="BO2" s="515"/>
      <c r="BP2" s="515"/>
    </row>
    <row r="3" spans="1:125">
      <c r="A3" s="261"/>
      <c r="B3" s="261"/>
      <c r="C3" s="261"/>
      <c r="D3" s="262"/>
      <c r="E3" s="262"/>
      <c r="F3" s="263"/>
      <c r="G3" s="262"/>
      <c r="H3" s="263"/>
      <c r="I3" s="263"/>
      <c r="J3" s="263"/>
      <c r="K3" s="263"/>
      <c r="L3" s="263"/>
      <c r="M3" s="263"/>
      <c r="N3" s="263"/>
      <c r="O3" s="263"/>
      <c r="P3" s="263"/>
      <c r="Q3" s="263"/>
      <c r="R3" s="263"/>
      <c r="S3" s="263"/>
      <c r="T3" s="263"/>
      <c r="U3" s="263"/>
      <c r="V3" s="263"/>
      <c r="W3" s="263"/>
      <c r="X3" s="263"/>
      <c r="Y3" s="263"/>
      <c r="Z3" s="263"/>
      <c r="AA3" s="262"/>
      <c r="AB3" s="262"/>
      <c r="AC3" s="262"/>
      <c r="AD3" s="263"/>
      <c r="AE3" s="262"/>
      <c r="AF3" s="262"/>
      <c r="AG3" s="262"/>
      <c r="AH3" s="262"/>
      <c r="AI3" s="262"/>
      <c r="AJ3" s="262"/>
      <c r="AK3" s="262"/>
      <c r="AL3" s="262"/>
      <c r="AM3" s="262"/>
      <c r="AN3" s="262"/>
      <c r="AO3" s="262"/>
      <c r="AP3" s="262"/>
      <c r="AQ3" s="262"/>
      <c r="AR3" s="262"/>
      <c r="AS3" s="262"/>
      <c r="AT3" s="262"/>
      <c r="AU3" s="262"/>
      <c r="AV3" s="262"/>
      <c r="AW3" s="262"/>
      <c r="AX3" s="262"/>
      <c r="AY3" s="262"/>
      <c r="AZ3" s="262"/>
      <c r="BA3" s="262"/>
      <c r="BB3" s="262"/>
      <c r="BC3" s="262"/>
      <c r="BD3" s="262"/>
      <c r="BE3" s="262"/>
      <c r="BF3" s="262"/>
    </row>
    <row r="4" spans="1:125">
      <c r="A4" s="513" t="s">
        <v>88</v>
      </c>
      <c r="B4" s="513"/>
      <c r="C4" s="513"/>
      <c r="D4" s="513"/>
      <c r="E4" s="511" t="s">
        <v>1232</v>
      </c>
      <c r="F4" s="512"/>
      <c r="G4" s="512"/>
      <c r="H4" s="512"/>
      <c r="I4" s="512"/>
      <c r="J4" s="512"/>
      <c r="K4" s="512"/>
      <c r="L4" s="512"/>
      <c r="M4" s="512"/>
      <c r="N4" s="512"/>
      <c r="O4" s="512"/>
      <c r="P4" s="512"/>
      <c r="Q4" s="512"/>
      <c r="R4" s="512"/>
      <c r="S4" s="512"/>
      <c r="T4" s="512"/>
      <c r="U4" s="512"/>
      <c r="V4" s="512"/>
      <c r="W4" s="512"/>
      <c r="X4" s="512"/>
      <c r="Y4" s="512"/>
      <c r="Z4" s="512"/>
      <c r="AA4" s="512"/>
      <c r="AB4" s="512"/>
      <c r="AC4" s="512"/>
      <c r="AD4" s="516"/>
      <c r="AE4" s="275"/>
      <c r="AF4" s="513" t="s">
        <v>288</v>
      </c>
      <c r="AG4" s="513"/>
      <c r="AH4" s="513"/>
      <c r="AI4" s="513"/>
      <c r="AJ4" s="513"/>
      <c r="AK4" s="513"/>
      <c r="AL4" s="513"/>
      <c r="AM4" s="513"/>
      <c r="AN4" s="513"/>
      <c r="AO4" s="513"/>
      <c r="AP4" s="513"/>
      <c r="AQ4" s="513"/>
      <c r="AR4" s="513"/>
      <c r="AS4" s="513"/>
      <c r="AT4" s="513"/>
      <c r="AU4" s="513"/>
      <c r="AV4" s="513"/>
      <c r="AW4" s="513"/>
      <c r="AX4" s="513"/>
      <c r="AY4" s="513"/>
      <c r="AZ4" s="513"/>
      <c r="BA4" s="513"/>
      <c r="BB4" s="513"/>
      <c r="BC4" s="513"/>
      <c r="BD4" s="513" t="s">
        <v>289</v>
      </c>
      <c r="BE4" s="513"/>
      <c r="BF4" s="292"/>
      <c r="BG4" s="513" t="s">
        <v>291</v>
      </c>
      <c r="BH4" s="513"/>
      <c r="BI4" s="513"/>
      <c r="BJ4" s="513"/>
      <c r="BK4" s="650" t="s">
        <v>292</v>
      </c>
      <c r="BL4" s="651"/>
      <c r="BM4" s="651"/>
      <c r="BN4" s="651"/>
      <c r="BO4" s="651"/>
      <c r="BP4" s="651"/>
      <c r="BQ4" s="517" t="s">
        <v>293</v>
      </c>
      <c r="BR4" s="518"/>
      <c r="BS4" s="518"/>
      <c r="BT4" s="518"/>
      <c r="BU4" s="518"/>
      <c r="BV4" s="518"/>
      <c r="BW4" s="518"/>
      <c r="BX4" s="518"/>
      <c r="BY4" s="518"/>
      <c r="BZ4" s="518"/>
      <c r="CA4" s="518"/>
      <c r="CB4" s="518"/>
      <c r="CC4" s="518"/>
      <c r="CD4" s="518"/>
      <c r="CE4" s="518"/>
      <c r="CF4" s="518"/>
      <c r="CG4" s="518"/>
      <c r="CH4" s="519"/>
      <c r="CI4" s="520"/>
      <c r="CJ4" s="521" t="s">
        <v>294</v>
      </c>
      <c r="CK4" s="521"/>
      <c r="CL4" s="521"/>
      <c r="CM4" s="521"/>
      <c r="CN4" s="521"/>
      <c r="CO4" s="521"/>
      <c r="CP4" s="521"/>
      <c r="CQ4" s="521"/>
      <c r="CR4" s="521"/>
      <c r="CS4" s="521"/>
      <c r="CT4" s="521"/>
      <c r="CU4" s="521"/>
      <c r="CV4" s="521"/>
      <c r="CW4" s="521"/>
      <c r="CX4" s="521"/>
      <c r="CY4" s="521"/>
      <c r="CZ4" s="521"/>
      <c r="DA4" s="521"/>
      <c r="DB4" s="522"/>
      <c r="DC4" s="523" t="s">
        <v>295</v>
      </c>
      <c r="DD4" s="524"/>
      <c r="DE4" s="524"/>
      <c r="DF4" s="524"/>
      <c r="DG4" s="524"/>
      <c r="DH4" s="524"/>
      <c r="DI4" s="524"/>
      <c r="DJ4" s="524"/>
      <c r="DK4" s="524"/>
      <c r="DL4" s="524"/>
      <c r="DM4" s="524"/>
      <c r="DN4" s="524"/>
      <c r="DO4" s="524"/>
      <c r="DP4" s="524"/>
      <c r="DQ4" s="524"/>
      <c r="DR4" s="524"/>
      <c r="DS4" s="524"/>
      <c r="DT4" s="525"/>
      <c r="DU4" s="526"/>
    </row>
    <row r="5" spans="1:125">
      <c r="A5" s="264"/>
      <c r="B5" s="265"/>
      <c r="C5" s="266"/>
      <c r="D5" s="266"/>
      <c r="E5" s="266"/>
      <c r="F5" s="656" t="s">
        <v>1233</v>
      </c>
      <c r="G5" s="658"/>
      <c r="H5" s="513" t="s">
        <v>15</v>
      </c>
      <c r="I5" s="513"/>
      <c r="J5" s="513"/>
      <c r="K5" s="513"/>
      <c r="L5" s="513"/>
      <c r="M5" s="513"/>
      <c r="N5" s="513"/>
      <c r="O5" s="513"/>
      <c r="P5" s="513"/>
      <c r="Q5" s="513"/>
      <c r="R5" s="513"/>
      <c r="S5" s="513"/>
      <c r="T5" s="513"/>
      <c r="U5" s="513"/>
      <c r="V5" s="513"/>
      <c r="W5" s="513"/>
      <c r="X5" s="513"/>
      <c r="Y5" s="513"/>
      <c r="Z5" s="513"/>
      <c r="AA5" s="266"/>
      <c r="AB5" s="266"/>
      <c r="AC5" s="266"/>
      <c r="AD5" s="266"/>
      <c r="AE5" s="266"/>
      <c r="AF5" s="276"/>
      <c r="AG5" s="276"/>
      <c r="AH5" s="266"/>
      <c r="AI5" s="266"/>
      <c r="AJ5" s="513" t="s">
        <v>296</v>
      </c>
      <c r="AK5" s="513"/>
      <c r="AL5" s="513"/>
      <c r="AM5" s="513"/>
      <c r="AN5" s="513"/>
      <c r="AO5" s="513"/>
      <c r="AP5" s="513"/>
      <c r="AQ5" s="513"/>
      <c r="AR5" s="513"/>
      <c r="AS5" s="513"/>
      <c r="AT5" s="513"/>
      <c r="AU5" s="513"/>
      <c r="AV5" s="513"/>
      <c r="AW5" s="513"/>
      <c r="AX5" s="513"/>
      <c r="AY5" s="513"/>
      <c r="AZ5" s="513"/>
      <c r="BA5" s="513"/>
      <c r="BB5" s="513"/>
      <c r="BC5" s="513"/>
      <c r="BD5" s="289"/>
      <c r="BE5" s="289"/>
      <c r="BF5" s="293"/>
      <c r="BG5" s="294"/>
      <c r="BH5" s="294"/>
      <c r="BI5" s="294"/>
      <c r="BJ5" s="294"/>
      <c r="BK5" s="651"/>
      <c r="BL5" s="651"/>
      <c r="BM5" s="651"/>
      <c r="BN5" s="651"/>
      <c r="BO5" s="651"/>
      <c r="BP5" s="651"/>
      <c r="BQ5" s="527" t="s">
        <v>297</v>
      </c>
      <c r="BR5" s="528"/>
      <c r="BS5" s="528"/>
      <c r="BT5" s="528"/>
      <c r="BU5" s="528"/>
      <c r="BV5" s="528"/>
      <c r="BW5" s="528"/>
      <c r="BX5" s="528"/>
      <c r="BY5" s="529"/>
      <c r="BZ5" s="530" t="s">
        <v>298</v>
      </c>
      <c r="CA5" s="531"/>
      <c r="CB5" s="531"/>
      <c r="CC5" s="531"/>
      <c r="CD5" s="531"/>
      <c r="CE5" s="531"/>
      <c r="CF5" s="532"/>
      <c r="CG5" s="533" t="s">
        <v>299</v>
      </c>
      <c r="CH5" s="534"/>
      <c r="CI5" s="535"/>
      <c r="CJ5" s="521" t="s">
        <v>297</v>
      </c>
      <c r="CK5" s="521"/>
      <c r="CL5" s="521"/>
      <c r="CM5" s="521"/>
      <c r="CN5" s="521"/>
      <c r="CO5" s="521"/>
      <c r="CP5" s="521"/>
      <c r="CQ5" s="521"/>
      <c r="CR5" s="522"/>
      <c r="CS5" s="536" t="s">
        <v>298</v>
      </c>
      <c r="CT5" s="537"/>
      <c r="CU5" s="537"/>
      <c r="CV5" s="537"/>
      <c r="CW5" s="537"/>
      <c r="CX5" s="537"/>
      <c r="CY5" s="538"/>
      <c r="CZ5" s="539" t="s">
        <v>299</v>
      </c>
      <c r="DA5" s="540"/>
      <c r="DB5" s="541"/>
      <c r="DC5" s="542" t="s">
        <v>297</v>
      </c>
      <c r="DD5" s="542"/>
      <c r="DE5" s="542"/>
      <c r="DF5" s="542"/>
      <c r="DG5" s="542"/>
      <c r="DH5" s="542"/>
      <c r="DI5" s="542"/>
      <c r="DJ5" s="542"/>
      <c r="DK5" s="543"/>
      <c r="DL5" s="544" t="s">
        <v>298</v>
      </c>
      <c r="DM5" s="542"/>
      <c r="DN5" s="542"/>
      <c r="DO5" s="542"/>
      <c r="DP5" s="542"/>
      <c r="DQ5" s="542"/>
      <c r="DR5" s="543"/>
      <c r="DS5" s="545" t="s">
        <v>299</v>
      </c>
      <c r="DT5" s="546"/>
      <c r="DU5" s="547"/>
    </row>
    <row r="6" spans="1:125" ht="33">
      <c r="A6" s="267"/>
      <c r="B6" s="268"/>
      <c r="C6" s="176"/>
      <c r="D6" s="176"/>
      <c r="E6" s="176"/>
      <c r="F6" s="550"/>
      <c r="G6" s="556"/>
      <c r="H6" s="513" t="s">
        <v>1234</v>
      </c>
      <c r="I6" s="513"/>
      <c r="J6" s="513"/>
      <c r="K6" s="513"/>
      <c r="L6" s="513"/>
      <c r="M6" s="513"/>
      <c r="N6" s="513"/>
      <c r="O6" s="513"/>
      <c r="P6" s="513"/>
      <c r="Q6" s="513"/>
      <c r="R6" s="513"/>
      <c r="S6" s="513"/>
      <c r="T6" s="513"/>
      <c r="U6" s="513"/>
      <c r="V6" s="513"/>
      <c r="W6" s="513"/>
      <c r="X6" s="513"/>
      <c r="Y6" s="513"/>
      <c r="Z6" s="513"/>
      <c r="AA6" s="176"/>
      <c r="AB6" s="176"/>
      <c r="AC6" s="176"/>
      <c r="AD6" s="176"/>
      <c r="AE6" s="176"/>
      <c r="AF6" s="277"/>
      <c r="AG6" s="277"/>
      <c r="AH6" s="176"/>
      <c r="AI6" s="176"/>
      <c r="AJ6" s="266"/>
      <c r="AK6" s="266"/>
      <c r="AL6" s="266"/>
      <c r="AM6" s="266"/>
      <c r="AN6" s="266"/>
      <c r="AO6" s="266"/>
      <c r="AP6" s="266"/>
      <c r="AQ6" s="266"/>
      <c r="AR6" s="266"/>
      <c r="AS6" s="266"/>
      <c r="AT6" s="266"/>
      <c r="AU6" s="266"/>
      <c r="AV6" s="266"/>
      <c r="AW6" s="266"/>
      <c r="AX6" s="266"/>
      <c r="AY6" s="266"/>
      <c r="AZ6" s="266"/>
      <c r="BA6" s="266"/>
      <c r="BB6" s="266"/>
      <c r="BC6" s="266"/>
      <c r="BD6" s="290"/>
      <c r="BE6" s="290"/>
      <c r="BF6" s="295"/>
      <c r="BG6" s="296"/>
      <c r="BH6" s="296"/>
      <c r="BI6" s="296"/>
      <c r="BJ6" s="296"/>
      <c r="BK6" s="297"/>
      <c r="BL6" s="297"/>
      <c r="BM6" s="297"/>
      <c r="BN6" s="297"/>
      <c r="BO6" s="297"/>
      <c r="BP6" s="297"/>
      <c r="BQ6" s="548" t="s">
        <v>290</v>
      </c>
      <c r="BR6" s="549"/>
      <c r="BS6" s="550" t="s">
        <v>291</v>
      </c>
      <c r="BT6" s="551"/>
      <c r="BU6" s="551"/>
      <c r="BV6" s="552"/>
      <c r="BW6" s="166" t="s">
        <v>300</v>
      </c>
      <c r="BX6" s="553" t="s">
        <v>292</v>
      </c>
      <c r="BY6" s="554"/>
      <c r="BZ6" s="555" t="s">
        <v>290</v>
      </c>
      <c r="CA6" s="556"/>
      <c r="CB6" s="557" t="s">
        <v>291</v>
      </c>
      <c r="CC6" s="558"/>
      <c r="CD6" s="175" t="s">
        <v>300</v>
      </c>
      <c r="CE6" s="559" t="s">
        <v>292</v>
      </c>
      <c r="CF6" s="560"/>
      <c r="CG6" s="635" t="s">
        <v>301</v>
      </c>
      <c r="CH6" s="637" t="s">
        <v>302</v>
      </c>
      <c r="CI6" s="639" t="s">
        <v>303</v>
      </c>
      <c r="CJ6" s="561" t="s">
        <v>290</v>
      </c>
      <c r="CK6" s="562"/>
      <c r="CL6" s="563" t="s">
        <v>291</v>
      </c>
      <c r="CM6" s="563"/>
      <c r="CN6" s="563"/>
      <c r="CO6" s="563"/>
      <c r="CP6" s="188" t="s">
        <v>300</v>
      </c>
      <c r="CQ6" s="564" t="s">
        <v>292</v>
      </c>
      <c r="CR6" s="565"/>
      <c r="CS6" s="566" t="s">
        <v>290</v>
      </c>
      <c r="CT6" s="567"/>
      <c r="CU6" s="568" t="s">
        <v>291</v>
      </c>
      <c r="CV6" s="568"/>
      <c r="CW6" s="196" t="s">
        <v>300</v>
      </c>
      <c r="CX6" s="569" t="s">
        <v>292</v>
      </c>
      <c r="CY6" s="570"/>
      <c r="CZ6" s="644" t="s">
        <v>304</v>
      </c>
      <c r="DA6" s="567" t="s">
        <v>305</v>
      </c>
      <c r="DB6" s="647" t="s">
        <v>306</v>
      </c>
      <c r="DC6" s="571" t="s">
        <v>290</v>
      </c>
      <c r="DD6" s="572"/>
      <c r="DE6" s="573" t="s">
        <v>291</v>
      </c>
      <c r="DF6" s="573"/>
      <c r="DG6" s="573"/>
      <c r="DH6" s="573"/>
      <c r="DI6" s="219" t="s">
        <v>300</v>
      </c>
      <c r="DJ6" s="574" t="s">
        <v>292</v>
      </c>
      <c r="DK6" s="575"/>
      <c r="DL6" s="576" t="s">
        <v>290</v>
      </c>
      <c r="DM6" s="577"/>
      <c r="DN6" s="578" t="s">
        <v>291</v>
      </c>
      <c r="DO6" s="578"/>
      <c r="DP6" s="231" t="s">
        <v>300</v>
      </c>
      <c r="DQ6" s="579" t="s">
        <v>292</v>
      </c>
      <c r="DR6" s="580"/>
      <c r="DS6" s="576" t="s">
        <v>307</v>
      </c>
      <c r="DT6" s="577" t="s">
        <v>308</v>
      </c>
      <c r="DU6" s="649" t="s">
        <v>309</v>
      </c>
    </row>
    <row r="7" spans="1:125" s="255" customFormat="1" ht="81" customHeight="1">
      <c r="A7" s="269" t="s">
        <v>1235</v>
      </c>
      <c r="B7" s="144" t="s">
        <v>7</v>
      </c>
      <c r="C7" s="144" t="s">
        <v>94</v>
      </c>
      <c r="D7" s="144" t="s">
        <v>95</v>
      </c>
      <c r="E7" s="144" t="s">
        <v>23</v>
      </c>
      <c r="F7" s="144" t="s">
        <v>1236</v>
      </c>
      <c r="G7" s="167" t="s">
        <v>1237</v>
      </c>
      <c r="H7" s="270" t="s">
        <v>1238</v>
      </c>
      <c r="I7" s="270" t="s">
        <v>1239</v>
      </c>
      <c r="J7" s="270" t="s">
        <v>1240</v>
      </c>
      <c r="K7" s="270" t="s">
        <v>1241</v>
      </c>
      <c r="L7" s="270" t="s">
        <v>1242</v>
      </c>
      <c r="M7" s="270" t="s">
        <v>1243</v>
      </c>
      <c r="N7" s="270" t="s">
        <v>1244</v>
      </c>
      <c r="O7" s="270" t="s">
        <v>1245</v>
      </c>
      <c r="P7" s="270" t="s">
        <v>1246</v>
      </c>
      <c r="Q7" s="270" t="s">
        <v>1247</v>
      </c>
      <c r="R7" s="270" t="s">
        <v>1248</v>
      </c>
      <c r="S7" s="270" t="s">
        <v>1249</v>
      </c>
      <c r="T7" s="270" t="s">
        <v>1250</v>
      </c>
      <c r="U7" s="270" t="s">
        <v>1251</v>
      </c>
      <c r="V7" s="270" t="s">
        <v>1252</v>
      </c>
      <c r="W7" s="270" t="s">
        <v>1253</v>
      </c>
      <c r="X7" s="270" t="s">
        <v>1254</v>
      </c>
      <c r="Y7" s="270" t="s">
        <v>1255</v>
      </c>
      <c r="Z7" s="270" t="s">
        <v>1256</v>
      </c>
      <c r="AA7" s="144" t="s">
        <v>1257</v>
      </c>
      <c r="AB7" s="144" t="s">
        <v>15</v>
      </c>
      <c r="AC7" s="144" t="s">
        <v>1258</v>
      </c>
      <c r="AD7" s="144" t="s">
        <v>1259</v>
      </c>
      <c r="AE7" s="144"/>
      <c r="AF7" s="278" t="s">
        <v>318</v>
      </c>
      <c r="AG7" s="278" t="s">
        <v>318</v>
      </c>
      <c r="AH7" s="144" t="s">
        <v>31</v>
      </c>
      <c r="AI7" s="144" t="s">
        <v>33</v>
      </c>
      <c r="AJ7" s="278" t="s">
        <v>1260</v>
      </c>
      <c r="AK7" s="144" t="s">
        <v>1261</v>
      </c>
      <c r="AL7" s="144" t="s">
        <v>1262</v>
      </c>
      <c r="AM7" s="144" t="s">
        <v>1263</v>
      </c>
      <c r="AN7" s="144" t="s">
        <v>1264</v>
      </c>
      <c r="AO7" s="144" t="s">
        <v>1265</v>
      </c>
      <c r="AP7" s="144" t="s">
        <v>1266</v>
      </c>
      <c r="AQ7" s="144" t="s">
        <v>1267</v>
      </c>
      <c r="AR7" s="144" t="s">
        <v>1268</v>
      </c>
      <c r="AS7" s="144" t="s">
        <v>1269</v>
      </c>
      <c r="AT7" s="144" t="s">
        <v>1270</v>
      </c>
      <c r="AU7" s="144" t="s">
        <v>1271</v>
      </c>
      <c r="AV7" s="144" t="s">
        <v>1272</v>
      </c>
      <c r="AW7" s="144" t="s">
        <v>1273</v>
      </c>
      <c r="AX7" s="144" t="s">
        <v>1274</v>
      </c>
      <c r="AY7" s="278" t="s">
        <v>1275</v>
      </c>
      <c r="AZ7" s="278" t="s">
        <v>1276</v>
      </c>
      <c r="BA7" s="144" t="s">
        <v>1277</v>
      </c>
      <c r="BB7" s="144" t="s">
        <v>1278</v>
      </c>
      <c r="BC7" s="144" t="s">
        <v>1279</v>
      </c>
      <c r="BD7" s="144" t="s">
        <v>330</v>
      </c>
      <c r="BE7" s="278" t="s">
        <v>49</v>
      </c>
      <c r="BF7" s="298" t="s">
        <v>331</v>
      </c>
      <c r="BG7" s="144" t="s">
        <v>334</v>
      </c>
      <c r="BH7" s="144" t="s">
        <v>336</v>
      </c>
      <c r="BI7" s="144" t="s">
        <v>337</v>
      </c>
      <c r="BJ7" s="144" t="s">
        <v>338</v>
      </c>
      <c r="BK7" s="158" t="s">
        <v>339</v>
      </c>
      <c r="BL7" s="158" t="s">
        <v>340</v>
      </c>
      <c r="BM7" s="158" t="s">
        <v>336</v>
      </c>
      <c r="BN7" s="158" t="s">
        <v>341</v>
      </c>
      <c r="BO7" s="158" t="s">
        <v>342</v>
      </c>
      <c r="BP7" s="158" t="s">
        <v>343</v>
      </c>
      <c r="BQ7" s="160" t="s">
        <v>344</v>
      </c>
      <c r="BR7" s="161" t="s">
        <v>345</v>
      </c>
      <c r="BS7" s="167" t="s">
        <v>346</v>
      </c>
      <c r="BT7" s="167" t="s">
        <v>347</v>
      </c>
      <c r="BU7" s="322" t="s">
        <v>348</v>
      </c>
      <c r="BV7" s="322" t="s">
        <v>349</v>
      </c>
      <c r="BW7" s="168" t="s">
        <v>350</v>
      </c>
      <c r="BX7" s="169" t="s">
        <v>351</v>
      </c>
      <c r="BY7" s="170" t="s">
        <v>352</v>
      </c>
      <c r="BZ7" s="143" t="s">
        <v>353</v>
      </c>
      <c r="CA7" s="144" t="s">
        <v>354</v>
      </c>
      <c r="CB7" s="177" t="s">
        <v>355</v>
      </c>
      <c r="CC7" s="174" t="s">
        <v>356</v>
      </c>
      <c r="CD7" s="178" t="s">
        <v>357</v>
      </c>
      <c r="CE7" s="179" t="s">
        <v>351</v>
      </c>
      <c r="CF7" s="180" t="s">
        <v>352</v>
      </c>
      <c r="CG7" s="636"/>
      <c r="CH7" s="638"/>
      <c r="CI7" s="640"/>
      <c r="CJ7" s="189" t="s">
        <v>358</v>
      </c>
      <c r="CK7" s="189" t="s">
        <v>359</v>
      </c>
      <c r="CL7" s="190" t="s">
        <v>346</v>
      </c>
      <c r="CM7" s="190" t="s">
        <v>347</v>
      </c>
      <c r="CN7" s="190" t="s">
        <v>360</v>
      </c>
      <c r="CO7" s="190" t="s">
        <v>361</v>
      </c>
      <c r="CP7" s="191" t="s">
        <v>350</v>
      </c>
      <c r="CQ7" s="197" t="s">
        <v>362</v>
      </c>
      <c r="CR7" s="198" t="s">
        <v>363</v>
      </c>
      <c r="CS7" s="199" t="s">
        <v>364</v>
      </c>
      <c r="CT7" s="200" t="s">
        <v>365</v>
      </c>
      <c r="CU7" s="201" t="s">
        <v>366</v>
      </c>
      <c r="CV7" s="201" t="s">
        <v>367</v>
      </c>
      <c r="CW7" s="202" t="s">
        <v>357</v>
      </c>
      <c r="CX7" s="203" t="s">
        <v>362</v>
      </c>
      <c r="CY7" s="211" t="s">
        <v>363</v>
      </c>
      <c r="CZ7" s="645"/>
      <c r="DA7" s="646"/>
      <c r="DB7" s="648"/>
      <c r="DC7" s="212" t="s">
        <v>368</v>
      </c>
      <c r="DD7" s="212" t="s">
        <v>369</v>
      </c>
      <c r="DE7" s="210" t="s">
        <v>346</v>
      </c>
      <c r="DF7" s="210" t="s">
        <v>347</v>
      </c>
      <c r="DG7" s="210" t="s">
        <v>370</v>
      </c>
      <c r="DH7" s="210" t="s">
        <v>371</v>
      </c>
      <c r="DI7" s="219" t="s">
        <v>350</v>
      </c>
      <c r="DJ7" s="220" t="s">
        <v>372</v>
      </c>
      <c r="DK7" s="221" t="s">
        <v>373</v>
      </c>
      <c r="DL7" s="222" t="s">
        <v>374</v>
      </c>
      <c r="DM7" s="223" t="s">
        <v>375</v>
      </c>
      <c r="DN7" s="224" t="s">
        <v>376</v>
      </c>
      <c r="DO7" s="224" t="s">
        <v>377</v>
      </c>
      <c r="DP7" s="231" t="s">
        <v>357</v>
      </c>
      <c r="DQ7" s="232" t="s">
        <v>372</v>
      </c>
      <c r="DR7" s="233" t="s">
        <v>373</v>
      </c>
      <c r="DS7" s="576"/>
      <c r="DT7" s="577"/>
      <c r="DU7" s="649"/>
    </row>
    <row r="8" spans="1:125" s="256" customFormat="1" ht="198">
      <c r="A8" s="271">
        <v>3</v>
      </c>
      <c r="B8" s="272" t="str">
        <f>IFERROR(VLOOKUP($A8,Riesgos!$A$7:$H$84,2,FALSE),"")</f>
        <v>Administración de Bienes e Infraestructura</v>
      </c>
      <c r="C8" s="272" t="str">
        <f>IFERROR(VLOOKUP($A8,Riesgos!$A$7:$H$84,7,FALSE),"")</f>
        <v>Debido al abuso de autoridad en el cargo o deficiente control de los bienes, permitiendo que un tercero haga uso indebido de ellos.</v>
      </c>
      <c r="D8" s="272" t="str">
        <f>IFERROR(VLOOKUP($A8,Riesgos!$A$7:$H$84,8,FALSE),"")</f>
        <v>Posibilidad de afectación económica por destinar los bienes o recursos de la entidad a actividades no relacionadas con la misión o las funciones institucionales, debido al abuso de autoridad en el cargo o deficiente control de los bienes, permitiendo que un tercero haga uso indebido de ellos.</v>
      </c>
      <c r="E8" s="273" t="s">
        <v>1280</v>
      </c>
      <c r="F8" s="274">
        <v>1</v>
      </c>
      <c r="G8" s="137" t="str">
        <f>IF(ISNUMBER(F8),VLOOKUP(F8,'Listas y tablas'!$AC$2:$AF$7,2,FALSE),"")</f>
        <v>Rara vez</v>
      </c>
      <c r="H8" s="274" t="s">
        <v>422</v>
      </c>
      <c r="I8" s="274" t="s">
        <v>422</v>
      </c>
      <c r="J8" s="274" t="s">
        <v>402</v>
      </c>
      <c r="K8" s="274" t="s">
        <v>402</v>
      </c>
      <c r="L8" s="274" t="s">
        <v>422</v>
      </c>
      <c r="M8" s="274" t="s">
        <v>422</v>
      </c>
      <c r="N8" s="274" t="s">
        <v>422</v>
      </c>
      <c r="O8" s="274" t="s">
        <v>402</v>
      </c>
      <c r="P8" s="274" t="s">
        <v>402</v>
      </c>
      <c r="Q8" s="274" t="s">
        <v>422</v>
      </c>
      <c r="R8" s="274" t="s">
        <v>422</v>
      </c>
      <c r="S8" s="274" t="s">
        <v>422</v>
      </c>
      <c r="T8" s="274" t="s">
        <v>422</v>
      </c>
      <c r="U8" s="274" t="s">
        <v>402</v>
      </c>
      <c r="V8" s="274" t="s">
        <v>402</v>
      </c>
      <c r="W8" s="274" t="s">
        <v>402</v>
      </c>
      <c r="X8" s="274" t="s">
        <v>402</v>
      </c>
      <c r="Y8" s="274" t="s">
        <v>402</v>
      </c>
      <c r="Z8" s="274" t="s">
        <v>402</v>
      </c>
      <c r="AA8" s="137">
        <f>COUNTIF(H8:Z8,"Sí")</f>
        <v>9</v>
      </c>
      <c r="AB8" s="279" t="str">
        <f>+IF(AA8&gt;0,IF(AA8&gt;=12,"Catastrófico",IF(AA8&gt;=6,"Mayor","Moderado")),"")</f>
        <v>Mayor</v>
      </c>
      <c r="AC8" s="280" t="str">
        <f>CONCATENATE(G8," ",AB8)</f>
        <v>Rara vez Mayor</v>
      </c>
      <c r="AD8" s="281" t="str">
        <f>IFERROR(VLOOKUP(AC8,'Listas y tablas'!$AH$3:$AI$17,2,FALSE),"")</f>
        <v>Bajo</v>
      </c>
      <c r="AE8" s="280" t="str">
        <f>+IF(ISTEXT(D8),"C","")</f>
        <v>C</v>
      </c>
      <c r="AF8" s="282">
        <f>IF(ISTEXT(D8),1,"")</f>
        <v>1</v>
      </c>
      <c r="AG8" s="282" t="str">
        <f>IF(ISTEXT(D8),CONCATENATE(AE8,AF8),"")</f>
        <v>C1</v>
      </c>
      <c r="AH8" s="283" t="s">
        <v>1281</v>
      </c>
      <c r="AI8" s="282" t="str">
        <f>IF(OR(AJ8="Preventivo",AJ8="Detectivo"),"Probabilidad",IF(AJ8="Correctivo","Impacto",""))</f>
        <v>Probabilidad</v>
      </c>
      <c r="AJ8" s="284" t="s">
        <v>381</v>
      </c>
      <c r="AK8" s="284" t="s">
        <v>422</v>
      </c>
      <c r="AL8" s="285"/>
      <c r="AM8" s="284" t="s">
        <v>422</v>
      </c>
      <c r="AN8" s="285"/>
      <c r="AO8" s="284" t="s">
        <v>402</v>
      </c>
      <c r="AP8" s="285"/>
      <c r="AQ8" s="284" t="s">
        <v>422</v>
      </c>
      <c r="AR8" s="285"/>
      <c r="AS8" s="284" t="s">
        <v>422</v>
      </c>
      <c r="AT8" s="285"/>
      <c r="AU8" s="284" t="s">
        <v>422</v>
      </c>
      <c r="AV8" s="285"/>
      <c r="AW8" s="284" t="s">
        <v>422</v>
      </c>
      <c r="AX8" s="282">
        <f>IF(AW8="Sí",30,0)</f>
        <v>30</v>
      </c>
      <c r="AY8" s="282">
        <f>+AL8+AN8+AP8+AR8+AT8+AV8+AX8</f>
        <v>30</v>
      </c>
      <c r="AZ8" s="282">
        <f>+IF(AY8&gt;=76,2,IF(AY8&gt;50,1,0))</f>
        <v>0</v>
      </c>
      <c r="BA8" s="282">
        <f>IF(ISTEXT(AJ8),IF(F8-AZ8&lt;1,1,F8-AZ8),"")</f>
        <v>1</v>
      </c>
      <c r="BB8" s="282" t="str">
        <f>IFERROR(IF(ISNUMBER(BA8),VLOOKUP(BA8,'Listas y tablas'!$AC$2:$AF$7,2,FALSE),""),"")</f>
        <v>Rara vez</v>
      </c>
      <c r="BC8" s="282" t="str">
        <f t="shared" ref="BC8:BC39" si="0">CONCATENATE(BB8," ",AB8)</f>
        <v>Rara vez Mayor</v>
      </c>
      <c r="BD8" s="291" t="str">
        <f>IFERROR(VLOOKUP(BC8,'Listas y tablas'!$AH$3:$AI$17,2,FALSE),"")</f>
        <v>Bajo</v>
      </c>
      <c r="BE8" s="299" t="s">
        <v>386</v>
      </c>
      <c r="BF8" s="300" t="s">
        <v>1282</v>
      </c>
      <c r="BG8" s="301" t="s">
        <v>1283</v>
      </c>
      <c r="BH8" s="301" t="s">
        <v>389</v>
      </c>
      <c r="BI8" s="302">
        <v>45047</v>
      </c>
      <c r="BJ8" s="302">
        <v>45077</v>
      </c>
      <c r="BK8" s="303" t="s">
        <v>1284</v>
      </c>
      <c r="BL8" s="303" t="s">
        <v>1285</v>
      </c>
      <c r="BM8" s="301" t="s">
        <v>389</v>
      </c>
      <c r="BN8" s="301" t="s">
        <v>1286</v>
      </c>
      <c r="BO8" s="301" t="s">
        <v>1287</v>
      </c>
      <c r="BP8" s="301" t="s">
        <v>1288</v>
      </c>
      <c r="BQ8" s="312" t="s">
        <v>1289</v>
      </c>
      <c r="BR8" s="313" t="s">
        <v>1290</v>
      </c>
      <c r="BS8" s="163">
        <v>0</v>
      </c>
      <c r="BT8" s="163">
        <v>0</v>
      </c>
      <c r="BU8" s="313" t="s">
        <v>400</v>
      </c>
      <c r="BV8" s="163" t="s">
        <v>401</v>
      </c>
      <c r="BW8" s="163" t="s">
        <v>402</v>
      </c>
      <c r="BX8" s="163" t="s">
        <v>402</v>
      </c>
      <c r="BY8" s="171" t="s">
        <v>401</v>
      </c>
      <c r="BZ8" s="323" t="s">
        <v>1291</v>
      </c>
      <c r="CA8" s="324" t="s">
        <v>404</v>
      </c>
      <c r="CB8" s="181" t="s">
        <v>1292</v>
      </c>
      <c r="CC8" s="182" t="s">
        <v>406</v>
      </c>
      <c r="CD8" s="181" t="s">
        <v>402</v>
      </c>
      <c r="CE8" s="181" t="s">
        <v>402</v>
      </c>
      <c r="CF8" s="183" t="s">
        <v>401</v>
      </c>
      <c r="CG8" s="323" t="s">
        <v>1293</v>
      </c>
      <c r="CH8" s="327" t="s">
        <v>408</v>
      </c>
      <c r="CI8" s="328" t="s">
        <v>402</v>
      </c>
      <c r="CJ8" s="193"/>
      <c r="CK8" s="194"/>
      <c r="CL8" s="194"/>
      <c r="CM8" s="194"/>
      <c r="CN8" s="194"/>
      <c r="CO8" s="194"/>
      <c r="CP8" s="194"/>
      <c r="CQ8" s="194"/>
      <c r="CR8" s="204"/>
      <c r="CS8" s="205"/>
      <c r="CT8" s="206"/>
      <c r="CU8" s="206"/>
      <c r="CV8" s="206"/>
      <c r="CW8" s="206"/>
      <c r="CX8" s="206"/>
      <c r="CY8" s="213"/>
      <c r="CZ8" s="214"/>
      <c r="DA8" s="206"/>
      <c r="DB8" s="213"/>
      <c r="DC8" s="215"/>
      <c r="DD8" s="216"/>
      <c r="DE8" s="216"/>
      <c r="DF8" s="216"/>
      <c r="DG8" s="216"/>
      <c r="DH8" s="216"/>
      <c r="DI8" s="216"/>
      <c r="DJ8" s="216"/>
      <c r="DK8" s="225"/>
      <c r="DL8" s="226"/>
      <c r="DM8" s="227"/>
      <c r="DN8" s="227"/>
      <c r="DO8" s="227"/>
      <c r="DP8" s="227"/>
      <c r="DQ8" s="227"/>
      <c r="DR8" s="234"/>
      <c r="DS8" s="226"/>
      <c r="DT8" s="227"/>
      <c r="DU8" s="234"/>
    </row>
    <row r="9" spans="1:125" ht="247.5">
      <c r="A9" s="271">
        <v>8</v>
      </c>
      <c r="B9" s="272" t="str">
        <f>IFERROR(VLOOKUP($A9,Riesgos!$A$7:$H$84,2,FALSE),"")</f>
        <v>Atención a la Ciudadanía</v>
      </c>
      <c r="C9" s="272" t="str">
        <f>IFERROR(VLOOKUP($A9,Riesgos!$A$7:$H$84,7,FALSE),"")</f>
        <v>Falta de información clara y debilidad en canales de acceso a
la publicidad de las condiciones del trámite</v>
      </c>
      <c r="D9" s="272" t="str">
        <f>IFERROR(VLOOKUP($A9,Riesgos!$A$7:$H$84,8,FALSE),"")</f>
        <v xml:space="preserve">Posibilidad de solicitar o recibir  cobro indebidos durante la prestación del servicio de atención a la cíudadanía por parte de los servidores del IDPC que desvíen la gestión de lo público para el beneficio propio o de un tercero </v>
      </c>
      <c r="E9" s="273" t="s">
        <v>1280</v>
      </c>
      <c r="F9" s="274">
        <v>1</v>
      </c>
      <c r="G9" s="137" t="str">
        <f>IF(ISNUMBER(F9),VLOOKUP(F9,'Listas y tablas'!$AC$2:$AF$7,2,FALSE),"")</f>
        <v>Rara vez</v>
      </c>
      <c r="H9" s="274" t="s">
        <v>422</v>
      </c>
      <c r="I9" s="274" t="s">
        <v>422</v>
      </c>
      <c r="J9" s="274" t="s">
        <v>422</v>
      </c>
      <c r="K9" s="274" t="s">
        <v>422</v>
      </c>
      <c r="L9" s="274" t="s">
        <v>422</v>
      </c>
      <c r="M9" s="274" t="s">
        <v>422</v>
      </c>
      <c r="N9" s="274" t="s">
        <v>422</v>
      </c>
      <c r="O9" s="274" t="s">
        <v>402</v>
      </c>
      <c r="P9" s="274" t="s">
        <v>422</v>
      </c>
      <c r="Q9" s="274" t="s">
        <v>422</v>
      </c>
      <c r="R9" s="274" t="s">
        <v>422</v>
      </c>
      <c r="S9" s="274" t="s">
        <v>402</v>
      </c>
      <c r="T9" s="274" t="s">
        <v>422</v>
      </c>
      <c r="U9" s="274" t="s">
        <v>422</v>
      </c>
      <c r="V9" s="274" t="s">
        <v>422</v>
      </c>
      <c r="W9" s="274" t="s">
        <v>402</v>
      </c>
      <c r="X9" s="274" t="s">
        <v>422</v>
      </c>
      <c r="Y9" s="274" t="s">
        <v>402</v>
      </c>
      <c r="Z9" s="274" t="s">
        <v>402</v>
      </c>
      <c r="AA9" s="137">
        <f t="shared" ref="AA9:AA67" si="1">COUNTIF(H9:Z9,"Sí")</f>
        <v>14</v>
      </c>
      <c r="AB9" s="279" t="str">
        <f t="shared" ref="AB9:AB67" si="2">+IF(AA9&gt;0,IF(AA9&gt;=12,"Catastrófico",IF(AA9&gt;=6,"Mayor","Moderado")),"")</f>
        <v>Catastrófico</v>
      </c>
      <c r="AC9" s="280" t="str">
        <f t="shared" ref="AC9:AC67" si="3">CONCATENATE(G9," ",AB9)</f>
        <v>Rara vez Catastrófico</v>
      </c>
      <c r="AD9" s="281" t="str">
        <f>IFERROR(VLOOKUP(AC9,'Listas y tablas'!$AH$3:$AI$17,2,FALSE),"")</f>
        <v>Moderado</v>
      </c>
      <c r="AE9" s="280" t="str">
        <f t="shared" ref="AE9:AE67" si="4">+IF(ISTEXT(D9),"C","")</f>
        <v>C</v>
      </c>
      <c r="AF9" s="282">
        <f t="shared" ref="AF9:AF40" si="5">IF(ISTEXT(D9),1+AF8,"")</f>
        <v>2</v>
      </c>
      <c r="AG9" s="282" t="str">
        <f t="shared" ref="AG9:AG67" si="6">IF(ISTEXT(D9),CONCATENATE(AE9,AF9),"")</f>
        <v>C2</v>
      </c>
      <c r="AH9" s="286" t="s">
        <v>1294</v>
      </c>
      <c r="AI9" s="282" t="str">
        <f>IF(OR(AJ9="Preventivo",AJ9="Detectivo"),"Probabilidad",IF(AJ9="Correctivo","Impacto",""))</f>
        <v>Probabilidad</v>
      </c>
      <c r="AJ9" s="284" t="s">
        <v>381</v>
      </c>
      <c r="AK9" s="284" t="s">
        <v>422</v>
      </c>
      <c r="AL9" s="285">
        <f t="shared" ref="AL9:AL67" si="7">IF(AK9="Sí",15,0)</f>
        <v>15</v>
      </c>
      <c r="AM9" s="284" t="s">
        <v>422</v>
      </c>
      <c r="AN9" s="285">
        <f t="shared" ref="AN9:AN67" si="8">IF(AM9="Sí",5,0)</f>
        <v>5</v>
      </c>
      <c r="AO9" s="284" t="s">
        <v>402</v>
      </c>
      <c r="AP9" s="285">
        <f t="shared" ref="AP9:AP67" si="9">IF(AO9="Sí",15,0)</f>
        <v>0</v>
      </c>
      <c r="AQ9" s="284" t="s">
        <v>422</v>
      </c>
      <c r="AR9" s="285">
        <f t="shared" ref="AR9:AR67" si="10">IF(AQ9="Sí",10,0)</f>
        <v>10</v>
      </c>
      <c r="AS9" s="284" t="s">
        <v>422</v>
      </c>
      <c r="AT9" s="285">
        <f t="shared" ref="AT9:AT67" si="11">IF(AS9="Sí",15,0)</f>
        <v>15</v>
      </c>
      <c r="AU9" s="284" t="s">
        <v>422</v>
      </c>
      <c r="AV9" s="285">
        <f t="shared" ref="AV9:AV67" si="12">IF(AU9="Sí",10,0)</f>
        <v>10</v>
      </c>
      <c r="AW9" s="284" t="s">
        <v>422</v>
      </c>
      <c r="AX9" s="282">
        <f t="shared" ref="AX9:AX67" si="13">IF(AW9="Sí",30,0)</f>
        <v>30</v>
      </c>
      <c r="AY9" s="282">
        <f t="shared" ref="AY9:AY67" si="14">+AL9+AN9+AP9+AR9+AT9+AV9+AX9</f>
        <v>85</v>
      </c>
      <c r="AZ9" s="282">
        <f t="shared" ref="AZ9:AZ67" si="15">+IF(AY9&gt;=76,2,IF(AY9&gt;50,1,0))</f>
        <v>2</v>
      </c>
      <c r="BA9" s="282">
        <f t="shared" ref="BA9:BA67" si="16">IF(ISTEXT(AJ9),IF(F9-AZ9&lt;1,1,F9-AZ9),"")</f>
        <v>1</v>
      </c>
      <c r="BB9" s="282" t="str">
        <f>IFERROR(IF(ISNUMBER(BA9),VLOOKUP(BA9,'Listas y tablas'!$AC$2:$AF$7,2,FALSE),""),"")</f>
        <v>Rara vez</v>
      </c>
      <c r="BC9" s="282" t="str">
        <f t="shared" si="0"/>
        <v>Rara vez Catastrófico</v>
      </c>
      <c r="BD9" s="291" t="str">
        <f>IFERROR(VLOOKUP(BC9,'Listas y tablas'!$AH$3:$AI$17,2,FALSE),"")</f>
        <v>Moderado</v>
      </c>
      <c r="BE9" s="299" t="s">
        <v>386</v>
      </c>
      <c r="BF9" s="300" t="s">
        <v>1295</v>
      </c>
      <c r="BG9" s="273" t="s">
        <v>1296</v>
      </c>
      <c r="BH9" s="273" t="s">
        <v>1297</v>
      </c>
      <c r="BI9" s="304">
        <v>44958</v>
      </c>
      <c r="BJ9" s="304">
        <v>45291</v>
      </c>
      <c r="BK9" s="304" t="s">
        <v>1298</v>
      </c>
      <c r="BL9" s="284" t="s">
        <v>1299</v>
      </c>
      <c r="BM9" s="273" t="s">
        <v>1300</v>
      </c>
      <c r="BN9" s="273" t="s">
        <v>1301</v>
      </c>
      <c r="BO9" s="273" t="s">
        <v>1302</v>
      </c>
      <c r="BP9" s="306"/>
      <c r="BQ9" s="312" t="s">
        <v>1303</v>
      </c>
      <c r="BR9" s="313" t="s">
        <v>1304</v>
      </c>
      <c r="BS9" s="163"/>
      <c r="BT9" s="313"/>
      <c r="BU9" s="313" t="s">
        <v>1305</v>
      </c>
      <c r="BV9" s="313" t="s">
        <v>1306</v>
      </c>
      <c r="BW9" s="163" t="s">
        <v>402</v>
      </c>
      <c r="BX9" s="163" t="s">
        <v>402</v>
      </c>
      <c r="BY9" s="171"/>
      <c r="BZ9" s="323" t="s">
        <v>472</v>
      </c>
      <c r="CA9" s="324" t="s">
        <v>404</v>
      </c>
      <c r="CB9" s="324" t="s">
        <v>1307</v>
      </c>
      <c r="CC9" s="329" t="s">
        <v>474</v>
      </c>
      <c r="CD9" s="181"/>
      <c r="CE9" s="181"/>
      <c r="CF9" s="183"/>
      <c r="CG9" s="323" t="s">
        <v>1308</v>
      </c>
      <c r="CH9" s="327" t="s">
        <v>408</v>
      </c>
      <c r="CI9" s="328" t="s">
        <v>402</v>
      </c>
      <c r="CJ9" s="193"/>
      <c r="CK9" s="194"/>
      <c r="CL9" s="194"/>
      <c r="CM9" s="194"/>
      <c r="CN9" s="194"/>
      <c r="CO9" s="194"/>
      <c r="CP9" s="194"/>
      <c r="CQ9" s="194"/>
      <c r="CR9" s="204"/>
      <c r="CS9" s="205"/>
      <c r="CT9" s="206"/>
      <c r="CU9" s="206"/>
      <c r="CV9" s="206"/>
      <c r="CW9" s="206"/>
      <c r="CX9" s="206"/>
      <c r="CY9" s="213"/>
      <c r="CZ9" s="214"/>
      <c r="DA9" s="206"/>
      <c r="DB9" s="213"/>
      <c r="DC9" s="215"/>
      <c r="DD9" s="216"/>
      <c r="DE9" s="216"/>
      <c r="DF9" s="216"/>
      <c r="DG9" s="216"/>
      <c r="DH9" s="216"/>
      <c r="DI9" s="216"/>
      <c r="DJ9" s="216"/>
      <c r="DK9" s="225"/>
      <c r="DL9" s="226"/>
      <c r="DM9" s="227"/>
      <c r="DN9" s="227"/>
      <c r="DO9" s="227"/>
      <c r="DP9" s="227"/>
      <c r="DQ9" s="227"/>
      <c r="DR9" s="234"/>
      <c r="DS9" s="226"/>
      <c r="DT9" s="227"/>
      <c r="DU9" s="234"/>
    </row>
    <row r="10" spans="1:125" ht="148.5">
      <c r="A10" s="271">
        <v>12</v>
      </c>
      <c r="B10" s="272" t="str">
        <f>IFERROR(VLOOKUP($A10,Riesgos!$A$7:$H$84,2,FALSE),"")</f>
        <v>Control Interno Disciplinario</v>
      </c>
      <c r="C10" s="272" t="str">
        <f>IFERROR(VLOOKUP($A10,Riesgos!$A$7:$H$84,7,FALSE),"")</f>
        <v>debido al interés de obtener un beneficio particular.</v>
      </c>
      <c r="D10" s="272" t="str">
        <f>IFERROR(VLOOKUP($A10,Riesgos!$A$7:$H$84,8,FALSE),"")</f>
        <v>Posibilidad de promover, inducir y /o provocar actuaciones administrativas y/o fallos o decisiones no ajustadas a los lineamientos legales, por abuso de poder del servidor, desviando la gestión de lo público y atendiendo intereses particulares a cambio de obtener un beneficio personal.</v>
      </c>
      <c r="E10" s="273" t="s">
        <v>453</v>
      </c>
      <c r="F10" s="274">
        <v>1</v>
      </c>
      <c r="G10" s="137" t="str">
        <f>IF(ISNUMBER(F10),VLOOKUP(F10,'Listas y tablas'!$AC$2:$AF$7,2,FALSE),"")</f>
        <v>Rara vez</v>
      </c>
      <c r="H10" s="274" t="s">
        <v>422</v>
      </c>
      <c r="I10" s="274" t="s">
        <v>402</v>
      </c>
      <c r="J10" s="274" t="s">
        <v>402</v>
      </c>
      <c r="K10" s="274" t="s">
        <v>402</v>
      </c>
      <c r="L10" s="274" t="s">
        <v>422</v>
      </c>
      <c r="M10" s="274" t="s">
        <v>402</v>
      </c>
      <c r="N10" s="274" t="s">
        <v>402</v>
      </c>
      <c r="O10" s="274" t="s">
        <v>402</v>
      </c>
      <c r="P10" s="274" t="s">
        <v>402</v>
      </c>
      <c r="Q10" s="274" t="s">
        <v>422</v>
      </c>
      <c r="R10" s="274" t="s">
        <v>422</v>
      </c>
      <c r="S10" s="274" t="s">
        <v>422</v>
      </c>
      <c r="T10" s="274" t="s">
        <v>402</v>
      </c>
      <c r="U10" s="274" t="s">
        <v>422</v>
      </c>
      <c r="V10" s="274" t="s">
        <v>402</v>
      </c>
      <c r="W10" s="274" t="s">
        <v>402</v>
      </c>
      <c r="X10" s="274" t="s">
        <v>402</v>
      </c>
      <c r="Y10" s="274" t="s">
        <v>402</v>
      </c>
      <c r="Z10" s="274" t="s">
        <v>402</v>
      </c>
      <c r="AA10" s="137">
        <f t="shared" si="1"/>
        <v>6</v>
      </c>
      <c r="AB10" s="279" t="str">
        <f t="shared" si="2"/>
        <v>Mayor</v>
      </c>
      <c r="AC10" s="280" t="str">
        <f t="shared" si="3"/>
        <v>Rara vez Mayor</v>
      </c>
      <c r="AD10" s="281" t="str">
        <f>IFERROR(VLOOKUP(AC10,'Listas y tablas'!$AH$3:$AI$17,2,FALSE),"")</f>
        <v>Bajo</v>
      </c>
      <c r="AE10" s="280" t="str">
        <f t="shared" si="4"/>
        <v>C</v>
      </c>
      <c r="AF10" s="282">
        <f t="shared" si="5"/>
        <v>3</v>
      </c>
      <c r="AG10" s="282" t="str">
        <f t="shared" si="6"/>
        <v>C3</v>
      </c>
      <c r="AH10" s="287" t="s">
        <v>1309</v>
      </c>
      <c r="AI10" s="282" t="str">
        <f>IF(OR(AJ10="Preventivo",AJ10="Detectivo"),"Probabilidad",IF(AJ10="Correctivo","Impacto",""))</f>
        <v>Probabilidad</v>
      </c>
      <c r="AJ10" s="284" t="s">
        <v>381</v>
      </c>
      <c r="AK10" s="284" t="s">
        <v>402</v>
      </c>
      <c r="AL10" s="285">
        <f t="shared" si="7"/>
        <v>0</v>
      </c>
      <c r="AM10" s="284" t="s">
        <v>422</v>
      </c>
      <c r="AN10" s="285">
        <f t="shared" si="8"/>
        <v>5</v>
      </c>
      <c r="AO10" s="284" t="s">
        <v>402</v>
      </c>
      <c r="AP10" s="285">
        <f t="shared" si="9"/>
        <v>0</v>
      </c>
      <c r="AQ10" s="284" t="s">
        <v>422</v>
      </c>
      <c r="AR10" s="285">
        <f t="shared" si="10"/>
        <v>10</v>
      </c>
      <c r="AS10" s="284" t="s">
        <v>422</v>
      </c>
      <c r="AT10" s="285">
        <f t="shared" si="11"/>
        <v>15</v>
      </c>
      <c r="AU10" s="284" t="s">
        <v>422</v>
      </c>
      <c r="AV10" s="285">
        <f t="shared" si="12"/>
        <v>10</v>
      </c>
      <c r="AW10" s="284" t="s">
        <v>422</v>
      </c>
      <c r="AX10" s="282">
        <f t="shared" si="13"/>
        <v>30</v>
      </c>
      <c r="AY10" s="282">
        <f t="shared" si="14"/>
        <v>70</v>
      </c>
      <c r="AZ10" s="282">
        <f t="shared" si="15"/>
        <v>1</v>
      </c>
      <c r="BA10" s="282">
        <f t="shared" si="16"/>
        <v>1</v>
      </c>
      <c r="BB10" s="282" t="str">
        <f>IFERROR(IF(ISNUMBER(BA10),VLOOKUP(BA10,'Listas y tablas'!$AC$2:$AF$7,2,FALSE),""),"")</f>
        <v>Rara vez</v>
      </c>
      <c r="BC10" s="282" t="str">
        <f t="shared" si="0"/>
        <v>Rara vez Mayor</v>
      </c>
      <c r="BD10" s="291" t="str">
        <f>IFERROR(VLOOKUP(BC10,'Listas y tablas'!$AH$3:$AI$17,2,FALSE),"")</f>
        <v>Bajo</v>
      </c>
      <c r="BE10" s="299" t="s">
        <v>386</v>
      </c>
      <c r="BF10" s="300" t="s">
        <v>1310</v>
      </c>
      <c r="BG10" s="273" t="s">
        <v>1311</v>
      </c>
      <c r="BH10" s="273" t="s">
        <v>1312</v>
      </c>
      <c r="BI10" s="304">
        <v>44929</v>
      </c>
      <c r="BJ10" s="304">
        <v>45291</v>
      </c>
      <c r="BK10" s="273" t="s">
        <v>1313</v>
      </c>
      <c r="BL10" s="273" t="s">
        <v>401</v>
      </c>
      <c r="BM10" s="273" t="s">
        <v>1314</v>
      </c>
      <c r="BN10" s="273" t="s">
        <v>1315</v>
      </c>
      <c r="BO10" s="273" t="s">
        <v>1316</v>
      </c>
      <c r="BP10" s="273" t="s">
        <v>1317</v>
      </c>
      <c r="BQ10" s="312" t="s">
        <v>1318</v>
      </c>
      <c r="BR10" s="313" t="s">
        <v>1319</v>
      </c>
      <c r="BS10" s="163" t="s">
        <v>1320</v>
      </c>
      <c r="BT10" s="313" t="s">
        <v>1321</v>
      </c>
      <c r="BU10" s="313" t="s">
        <v>1322</v>
      </c>
      <c r="BV10" s="313" t="s">
        <v>1323</v>
      </c>
      <c r="BW10" s="163" t="s">
        <v>402</v>
      </c>
      <c r="BX10" s="163"/>
      <c r="BY10" s="171"/>
      <c r="BZ10" s="323" t="s">
        <v>1324</v>
      </c>
      <c r="CA10" s="324" t="s">
        <v>404</v>
      </c>
      <c r="CB10" s="324" t="s">
        <v>1325</v>
      </c>
      <c r="CC10" s="329" t="s">
        <v>434</v>
      </c>
      <c r="CD10" s="181"/>
      <c r="CE10" s="181"/>
      <c r="CF10" s="183"/>
      <c r="CG10" s="323" t="s">
        <v>1326</v>
      </c>
      <c r="CH10" s="327" t="s">
        <v>408</v>
      </c>
      <c r="CI10" s="328" t="s">
        <v>402</v>
      </c>
      <c r="CJ10" s="193"/>
      <c r="CK10" s="194"/>
      <c r="CL10" s="194"/>
      <c r="CM10" s="194"/>
      <c r="CN10" s="194"/>
      <c r="CO10" s="194"/>
      <c r="CP10" s="194"/>
      <c r="CQ10" s="194"/>
      <c r="CR10" s="204"/>
      <c r="CS10" s="205"/>
      <c r="CT10" s="206"/>
      <c r="CU10" s="206"/>
      <c r="CV10" s="206"/>
      <c r="CW10" s="206"/>
      <c r="CX10" s="206"/>
      <c r="CY10" s="213"/>
      <c r="CZ10" s="214"/>
      <c r="DA10" s="206"/>
      <c r="DB10" s="213"/>
      <c r="DC10" s="215"/>
      <c r="DD10" s="216"/>
      <c r="DE10" s="216"/>
      <c r="DF10" s="216"/>
      <c r="DG10" s="216"/>
      <c r="DH10" s="216"/>
      <c r="DI10" s="216"/>
      <c r="DJ10" s="216"/>
      <c r="DK10" s="225"/>
      <c r="DL10" s="226"/>
      <c r="DM10" s="227"/>
      <c r="DN10" s="227"/>
      <c r="DO10" s="227"/>
      <c r="DP10" s="227"/>
      <c r="DQ10" s="227"/>
      <c r="DR10" s="234"/>
      <c r="DS10" s="226"/>
      <c r="DT10" s="227"/>
      <c r="DU10" s="234"/>
    </row>
    <row r="11" spans="1:125" ht="115.5">
      <c r="A11" s="581">
        <v>26</v>
      </c>
      <c r="B11" s="584" t="str">
        <f>IFERROR(VLOOKUP($A11,Riesgos!$A$7:$H$84,2,FALSE),"")</f>
        <v>Gestión Contractual</v>
      </c>
      <c r="C11" s="584" t="str">
        <f>IFERROR(VLOOKUP($A11,Riesgos!$A$7:$H$84,7,FALSE),"")</f>
        <v>Debido a que el funcionario o contratista de la entidad incumpla sus funciones u oblligaciones  contractuales afectando  la moralidad administrativa buscando un favorecimiento propio o de un tercero.</v>
      </c>
      <c r="D11" s="584" t="str">
        <f>IFERROR(VLOOKUP($A11,Riesgos!$A$7:$H$84,8,FALSE),"")</f>
        <v xml:space="preserve">Posibilidad de que un funcionario o contratista omita el ejercicio de sus funciones u obligaciones en abuso de su poder para favorecimiento propio o de un tercero. </v>
      </c>
      <c r="E11" s="589" t="s">
        <v>574</v>
      </c>
      <c r="F11" s="671">
        <v>1</v>
      </c>
      <c r="G11" s="674" t="str">
        <f>IF(ISNUMBER(F11),VLOOKUP(F11,'Listas y tablas'!$AC$2:$AF$7,2,FALSE),"")</f>
        <v>Rara vez</v>
      </c>
      <c r="H11" s="671" t="s">
        <v>422</v>
      </c>
      <c r="I11" s="671" t="s">
        <v>422</v>
      </c>
      <c r="J11" s="671" t="s">
        <v>422</v>
      </c>
      <c r="K11" s="671" t="s">
        <v>402</v>
      </c>
      <c r="L11" s="671" t="s">
        <v>422</v>
      </c>
      <c r="M11" s="671" t="s">
        <v>422</v>
      </c>
      <c r="N11" s="671" t="s">
        <v>422</v>
      </c>
      <c r="O11" s="671" t="s">
        <v>422</v>
      </c>
      <c r="P11" s="671" t="s">
        <v>402</v>
      </c>
      <c r="Q11" s="671" t="s">
        <v>422</v>
      </c>
      <c r="R11" s="671" t="s">
        <v>422</v>
      </c>
      <c r="S11" s="671" t="s">
        <v>422</v>
      </c>
      <c r="T11" s="671" t="s">
        <v>422</v>
      </c>
      <c r="U11" s="671" t="s">
        <v>422</v>
      </c>
      <c r="V11" s="671" t="s">
        <v>422</v>
      </c>
      <c r="W11" s="671" t="s">
        <v>402</v>
      </c>
      <c r="X11" s="671" t="s">
        <v>422</v>
      </c>
      <c r="Y11" s="671" t="s">
        <v>422</v>
      </c>
      <c r="Z11" s="671" t="s">
        <v>402</v>
      </c>
      <c r="AA11" s="137">
        <f t="shared" si="1"/>
        <v>15</v>
      </c>
      <c r="AB11" s="594" t="str">
        <f t="shared" si="2"/>
        <v>Catastrófico</v>
      </c>
      <c r="AC11" s="677" t="str">
        <f t="shared" si="3"/>
        <v>Rara vez Catastrófico</v>
      </c>
      <c r="AD11" s="677" t="str">
        <f>IFERROR(VLOOKUP(AC11,'Listas y tablas'!$AH$3:$AI$17,2,FALSE),"")</f>
        <v>Moderado</v>
      </c>
      <c r="AE11" s="280" t="str">
        <f t="shared" si="4"/>
        <v>C</v>
      </c>
      <c r="AF11" s="282">
        <f t="shared" si="5"/>
        <v>4</v>
      </c>
      <c r="AG11" s="282" t="str">
        <f t="shared" si="6"/>
        <v>C4</v>
      </c>
      <c r="AH11" s="288" t="s">
        <v>1327</v>
      </c>
      <c r="AI11" s="282" t="str">
        <f t="shared" ref="AI11:AI16" si="17">IF(OR(AJ11="Preventivo",AJ11="Detectivo"),"Probabilidad",IF(AJ11="Correctivo","Impacto",""))</f>
        <v>Probabilidad</v>
      </c>
      <c r="AJ11" s="284" t="s">
        <v>381</v>
      </c>
      <c r="AK11" s="284" t="s">
        <v>422</v>
      </c>
      <c r="AL11" s="285">
        <f t="shared" si="7"/>
        <v>15</v>
      </c>
      <c r="AM11" s="284" t="s">
        <v>422</v>
      </c>
      <c r="AN11" s="285">
        <f t="shared" si="8"/>
        <v>5</v>
      </c>
      <c r="AO11" s="284" t="s">
        <v>402</v>
      </c>
      <c r="AP11" s="285">
        <f t="shared" si="9"/>
        <v>0</v>
      </c>
      <c r="AQ11" s="284" t="s">
        <v>422</v>
      </c>
      <c r="AR11" s="285">
        <f t="shared" si="10"/>
        <v>10</v>
      </c>
      <c r="AS11" s="284" t="s">
        <v>422</v>
      </c>
      <c r="AT11" s="285">
        <f t="shared" si="11"/>
        <v>15</v>
      </c>
      <c r="AU11" s="284" t="s">
        <v>422</v>
      </c>
      <c r="AV11" s="285">
        <f t="shared" si="12"/>
        <v>10</v>
      </c>
      <c r="AW11" s="284" t="s">
        <v>422</v>
      </c>
      <c r="AX11" s="282">
        <f t="shared" si="13"/>
        <v>30</v>
      </c>
      <c r="AY11" s="282">
        <f t="shared" si="14"/>
        <v>85</v>
      </c>
      <c r="AZ11" s="282">
        <f t="shared" si="15"/>
        <v>2</v>
      </c>
      <c r="BA11" s="282">
        <f t="shared" si="16"/>
        <v>1</v>
      </c>
      <c r="BB11" s="282" t="str">
        <f>IFERROR(IF(ISNUMBER(BA11),VLOOKUP(BA11,'Listas y tablas'!$AC$2:$AF$7,2,FALSE),""),"")</f>
        <v>Rara vez</v>
      </c>
      <c r="BC11" s="282" t="str">
        <f t="shared" si="0"/>
        <v>Rara vez Catastrófico</v>
      </c>
      <c r="BD11" s="683" t="str">
        <f>IFERROR(VLOOKUP(BC11,'Listas y tablas'!$AH$3:$AI$17,2,FALSE),"")</f>
        <v>Moderado</v>
      </c>
      <c r="BE11" s="609" t="s">
        <v>386</v>
      </c>
      <c r="BF11" s="300" t="s">
        <v>1328</v>
      </c>
      <c r="BG11" s="273" t="s">
        <v>1329</v>
      </c>
      <c r="BH11" s="273" t="s">
        <v>818</v>
      </c>
      <c r="BI11" s="304">
        <v>44958</v>
      </c>
      <c r="BJ11" s="304">
        <v>45291</v>
      </c>
      <c r="BK11" s="306"/>
      <c r="BL11" s="306"/>
      <c r="BM11" s="306"/>
      <c r="BN11" s="306"/>
      <c r="BO11" s="306"/>
      <c r="BP11" s="306"/>
      <c r="BQ11" s="312" t="s">
        <v>1330</v>
      </c>
      <c r="BR11" s="163" t="s">
        <v>554</v>
      </c>
      <c r="BS11" s="163">
        <v>1</v>
      </c>
      <c r="BT11" s="163">
        <v>1</v>
      </c>
      <c r="BU11" s="313" t="s">
        <v>1331</v>
      </c>
      <c r="BV11" s="163"/>
      <c r="BW11" s="163"/>
      <c r="BX11" s="163"/>
      <c r="BY11" s="171"/>
      <c r="BZ11" s="323" t="s">
        <v>1332</v>
      </c>
      <c r="CA11" s="324" t="s">
        <v>414</v>
      </c>
      <c r="CB11" s="324" t="s">
        <v>1333</v>
      </c>
      <c r="CC11" s="329" t="s">
        <v>434</v>
      </c>
      <c r="CD11" s="181"/>
      <c r="CE11" s="181"/>
      <c r="CF11" s="183"/>
      <c r="CG11" s="323" t="s">
        <v>1334</v>
      </c>
      <c r="CH11" s="327" t="s">
        <v>408</v>
      </c>
      <c r="CI11" s="641" t="s">
        <v>402</v>
      </c>
      <c r="CJ11" s="193"/>
      <c r="CK11" s="194"/>
      <c r="CL11" s="194"/>
      <c r="CM11" s="194"/>
      <c r="CN11" s="194"/>
      <c r="CO11" s="194"/>
      <c r="CP11" s="194"/>
      <c r="CQ11" s="194"/>
      <c r="CR11" s="204"/>
      <c r="CS11" s="205"/>
      <c r="CT11" s="206"/>
      <c r="CU11" s="206"/>
      <c r="CV11" s="206"/>
      <c r="CW11" s="206"/>
      <c r="CX11" s="206"/>
      <c r="CY11" s="213"/>
      <c r="CZ11" s="214"/>
      <c r="DA11" s="206"/>
      <c r="DB11" s="213"/>
      <c r="DC11" s="215"/>
      <c r="DD11" s="216"/>
      <c r="DE11" s="216"/>
      <c r="DF11" s="216"/>
      <c r="DG11" s="216"/>
      <c r="DH11" s="216"/>
      <c r="DI11" s="216"/>
      <c r="DJ11" s="216"/>
      <c r="DK11" s="225"/>
      <c r="DL11" s="226"/>
      <c r="DM11" s="227"/>
      <c r="DN11" s="227"/>
      <c r="DO11" s="227"/>
      <c r="DP11" s="227"/>
      <c r="DQ11" s="227"/>
      <c r="DR11" s="234"/>
      <c r="DS11" s="226"/>
      <c r="DT11" s="227"/>
      <c r="DU11" s="234"/>
    </row>
    <row r="12" spans="1:125" ht="409.5">
      <c r="A12" s="582"/>
      <c r="B12" s="585"/>
      <c r="C12" s="585"/>
      <c r="D12" s="585"/>
      <c r="E12" s="590"/>
      <c r="F12" s="672"/>
      <c r="G12" s="675"/>
      <c r="H12" s="672"/>
      <c r="I12" s="672"/>
      <c r="J12" s="672"/>
      <c r="K12" s="672"/>
      <c r="L12" s="672"/>
      <c r="M12" s="672"/>
      <c r="N12" s="672"/>
      <c r="O12" s="672"/>
      <c r="P12" s="672"/>
      <c r="Q12" s="672"/>
      <c r="R12" s="672"/>
      <c r="S12" s="672"/>
      <c r="T12" s="672"/>
      <c r="U12" s="672"/>
      <c r="V12" s="672"/>
      <c r="W12" s="672"/>
      <c r="X12" s="672"/>
      <c r="Y12" s="672"/>
      <c r="Z12" s="672"/>
      <c r="AA12" s="137">
        <f t="shared" si="1"/>
        <v>0</v>
      </c>
      <c r="AB12" s="595"/>
      <c r="AC12" s="678"/>
      <c r="AD12" s="678"/>
      <c r="AE12" s="280" t="str">
        <f>+IF(ISTEXT(D11),"C","")</f>
        <v>C</v>
      </c>
      <c r="AF12" s="282">
        <f>IF(ISTEXT(D11),1+AF11,"")</f>
        <v>5</v>
      </c>
      <c r="AG12" s="282" t="str">
        <f>IF(ISTEXT(D11),CONCATENATE(AE12,AF12),"")</f>
        <v>C5</v>
      </c>
      <c r="AH12" s="286" t="s">
        <v>1335</v>
      </c>
      <c r="AI12" s="282" t="str">
        <f t="shared" si="17"/>
        <v>Probabilidad</v>
      </c>
      <c r="AJ12" s="284" t="s">
        <v>381</v>
      </c>
      <c r="AK12" s="284" t="s">
        <v>422</v>
      </c>
      <c r="AL12" s="285">
        <f t="shared" si="7"/>
        <v>15</v>
      </c>
      <c r="AM12" s="284" t="s">
        <v>422</v>
      </c>
      <c r="AN12" s="285">
        <f t="shared" si="8"/>
        <v>5</v>
      </c>
      <c r="AO12" s="284" t="s">
        <v>402</v>
      </c>
      <c r="AP12" s="285">
        <f t="shared" si="9"/>
        <v>0</v>
      </c>
      <c r="AQ12" s="284" t="s">
        <v>422</v>
      </c>
      <c r="AR12" s="285">
        <f t="shared" si="10"/>
        <v>10</v>
      </c>
      <c r="AS12" s="284" t="s">
        <v>422</v>
      </c>
      <c r="AT12" s="285">
        <f t="shared" si="11"/>
        <v>15</v>
      </c>
      <c r="AU12" s="284" t="s">
        <v>422</v>
      </c>
      <c r="AV12" s="285">
        <f t="shared" si="12"/>
        <v>10</v>
      </c>
      <c r="AW12" s="284" t="s">
        <v>422</v>
      </c>
      <c r="AX12" s="282">
        <f t="shared" si="13"/>
        <v>30</v>
      </c>
      <c r="AY12" s="282">
        <f t="shared" si="14"/>
        <v>85</v>
      </c>
      <c r="AZ12" s="282">
        <f t="shared" si="15"/>
        <v>2</v>
      </c>
      <c r="BA12" s="282">
        <f t="shared" si="16"/>
        <v>1</v>
      </c>
      <c r="BB12" s="282" t="str">
        <f>IFERROR(IF(ISNUMBER(BA12),VLOOKUP(BA12,'Listas y tablas'!$AC$2:$AF$7,2,FALSE),""),"")</f>
        <v>Rara vez</v>
      </c>
      <c r="BC12" s="282" t="str">
        <f t="shared" si="0"/>
        <v>Rara vez</v>
      </c>
      <c r="BD12" s="684"/>
      <c r="BE12" s="611"/>
      <c r="BF12" s="300" t="s">
        <v>1336</v>
      </c>
      <c r="BG12" s="306"/>
      <c r="BH12" s="306"/>
      <c r="BI12" s="306"/>
      <c r="BJ12" s="306"/>
      <c r="BK12" s="306"/>
      <c r="BL12" s="306"/>
      <c r="BM12" s="306"/>
      <c r="BN12" s="306"/>
      <c r="BO12" s="306"/>
      <c r="BP12" s="306"/>
      <c r="BQ12" s="314" t="s">
        <v>1337</v>
      </c>
      <c r="BR12" s="315" t="s">
        <v>829</v>
      </c>
      <c r="BS12" s="163"/>
      <c r="BT12" s="163"/>
      <c r="BU12" s="163"/>
      <c r="BV12" s="163"/>
      <c r="BW12" s="163" t="s">
        <v>402</v>
      </c>
      <c r="BX12" s="163" t="s">
        <v>402</v>
      </c>
      <c r="BY12" s="171" t="s">
        <v>401</v>
      </c>
      <c r="BZ12" s="323" t="s">
        <v>1338</v>
      </c>
      <c r="CA12" s="324" t="s">
        <v>404</v>
      </c>
      <c r="CB12" s="181" t="s">
        <v>1339</v>
      </c>
      <c r="CC12" s="182"/>
      <c r="CD12" s="181"/>
      <c r="CE12" s="181"/>
      <c r="CF12" s="183"/>
      <c r="CG12" s="323" t="s">
        <v>1340</v>
      </c>
      <c r="CH12" s="327" t="s">
        <v>408</v>
      </c>
      <c r="CI12" s="642"/>
      <c r="CJ12" s="193"/>
      <c r="CK12" s="194"/>
      <c r="CL12" s="194"/>
      <c r="CM12" s="194"/>
      <c r="CN12" s="194"/>
      <c r="CO12" s="194"/>
      <c r="CP12" s="194"/>
      <c r="CQ12" s="194"/>
      <c r="CR12" s="204"/>
      <c r="CS12" s="205"/>
      <c r="CT12" s="206"/>
      <c r="CU12" s="206"/>
      <c r="CV12" s="206"/>
      <c r="CW12" s="206"/>
      <c r="CX12" s="206"/>
      <c r="CY12" s="213"/>
      <c r="CZ12" s="214"/>
      <c r="DA12" s="206"/>
      <c r="DB12" s="213"/>
      <c r="DC12" s="215"/>
      <c r="DD12" s="216"/>
      <c r="DE12" s="216"/>
      <c r="DF12" s="216"/>
      <c r="DG12" s="216"/>
      <c r="DH12" s="216"/>
      <c r="DI12" s="216"/>
      <c r="DJ12" s="216"/>
      <c r="DK12" s="225"/>
      <c r="DL12" s="226"/>
      <c r="DM12" s="227"/>
      <c r="DN12" s="227"/>
      <c r="DO12" s="227"/>
      <c r="DP12" s="227"/>
      <c r="DQ12" s="227"/>
      <c r="DR12" s="234"/>
      <c r="DS12" s="226"/>
      <c r="DT12" s="227"/>
      <c r="DU12" s="234"/>
    </row>
    <row r="13" spans="1:125" ht="148.5">
      <c r="A13" s="271">
        <v>28</v>
      </c>
      <c r="B13" s="272" t="str">
        <f>IFERROR(VLOOKUP($A13,Riesgos!$A$7:$H$84,2,FALSE),"")</f>
        <v>Gestión de Talento Humano</v>
      </c>
      <c r="C13" s="272" t="str">
        <f>IFERROR(VLOOKUP($A13,Riesgos!$A$7:$H$84,7,FALSE),"")</f>
        <v>Debido a tráfico de influencias y/o clientelismo.</v>
      </c>
      <c r="D13" s="272" t="str">
        <f>IFERROR(VLOOKUP($A13,Riesgos!$A$7:$H$84,8,FALSE),"")</f>
        <v>Posibilidad de afectación legal, económica y/o reputacional por tráfico de influencias y/o clientelismo en el nombramiento de un aspirante que no cumple con los requisitos mínimos establecidos por abuso de poder de los servidores públicos involucrados desviando la gestión de lo público para beneficio propio o de un tercero.</v>
      </c>
      <c r="E13" s="273" t="s">
        <v>1280</v>
      </c>
      <c r="F13" s="274">
        <v>2</v>
      </c>
      <c r="G13" s="137" t="str">
        <f>IF(ISNUMBER(F13),VLOOKUP(F13,'Listas y tablas'!$AC$2:$AF$7,2,FALSE),"")</f>
        <v>Improbable</v>
      </c>
      <c r="H13" s="274" t="s">
        <v>422</v>
      </c>
      <c r="I13" s="274" t="s">
        <v>402</v>
      </c>
      <c r="J13" s="274" t="s">
        <v>402</v>
      </c>
      <c r="K13" s="274" t="s">
        <v>402</v>
      </c>
      <c r="L13" s="274" t="s">
        <v>422</v>
      </c>
      <c r="M13" s="274" t="s">
        <v>422</v>
      </c>
      <c r="N13" s="274" t="s">
        <v>402</v>
      </c>
      <c r="O13" s="274" t="s">
        <v>402</v>
      </c>
      <c r="P13" s="274" t="s">
        <v>402</v>
      </c>
      <c r="Q13" s="274" t="s">
        <v>422</v>
      </c>
      <c r="R13" s="274" t="s">
        <v>422</v>
      </c>
      <c r="S13" s="274" t="s">
        <v>422</v>
      </c>
      <c r="T13" s="274" t="s">
        <v>422</v>
      </c>
      <c r="U13" s="274" t="s">
        <v>422</v>
      </c>
      <c r="V13" s="274" t="s">
        <v>422</v>
      </c>
      <c r="W13" s="274" t="s">
        <v>402</v>
      </c>
      <c r="X13" s="274" t="s">
        <v>402</v>
      </c>
      <c r="Y13" s="274" t="s">
        <v>402</v>
      </c>
      <c r="Z13" s="274" t="s">
        <v>402</v>
      </c>
      <c r="AA13" s="137">
        <f t="shared" si="1"/>
        <v>9</v>
      </c>
      <c r="AB13" s="279" t="str">
        <f t="shared" si="2"/>
        <v>Mayor</v>
      </c>
      <c r="AC13" s="280" t="str">
        <f t="shared" si="3"/>
        <v>Improbable Mayor</v>
      </c>
      <c r="AD13" s="281" t="str">
        <f>IFERROR(VLOOKUP(AC13,'Listas y tablas'!$AH$3:$AI$17,2,FALSE),"")</f>
        <v>Moderado</v>
      </c>
      <c r="AE13" s="280" t="str">
        <f t="shared" si="4"/>
        <v>C</v>
      </c>
      <c r="AF13" s="282">
        <f t="shared" si="5"/>
        <v>6</v>
      </c>
      <c r="AG13" s="282" t="str">
        <f t="shared" si="6"/>
        <v>C6</v>
      </c>
      <c r="AH13" s="286" t="s">
        <v>1341</v>
      </c>
      <c r="AI13" s="282" t="str">
        <f t="shared" si="17"/>
        <v>Probabilidad</v>
      </c>
      <c r="AJ13" s="284" t="s">
        <v>381</v>
      </c>
      <c r="AK13" s="284" t="s">
        <v>422</v>
      </c>
      <c r="AL13" s="285">
        <f t="shared" si="7"/>
        <v>15</v>
      </c>
      <c r="AM13" s="284" t="s">
        <v>422</v>
      </c>
      <c r="AN13" s="285">
        <f t="shared" si="8"/>
        <v>5</v>
      </c>
      <c r="AO13" s="284" t="s">
        <v>402</v>
      </c>
      <c r="AP13" s="285">
        <f t="shared" si="9"/>
        <v>0</v>
      </c>
      <c r="AQ13" s="284" t="s">
        <v>422</v>
      </c>
      <c r="AR13" s="285">
        <f t="shared" si="10"/>
        <v>10</v>
      </c>
      <c r="AS13" s="284" t="s">
        <v>422</v>
      </c>
      <c r="AT13" s="285">
        <f t="shared" si="11"/>
        <v>15</v>
      </c>
      <c r="AU13" s="284" t="s">
        <v>422</v>
      </c>
      <c r="AV13" s="285">
        <f t="shared" si="12"/>
        <v>10</v>
      </c>
      <c r="AW13" s="284" t="s">
        <v>422</v>
      </c>
      <c r="AX13" s="282">
        <f t="shared" si="13"/>
        <v>30</v>
      </c>
      <c r="AY13" s="282">
        <f t="shared" si="14"/>
        <v>85</v>
      </c>
      <c r="AZ13" s="282">
        <f t="shared" si="15"/>
        <v>2</v>
      </c>
      <c r="BA13" s="282">
        <f t="shared" si="16"/>
        <v>1</v>
      </c>
      <c r="BB13" s="282" t="str">
        <f>IFERROR(IF(ISNUMBER(BA13),VLOOKUP(BA13,'Listas y tablas'!$AC$2:$AF$7,2,FALSE),""),"")</f>
        <v>Rara vez</v>
      </c>
      <c r="BC13" s="282" t="str">
        <f t="shared" si="0"/>
        <v>Rara vez Mayor</v>
      </c>
      <c r="BD13" s="291" t="str">
        <f>IFERROR(VLOOKUP(BC13,'Listas y tablas'!$AH$3:$AI$17,2,FALSE),"")</f>
        <v>Bajo</v>
      </c>
      <c r="BE13" s="299" t="s">
        <v>386</v>
      </c>
      <c r="BF13" s="300" t="s">
        <v>1342</v>
      </c>
      <c r="BG13" s="273" t="s">
        <v>1343</v>
      </c>
      <c r="BH13" s="273" t="s">
        <v>837</v>
      </c>
      <c r="BI13" s="304">
        <v>44927</v>
      </c>
      <c r="BJ13" s="304">
        <v>45291</v>
      </c>
      <c r="BK13" s="273" t="s">
        <v>1344</v>
      </c>
      <c r="BL13" s="273" t="s">
        <v>401</v>
      </c>
      <c r="BM13" s="273" t="s">
        <v>1345</v>
      </c>
      <c r="BN13" s="273" t="s">
        <v>1346</v>
      </c>
      <c r="BO13" s="273" t="s">
        <v>1347</v>
      </c>
      <c r="BP13" s="273" t="s">
        <v>1348</v>
      </c>
      <c r="BQ13" s="316" t="s">
        <v>1349</v>
      </c>
      <c r="BR13" s="317" t="s">
        <v>1350</v>
      </c>
      <c r="BS13" s="317" t="s">
        <v>1351</v>
      </c>
      <c r="BT13" s="317" t="s">
        <v>1352</v>
      </c>
      <c r="BU13" s="317" t="s">
        <v>1353</v>
      </c>
      <c r="BV13" s="317" t="s">
        <v>1354</v>
      </c>
      <c r="BW13" s="163" t="s">
        <v>402</v>
      </c>
      <c r="BX13" s="163" t="s">
        <v>402</v>
      </c>
      <c r="BY13" s="171" t="s">
        <v>401</v>
      </c>
      <c r="BZ13" s="323" t="s">
        <v>1355</v>
      </c>
      <c r="CA13" s="324" t="s">
        <v>404</v>
      </c>
      <c r="CB13" s="324" t="s">
        <v>1356</v>
      </c>
      <c r="CC13" s="329" t="s">
        <v>434</v>
      </c>
      <c r="CD13" s="181" t="s">
        <v>402</v>
      </c>
      <c r="CE13" s="181" t="s">
        <v>402</v>
      </c>
      <c r="CF13" s="183" t="s">
        <v>401</v>
      </c>
      <c r="CG13" s="323" t="s">
        <v>1357</v>
      </c>
      <c r="CH13" s="327" t="s">
        <v>408</v>
      </c>
      <c r="CI13" s="192" t="s">
        <v>402</v>
      </c>
      <c r="CJ13" s="193"/>
      <c r="CK13" s="194"/>
      <c r="CL13" s="194"/>
      <c r="CM13" s="194"/>
      <c r="CN13" s="194"/>
      <c r="CO13" s="194"/>
      <c r="CP13" s="194"/>
      <c r="CQ13" s="194"/>
      <c r="CR13" s="204"/>
      <c r="CS13" s="205"/>
      <c r="CT13" s="206"/>
      <c r="CU13" s="206"/>
      <c r="CV13" s="206"/>
      <c r="CW13" s="206"/>
      <c r="CX13" s="206"/>
      <c r="CY13" s="213"/>
      <c r="CZ13" s="214"/>
      <c r="DA13" s="206"/>
      <c r="DB13" s="213"/>
      <c r="DC13" s="215"/>
      <c r="DD13" s="216"/>
      <c r="DE13" s="216"/>
      <c r="DF13" s="216"/>
      <c r="DG13" s="216"/>
      <c r="DH13" s="216"/>
      <c r="DI13" s="216"/>
      <c r="DJ13" s="216"/>
      <c r="DK13" s="225"/>
      <c r="DL13" s="226"/>
      <c r="DM13" s="227"/>
      <c r="DN13" s="227"/>
      <c r="DO13" s="227"/>
      <c r="DP13" s="227"/>
      <c r="DQ13" s="227"/>
      <c r="DR13" s="234"/>
      <c r="DS13" s="226"/>
      <c r="DT13" s="227"/>
      <c r="DU13" s="234"/>
    </row>
    <row r="14" spans="1:125" ht="132">
      <c r="A14" s="271">
        <v>32</v>
      </c>
      <c r="B14" s="272" t="str">
        <f>IFERROR(VLOOKUP($A14,Riesgos!$A$7:$H$84,2,FALSE),"")</f>
        <v>Gestión Documental</v>
      </c>
      <c r="C14" s="272" t="str">
        <f>IFERROR(VLOOKUP($A14,Riesgos!$A$7:$H$84,7,FALSE),"")</f>
        <v>Debilidad en la aplicación de lineamientos archivisticos</v>
      </c>
      <c r="D14" s="272" t="str">
        <f>IFERROR(VLOOKUP($A14,Riesgos!$A$7:$H$84,8,FALSE),"")</f>
        <v>Posibilidad de uso o eliminiación de documentos por parte de los servidores y contratistas, desviando la gestión de lo público para beneficio propio o de un tercero, debido a la debilidad en la aplicación de los lineamientos archivisticos.</v>
      </c>
      <c r="E14" s="273" t="s">
        <v>1358</v>
      </c>
      <c r="F14" s="274">
        <v>3</v>
      </c>
      <c r="G14" s="137" t="str">
        <f>IF(ISNUMBER(F14),VLOOKUP(F14,'Listas y tablas'!$AC$2:$AF$7,2,FALSE),"")</f>
        <v>Posible</v>
      </c>
      <c r="H14" s="274" t="s">
        <v>402</v>
      </c>
      <c r="I14" s="274" t="s">
        <v>422</v>
      </c>
      <c r="J14" s="274" t="s">
        <v>422</v>
      </c>
      <c r="K14" s="274" t="s">
        <v>422</v>
      </c>
      <c r="L14" s="274" t="s">
        <v>422</v>
      </c>
      <c r="M14" s="274" t="s">
        <v>422</v>
      </c>
      <c r="N14" s="274" t="s">
        <v>422</v>
      </c>
      <c r="O14" s="274" t="s">
        <v>402</v>
      </c>
      <c r="P14" s="274" t="s">
        <v>422</v>
      </c>
      <c r="Q14" s="274" t="s">
        <v>422</v>
      </c>
      <c r="R14" s="274" t="s">
        <v>422</v>
      </c>
      <c r="S14" s="274" t="s">
        <v>422</v>
      </c>
      <c r="T14" s="274" t="s">
        <v>422</v>
      </c>
      <c r="U14" s="274" t="s">
        <v>422</v>
      </c>
      <c r="V14" s="274" t="s">
        <v>422</v>
      </c>
      <c r="W14" s="274" t="s">
        <v>402</v>
      </c>
      <c r="X14" s="274" t="s">
        <v>402</v>
      </c>
      <c r="Y14" s="274" t="s">
        <v>402</v>
      </c>
      <c r="Z14" s="274" t="s">
        <v>402</v>
      </c>
      <c r="AA14" s="137">
        <f t="shared" si="1"/>
        <v>13</v>
      </c>
      <c r="AB14" s="279" t="str">
        <f t="shared" si="2"/>
        <v>Catastrófico</v>
      </c>
      <c r="AC14" s="280" t="str">
        <f t="shared" si="3"/>
        <v>Posible Catastrófico</v>
      </c>
      <c r="AD14" s="281" t="str">
        <f>IFERROR(VLOOKUP(AC14,'Listas y tablas'!$AH$3:$AI$17,2,FALSE),"")</f>
        <v>Extremo</v>
      </c>
      <c r="AE14" s="280" t="str">
        <f t="shared" si="4"/>
        <v>C</v>
      </c>
      <c r="AF14" s="282">
        <f t="shared" si="5"/>
        <v>7</v>
      </c>
      <c r="AG14" s="282" t="str">
        <f t="shared" si="6"/>
        <v>C7</v>
      </c>
      <c r="AH14" s="286" t="s">
        <v>1359</v>
      </c>
      <c r="AI14" s="282" t="str">
        <f t="shared" si="17"/>
        <v>Probabilidad</v>
      </c>
      <c r="AJ14" s="284" t="s">
        <v>381</v>
      </c>
      <c r="AK14" s="284" t="s">
        <v>402</v>
      </c>
      <c r="AL14" s="285">
        <f t="shared" si="7"/>
        <v>0</v>
      </c>
      <c r="AM14" s="284" t="s">
        <v>422</v>
      </c>
      <c r="AN14" s="285">
        <f t="shared" si="8"/>
        <v>5</v>
      </c>
      <c r="AO14" s="284" t="s">
        <v>402</v>
      </c>
      <c r="AP14" s="285">
        <f t="shared" si="9"/>
        <v>0</v>
      </c>
      <c r="AQ14" s="284" t="s">
        <v>422</v>
      </c>
      <c r="AR14" s="285">
        <f t="shared" si="10"/>
        <v>10</v>
      </c>
      <c r="AS14" s="284" t="s">
        <v>422</v>
      </c>
      <c r="AT14" s="285">
        <f t="shared" si="11"/>
        <v>15</v>
      </c>
      <c r="AU14" s="284" t="s">
        <v>422</v>
      </c>
      <c r="AV14" s="285">
        <f t="shared" si="12"/>
        <v>10</v>
      </c>
      <c r="AW14" s="284" t="s">
        <v>402</v>
      </c>
      <c r="AX14" s="282">
        <f t="shared" si="13"/>
        <v>0</v>
      </c>
      <c r="AY14" s="282">
        <f t="shared" si="14"/>
        <v>40</v>
      </c>
      <c r="AZ14" s="282">
        <f t="shared" si="15"/>
        <v>0</v>
      </c>
      <c r="BA14" s="282">
        <f t="shared" si="16"/>
        <v>3</v>
      </c>
      <c r="BB14" s="282" t="str">
        <f>IFERROR(IF(ISNUMBER(BA14),VLOOKUP(BA14,'Listas y tablas'!$AC$2:$AF$7,2,FALSE),""),"")</f>
        <v>Posible</v>
      </c>
      <c r="BC14" s="282" t="str">
        <f t="shared" si="0"/>
        <v>Posible Catastrófico</v>
      </c>
      <c r="BD14" s="291" t="str">
        <f>IFERROR(VLOOKUP(BC14,'Listas y tablas'!$AH$3:$AI$17,2,FALSE),"")</f>
        <v>Extremo</v>
      </c>
      <c r="BE14" s="299" t="s">
        <v>386</v>
      </c>
      <c r="BF14" s="300" t="s">
        <v>1360</v>
      </c>
      <c r="BG14" s="273" t="s">
        <v>1361</v>
      </c>
      <c r="BH14" s="273" t="s">
        <v>1362</v>
      </c>
      <c r="BI14" s="304">
        <v>44958</v>
      </c>
      <c r="BJ14" s="304">
        <v>45107</v>
      </c>
      <c r="BK14" s="273" t="s">
        <v>1363</v>
      </c>
      <c r="BL14" s="273" t="s">
        <v>1364</v>
      </c>
      <c r="BM14" s="273" t="s">
        <v>1365</v>
      </c>
      <c r="BN14" s="273" t="s">
        <v>1366</v>
      </c>
      <c r="BO14" s="273" t="s">
        <v>1367</v>
      </c>
      <c r="BP14" s="273" t="s">
        <v>1368</v>
      </c>
      <c r="BQ14" s="312" t="s">
        <v>1369</v>
      </c>
      <c r="BR14" s="163"/>
      <c r="BS14" s="163"/>
      <c r="BT14" s="163"/>
      <c r="BU14" s="163"/>
      <c r="BV14" s="163"/>
      <c r="BW14" s="163" t="s">
        <v>402</v>
      </c>
      <c r="BX14" s="163" t="s">
        <v>402</v>
      </c>
      <c r="BY14" s="171" t="s">
        <v>401</v>
      </c>
      <c r="BZ14" s="323" t="s">
        <v>1370</v>
      </c>
      <c r="CA14" s="324" t="s">
        <v>414</v>
      </c>
      <c r="CB14" s="324" t="s">
        <v>1371</v>
      </c>
      <c r="CC14" s="329" t="s">
        <v>894</v>
      </c>
      <c r="CD14" s="181"/>
      <c r="CE14" s="181"/>
      <c r="CF14" s="183"/>
      <c r="CG14" s="323" t="s">
        <v>1372</v>
      </c>
      <c r="CH14" s="327" t="s">
        <v>966</v>
      </c>
      <c r="CI14" s="192" t="s">
        <v>402</v>
      </c>
      <c r="CJ14" s="193"/>
      <c r="CK14" s="194"/>
      <c r="CL14" s="194"/>
      <c r="CM14" s="194"/>
      <c r="CN14" s="194"/>
      <c r="CO14" s="194"/>
      <c r="CP14" s="194"/>
      <c r="CQ14" s="194"/>
      <c r="CR14" s="204"/>
      <c r="CS14" s="205"/>
      <c r="CT14" s="206"/>
      <c r="CU14" s="206"/>
      <c r="CV14" s="206"/>
      <c r="CW14" s="206"/>
      <c r="CX14" s="206"/>
      <c r="CY14" s="213"/>
      <c r="CZ14" s="214"/>
      <c r="DA14" s="206"/>
      <c r="DB14" s="213"/>
      <c r="DC14" s="215"/>
      <c r="DD14" s="216"/>
      <c r="DE14" s="216"/>
      <c r="DF14" s="216"/>
      <c r="DG14" s="216"/>
      <c r="DH14" s="216"/>
      <c r="DI14" s="216"/>
      <c r="DJ14" s="216"/>
      <c r="DK14" s="225"/>
      <c r="DL14" s="226"/>
      <c r="DM14" s="227"/>
      <c r="DN14" s="227"/>
      <c r="DO14" s="227"/>
      <c r="DP14" s="227"/>
      <c r="DQ14" s="227"/>
      <c r="DR14" s="234"/>
      <c r="DS14" s="226"/>
      <c r="DT14" s="227"/>
      <c r="DU14" s="234"/>
    </row>
    <row r="15" spans="1:125" ht="148.5">
      <c r="A15" s="581">
        <v>37</v>
      </c>
      <c r="B15" s="584" t="str">
        <f>IFERROR(VLOOKUP($A15,Riesgos!$A$7:$H$84,2,FALSE),"")</f>
        <v>Gestión Financiera</v>
      </c>
      <c r="C15" s="584" t="str">
        <f>IFERROR(VLOOKUP($A15,Riesgos!$A$7:$H$84,7,FALSE),"")</f>
        <v>Orden del jefe inmediato y los servidores involucrados para realizar el pago sin soportes
Debilidad en la aplicación de los controles del proceso
Falta de integridad de los servidores que participan en el proceso de pagos</v>
      </c>
      <c r="D15" s="584" t="str">
        <f>IFERROR(VLOOKUP($A15,Riesgos!$A$7:$H$84,8,FALSE),"")</f>
        <v>Posibilidad de que se realicen pagos sin soportes por abuso de poder de los servidores públicos involucrados en el proceso, desviando la gestión de lo público para beneficio propio o de un tercero.</v>
      </c>
      <c r="E15" s="589" t="s">
        <v>574</v>
      </c>
      <c r="F15" s="671">
        <v>1</v>
      </c>
      <c r="G15" s="674" t="str">
        <f>IF(ISNUMBER(F15),VLOOKUP(F15,'Listas y tablas'!$AC$2:$AF$7,2,FALSE),"")</f>
        <v>Rara vez</v>
      </c>
      <c r="H15" s="671" t="s">
        <v>422</v>
      </c>
      <c r="I15" s="671" t="s">
        <v>422</v>
      </c>
      <c r="J15" s="671" t="s">
        <v>422</v>
      </c>
      <c r="K15" s="671" t="s">
        <v>402</v>
      </c>
      <c r="L15" s="671" t="s">
        <v>422</v>
      </c>
      <c r="M15" s="671" t="s">
        <v>422</v>
      </c>
      <c r="N15" s="671" t="s">
        <v>422</v>
      </c>
      <c r="O15" s="671" t="s">
        <v>422</v>
      </c>
      <c r="P15" s="671" t="s">
        <v>402</v>
      </c>
      <c r="Q15" s="671" t="s">
        <v>422</v>
      </c>
      <c r="R15" s="671" t="s">
        <v>422</v>
      </c>
      <c r="S15" s="671" t="s">
        <v>422</v>
      </c>
      <c r="T15" s="671" t="s">
        <v>422</v>
      </c>
      <c r="U15" s="671" t="s">
        <v>422</v>
      </c>
      <c r="V15" s="671" t="s">
        <v>422</v>
      </c>
      <c r="W15" s="671" t="s">
        <v>402</v>
      </c>
      <c r="X15" s="671" t="s">
        <v>402</v>
      </c>
      <c r="Y15" s="671" t="s">
        <v>402</v>
      </c>
      <c r="Z15" s="671" t="s">
        <v>402</v>
      </c>
      <c r="AA15" s="137">
        <f t="shared" si="1"/>
        <v>13</v>
      </c>
      <c r="AB15" s="594" t="str">
        <f t="shared" si="2"/>
        <v>Catastrófico</v>
      </c>
      <c r="AC15" s="280" t="str">
        <f t="shared" si="3"/>
        <v>Rara vez Catastrófico</v>
      </c>
      <c r="AD15" s="677" t="str">
        <f>IFERROR(VLOOKUP(AC15,'Listas y tablas'!$AH$3:$AI$17,2,FALSE),"")</f>
        <v>Moderado</v>
      </c>
      <c r="AE15" s="280" t="str">
        <f t="shared" si="4"/>
        <v>C</v>
      </c>
      <c r="AF15" s="282">
        <f t="shared" si="5"/>
        <v>8</v>
      </c>
      <c r="AG15" s="282" t="str">
        <f t="shared" si="6"/>
        <v>C8</v>
      </c>
      <c r="AH15" s="286" t="s">
        <v>1373</v>
      </c>
      <c r="AI15" s="282" t="str">
        <f t="shared" si="17"/>
        <v>Probabilidad</v>
      </c>
      <c r="AJ15" s="284" t="s">
        <v>381</v>
      </c>
      <c r="AK15" s="284" t="s">
        <v>422</v>
      </c>
      <c r="AL15" s="285">
        <f t="shared" si="7"/>
        <v>15</v>
      </c>
      <c r="AM15" s="284" t="s">
        <v>422</v>
      </c>
      <c r="AN15" s="285">
        <f t="shared" si="8"/>
        <v>5</v>
      </c>
      <c r="AO15" s="284" t="s">
        <v>402</v>
      </c>
      <c r="AP15" s="285">
        <f t="shared" si="9"/>
        <v>0</v>
      </c>
      <c r="AQ15" s="284" t="s">
        <v>422</v>
      </c>
      <c r="AR15" s="285">
        <f t="shared" si="10"/>
        <v>10</v>
      </c>
      <c r="AS15" s="284" t="s">
        <v>422</v>
      </c>
      <c r="AT15" s="285">
        <f t="shared" si="11"/>
        <v>15</v>
      </c>
      <c r="AU15" s="284" t="s">
        <v>422</v>
      </c>
      <c r="AV15" s="285">
        <f t="shared" si="12"/>
        <v>10</v>
      </c>
      <c r="AW15" s="284" t="s">
        <v>422</v>
      </c>
      <c r="AX15" s="282">
        <f t="shared" si="13"/>
        <v>30</v>
      </c>
      <c r="AY15" s="282">
        <f t="shared" si="14"/>
        <v>85</v>
      </c>
      <c r="AZ15" s="282">
        <f t="shared" si="15"/>
        <v>2</v>
      </c>
      <c r="BA15" s="680">
        <f t="shared" si="16"/>
        <v>1</v>
      </c>
      <c r="BB15" s="680" t="str">
        <f>IFERROR(IF(ISNUMBER(BA15),VLOOKUP(BA15,'Listas y tablas'!$AC$2:$AF$7,2,FALSE),""),"")</f>
        <v>Rara vez</v>
      </c>
      <c r="BC15" s="282" t="str">
        <f t="shared" si="0"/>
        <v>Rara vez Catastrófico</v>
      </c>
      <c r="BD15" s="683" t="str">
        <f>IFERROR(VLOOKUP(BC15,'Listas y tablas'!$AH$3:$AI$17,2,FALSE),"")</f>
        <v>Moderado</v>
      </c>
      <c r="BE15" s="609" t="s">
        <v>386</v>
      </c>
      <c r="BF15" s="300" t="s">
        <v>1374</v>
      </c>
      <c r="BG15" s="308" t="s">
        <v>1375</v>
      </c>
      <c r="BH15" s="308" t="s">
        <v>1376</v>
      </c>
      <c r="BI15" s="309">
        <v>44927</v>
      </c>
      <c r="BJ15" s="309">
        <v>45138</v>
      </c>
      <c r="BK15" s="308" t="s">
        <v>1377</v>
      </c>
      <c r="BL15" s="308" t="s">
        <v>1378</v>
      </c>
      <c r="BM15" s="310" t="s">
        <v>1379</v>
      </c>
      <c r="BN15" s="310" t="s">
        <v>1380</v>
      </c>
      <c r="BO15" s="310" t="s">
        <v>1381</v>
      </c>
      <c r="BP15" s="310" t="s">
        <v>1382</v>
      </c>
      <c r="BQ15" s="316" t="s">
        <v>1383</v>
      </c>
      <c r="BR15" s="313" t="s">
        <v>1384</v>
      </c>
      <c r="BS15" s="313"/>
      <c r="BT15" s="313"/>
      <c r="BU15" s="313"/>
      <c r="BV15" s="313"/>
      <c r="BW15" s="163"/>
      <c r="BX15" s="163"/>
      <c r="BY15" s="171"/>
      <c r="BZ15" s="323" t="s">
        <v>1385</v>
      </c>
      <c r="CA15" s="324" t="s">
        <v>404</v>
      </c>
      <c r="CB15" s="324" t="s">
        <v>1386</v>
      </c>
      <c r="CC15" s="182" t="s">
        <v>406</v>
      </c>
      <c r="CD15" s="181"/>
      <c r="CE15" s="181"/>
      <c r="CF15" s="183"/>
      <c r="CG15" s="323" t="s">
        <v>1387</v>
      </c>
      <c r="CH15" s="327" t="s">
        <v>408</v>
      </c>
      <c r="CI15" s="641" t="s">
        <v>402</v>
      </c>
      <c r="CJ15" s="193"/>
      <c r="CK15" s="194"/>
      <c r="CL15" s="194"/>
      <c r="CM15" s="194"/>
      <c r="CN15" s="194"/>
      <c r="CO15" s="194"/>
      <c r="CP15" s="194"/>
      <c r="CQ15" s="194"/>
      <c r="CR15" s="204"/>
      <c r="CS15" s="205"/>
      <c r="CT15" s="206"/>
      <c r="CU15" s="206"/>
      <c r="CV15" s="206"/>
      <c r="CW15" s="206"/>
      <c r="CX15" s="206"/>
      <c r="CY15" s="213"/>
      <c r="CZ15" s="214"/>
      <c r="DA15" s="206"/>
      <c r="DB15" s="213"/>
      <c r="DC15" s="215"/>
      <c r="DD15" s="216"/>
      <c r="DE15" s="216"/>
      <c r="DF15" s="216"/>
      <c r="DG15" s="216"/>
      <c r="DH15" s="216"/>
      <c r="DI15" s="216"/>
      <c r="DJ15" s="216"/>
      <c r="DK15" s="225"/>
      <c r="DL15" s="226"/>
      <c r="DM15" s="227"/>
      <c r="DN15" s="227"/>
      <c r="DO15" s="227"/>
      <c r="DP15" s="227"/>
      <c r="DQ15" s="227"/>
      <c r="DR15" s="234"/>
      <c r="DS15" s="226"/>
      <c r="DT15" s="227"/>
      <c r="DU15" s="234"/>
    </row>
    <row r="16" spans="1:125" ht="99">
      <c r="A16" s="583"/>
      <c r="B16" s="586"/>
      <c r="C16" s="586"/>
      <c r="D16" s="586"/>
      <c r="E16" s="591"/>
      <c r="F16" s="673"/>
      <c r="G16" s="676"/>
      <c r="H16" s="673"/>
      <c r="I16" s="673"/>
      <c r="J16" s="673"/>
      <c r="K16" s="673"/>
      <c r="L16" s="673"/>
      <c r="M16" s="673"/>
      <c r="N16" s="673"/>
      <c r="O16" s="673"/>
      <c r="P16" s="673"/>
      <c r="Q16" s="673"/>
      <c r="R16" s="673"/>
      <c r="S16" s="673"/>
      <c r="T16" s="673"/>
      <c r="U16" s="673"/>
      <c r="V16" s="673"/>
      <c r="W16" s="673"/>
      <c r="X16" s="673"/>
      <c r="Y16" s="673"/>
      <c r="Z16" s="673"/>
      <c r="AA16" s="137">
        <f t="shared" si="1"/>
        <v>0</v>
      </c>
      <c r="AB16" s="596"/>
      <c r="AC16" s="280" t="str">
        <f t="shared" si="3"/>
        <v/>
      </c>
      <c r="AD16" s="679"/>
      <c r="AE16" s="280" t="str">
        <f>+IF(ISTEXT(D15),"C","")</f>
        <v>C</v>
      </c>
      <c r="AF16" s="282">
        <f>IF(ISTEXT(D15),1+AF15,"")</f>
        <v>9</v>
      </c>
      <c r="AG16" s="282" t="str">
        <f>IF(ISTEXT(D15),CONCATENATE(AE16,AF16),"")</f>
        <v>C9</v>
      </c>
      <c r="AH16" s="287" t="s">
        <v>1388</v>
      </c>
      <c r="AI16" s="282" t="str">
        <f t="shared" si="17"/>
        <v>Probabilidad</v>
      </c>
      <c r="AJ16" s="284" t="s">
        <v>417</v>
      </c>
      <c r="AK16" s="284" t="s">
        <v>422</v>
      </c>
      <c r="AL16" s="285">
        <f t="shared" si="7"/>
        <v>15</v>
      </c>
      <c r="AM16" s="284" t="s">
        <v>422</v>
      </c>
      <c r="AN16" s="285">
        <f t="shared" si="8"/>
        <v>5</v>
      </c>
      <c r="AO16" s="284" t="s">
        <v>402</v>
      </c>
      <c r="AP16" s="285">
        <f t="shared" si="9"/>
        <v>0</v>
      </c>
      <c r="AQ16" s="284" t="s">
        <v>422</v>
      </c>
      <c r="AR16" s="285">
        <f t="shared" si="10"/>
        <v>10</v>
      </c>
      <c r="AS16" s="284" t="s">
        <v>422</v>
      </c>
      <c r="AT16" s="285">
        <f t="shared" si="11"/>
        <v>15</v>
      </c>
      <c r="AU16" s="284" t="s">
        <v>422</v>
      </c>
      <c r="AV16" s="285">
        <f t="shared" si="12"/>
        <v>10</v>
      </c>
      <c r="AW16" s="284" t="s">
        <v>422</v>
      </c>
      <c r="AX16" s="282">
        <f t="shared" si="13"/>
        <v>30</v>
      </c>
      <c r="AY16" s="282">
        <f t="shared" si="14"/>
        <v>85</v>
      </c>
      <c r="AZ16" s="282">
        <f t="shared" si="15"/>
        <v>2</v>
      </c>
      <c r="BA16" s="681"/>
      <c r="BB16" s="681"/>
      <c r="BC16" s="282" t="str">
        <f t="shared" si="0"/>
        <v/>
      </c>
      <c r="BD16" s="685"/>
      <c r="BE16" s="610"/>
      <c r="BF16" s="300" t="s">
        <v>1389</v>
      </c>
      <c r="BG16" s="671" t="s">
        <v>1390</v>
      </c>
      <c r="BH16" s="686" t="s">
        <v>1391</v>
      </c>
      <c r="BI16" s="688">
        <v>44927</v>
      </c>
      <c r="BJ16" s="688">
        <v>45291</v>
      </c>
      <c r="BK16" s="310"/>
      <c r="BL16" s="310"/>
      <c r="BM16" s="310"/>
      <c r="BN16" s="310"/>
      <c r="BO16" s="310"/>
      <c r="BP16" s="318"/>
      <c r="BQ16" s="312" t="s">
        <v>1392</v>
      </c>
      <c r="BR16" s="313" t="s">
        <v>1393</v>
      </c>
      <c r="BS16" s="313">
        <v>0</v>
      </c>
      <c r="BT16" s="313">
        <v>0</v>
      </c>
      <c r="BU16" s="313" t="s">
        <v>1394</v>
      </c>
      <c r="BV16" s="313" t="s">
        <v>1017</v>
      </c>
      <c r="BW16" s="163"/>
      <c r="BX16" s="163"/>
      <c r="BY16" s="171"/>
      <c r="BZ16" s="323" t="s">
        <v>1385</v>
      </c>
      <c r="CA16" s="324" t="s">
        <v>404</v>
      </c>
      <c r="CB16" s="324" t="s">
        <v>1386</v>
      </c>
      <c r="CC16" s="182" t="s">
        <v>406</v>
      </c>
      <c r="CD16" s="181"/>
      <c r="CE16" s="181"/>
      <c r="CF16" s="183"/>
      <c r="CG16" s="323" t="s">
        <v>1395</v>
      </c>
      <c r="CH16" s="327" t="s">
        <v>408</v>
      </c>
      <c r="CI16" s="643"/>
      <c r="CJ16" s="193"/>
      <c r="CK16" s="194"/>
      <c r="CL16" s="194"/>
      <c r="CM16" s="194"/>
      <c r="CN16" s="194"/>
      <c r="CO16" s="194"/>
      <c r="CP16" s="194"/>
      <c r="CQ16" s="194"/>
      <c r="CR16" s="204"/>
      <c r="CS16" s="205"/>
      <c r="CT16" s="206"/>
      <c r="CU16" s="206"/>
      <c r="CV16" s="206"/>
      <c r="CW16" s="206"/>
      <c r="CX16" s="206"/>
      <c r="CY16" s="213"/>
      <c r="CZ16" s="214"/>
      <c r="DA16" s="206"/>
      <c r="DB16" s="213"/>
      <c r="DC16" s="215"/>
      <c r="DD16" s="216"/>
      <c r="DE16" s="216"/>
      <c r="DF16" s="216"/>
      <c r="DG16" s="216"/>
      <c r="DH16" s="216"/>
      <c r="DI16" s="216"/>
      <c r="DJ16" s="216"/>
      <c r="DK16" s="225"/>
      <c r="DL16" s="226"/>
      <c r="DM16" s="227"/>
      <c r="DN16" s="227"/>
      <c r="DO16" s="227"/>
      <c r="DP16" s="227"/>
      <c r="DQ16" s="227"/>
      <c r="DR16" s="234"/>
      <c r="DS16" s="226"/>
      <c r="DT16" s="227"/>
      <c r="DU16" s="234"/>
    </row>
    <row r="17" spans="1:125" ht="99">
      <c r="A17" s="582"/>
      <c r="B17" s="585"/>
      <c r="C17" s="585"/>
      <c r="D17" s="585"/>
      <c r="E17" s="590"/>
      <c r="F17" s="672"/>
      <c r="G17" s="675"/>
      <c r="H17" s="672"/>
      <c r="I17" s="672"/>
      <c r="J17" s="672"/>
      <c r="K17" s="672"/>
      <c r="L17" s="672"/>
      <c r="M17" s="672"/>
      <c r="N17" s="672"/>
      <c r="O17" s="672"/>
      <c r="P17" s="672"/>
      <c r="Q17" s="672"/>
      <c r="R17" s="672"/>
      <c r="S17" s="672"/>
      <c r="T17" s="672"/>
      <c r="U17" s="672"/>
      <c r="V17" s="672"/>
      <c r="W17" s="672"/>
      <c r="X17" s="672"/>
      <c r="Y17" s="672"/>
      <c r="Z17" s="672"/>
      <c r="AA17" s="137">
        <f t="shared" si="1"/>
        <v>0</v>
      </c>
      <c r="AB17" s="595"/>
      <c r="AC17" s="280" t="str">
        <f t="shared" si="3"/>
        <v/>
      </c>
      <c r="AD17" s="678"/>
      <c r="AE17" s="280" t="str">
        <f>+IF(ISTEXT(D15),"C","")</f>
        <v>C</v>
      </c>
      <c r="AF17" s="282">
        <f>IF(ISTEXT(D15),1+AF16,"")</f>
        <v>10</v>
      </c>
      <c r="AG17" s="282" t="str">
        <f>IF(ISTEXT(D15),CONCATENATE(AE17,AF17),"")</f>
        <v>C10</v>
      </c>
      <c r="AH17" s="286" t="s">
        <v>1396</v>
      </c>
      <c r="AI17" s="282" t="str">
        <f t="shared" ref="AI17:AI22" si="18">IF(OR(AJ17="Preventivo",AJ17="Detectivo"),"Probabilidad",IF(AJ17="Correctivo","Impacto",""))</f>
        <v>Probabilidad</v>
      </c>
      <c r="AJ17" s="284" t="s">
        <v>417</v>
      </c>
      <c r="AK17" s="284" t="s">
        <v>422</v>
      </c>
      <c r="AL17" s="285">
        <f t="shared" si="7"/>
        <v>15</v>
      </c>
      <c r="AM17" s="284" t="s">
        <v>422</v>
      </c>
      <c r="AN17" s="285">
        <f t="shared" si="8"/>
        <v>5</v>
      </c>
      <c r="AO17" s="284" t="s">
        <v>402</v>
      </c>
      <c r="AP17" s="285">
        <f t="shared" si="9"/>
        <v>0</v>
      </c>
      <c r="AQ17" s="284" t="s">
        <v>422</v>
      </c>
      <c r="AR17" s="285">
        <f t="shared" si="10"/>
        <v>10</v>
      </c>
      <c r="AS17" s="284" t="s">
        <v>422</v>
      </c>
      <c r="AT17" s="285">
        <f t="shared" si="11"/>
        <v>15</v>
      </c>
      <c r="AU17" s="284" t="s">
        <v>422</v>
      </c>
      <c r="AV17" s="285">
        <f t="shared" si="12"/>
        <v>10</v>
      </c>
      <c r="AW17" s="284" t="s">
        <v>422</v>
      </c>
      <c r="AX17" s="282">
        <f t="shared" si="13"/>
        <v>30</v>
      </c>
      <c r="AY17" s="282">
        <f t="shared" si="14"/>
        <v>85</v>
      </c>
      <c r="AZ17" s="282">
        <f t="shared" si="15"/>
        <v>2</v>
      </c>
      <c r="BA17" s="682"/>
      <c r="BB17" s="682"/>
      <c r="BC17" s="282" t="str">
        <f t="shared" si="0"/>
        <v/>
      </c>
      <c r="BD17" s="684"/>
      <c r="BE17" s="611"/>
      <c r="BF17" s="300" t="s">
        <v>1397</v>
      </c>
      <c r="BG17" s="672"/>
      <c r="BH17" s="687"/>
      <c r="BI17" s="689"/>
      <c r="BJ17" s="689"/>
      <c r="BK17" s="310"/>
      <c r="BL17" s="310"/>
      <c r="BM17" s="310"/>
      <c r="BN17" s="310"/>
      <c r="BO17" s="310"/>
      <c r="BP17" s="318"/>
      <c r="BQ17" s="312" t="s">
        <v>1398</v>
      </c>
      <c r="BR17" s="313" t="s">
        <v>1393</v>
      </c>
      <c r="BS17" s="313">
        <v>0</v>
      </c>
      <c r="BT17" s="313">
        <v>0</v>
      </c>
      <c r="BU17" s="313" t="s">
        <v>1394</v>
      </c>
      <c r="BV17" s="313" t="s">
        <v>1017</v>
      </c>
      <c r="BW17" s="163"/>
      <c r="BX17" s="163"/>
      <c r="BY17" s="171"/>
      <c r="BZ17" s="323" t="s">
        <v>1385</v>
      </c>
      <c r="CA17" s="324" t="s">
        <v>404</v>
      </c>
      <c r="CB17" s="324" t="s">
        <v>1386</v>
      </c>
      <c r="CC17" s="182" t="s">
        <v>406</v>
      </c>
      <c r="CD17" s="181"/>
      <c r="CE17" s="181"/>
      <c r="CF17" s="183"/>
      <c r="CG17" s="323" t="s">
        <v>1395</v>
      </c>
      <c r="CH17" s="327" t="s">
        <v>408</v>
      </c>
      <c r="CI17" s="642"/>
      <c r="CJ17" s="193"/>
      <c r="CK17" s="194"/>
      <c r="CL17" s="194"/>
      <c r="CM17" s="194"/>
      <c r="CN17" s="194"/>
      <c r="CO17" s="194"/>
      <c r="CP17" s="194"/>
      <c r="CQ17" s="194"/>
      <c r="CR17" s="204"/>
      <c r="CS17" s="205"/>
      <c r="CT17" s="206"/>
      <c r="CU17" s="206"/>
      <c r="CV17" s="206"/>
      <c r="CW17" s="206"/>
      <c r="CX17" s="206"/>
      <c r="CY17" s="213"/>
      <c r="CZ17" s="214"/>
      <c r="DA17" s="206"/>
      <c r="DB17" s="213"/>
      <c r="DC17" s="215"/>
      <c r="DD17" s="216"/>
      <c r="DE17" s="216"/>
      <c r="DF17" s="216"/>
      <c r="DG17" s="216"/>
      <c r="DH17" s="216"/>
      <c r="DI17" s="216"/>
      <c r="DJ17" s="216"/>
      <c r="DK17" s="225"/>
      <c r="DL17" s="226"/>
      <c r="DM17" s="227"/>
      <c r="DN17" s="227"/>
      <c r="DO17" s="227"/>
      <c r="DP17" s="227"/>
      <c r="DQ17" s="227"/>
      <c r="DR17" s="234"/>
      <c r="DS17" s="226"/>
      <c r="DT17" s="227"/>
      <c r="DU17" s="234"/>
    </row>
    <row r="18" spans="1:125" ht="99">
      <c r="A18" s="271">
        <v>40</v>
      </c>
      <c r="B18" s="272" t="str">
        <f>IFERROR(VLOOKUP($A18,Riesgos!$A$7:$H$84,2,FALSE),"")</f>
        <v>Gestión Jurídica</v>
      </c>
      <c r="C18" s="272" t="str">
        <f>IFERROR(VLOOKUP($A18,Riesgos!$A$7:$H$84,7,FALSE),"")</f>
        <v>Un interés particular en el resultado del proceso administrativo y/o judicial.</v>
      </c>
      <c r="D18" s="272" t="str">
        <f>IFERROR(VLOOKUP($A18,Riesgos!$A$7:$H$84,8,FALSE),"")</f>
        <v>Posibilidad de materializar un daño antijurídico a un proceso administrativo y/o judicial por la injerencia negativa de un funcionario y/o contratista del Instituto fundado en un interés particular.</v>
      </c>
      <c r="E18" s="273" t="s">
        <v>574</v>
      </c>
      <c r="F18" s="274">
        <v>1</v>
      </c>
      <c r="G18" s="137" t="str">
        <f>IF(ISNUMBER(F18),VLOOKUP(F18,'Listas y tablas'!$AC$2:$AF$7,2,FALSE),"")</f>
        <v>Rara vez</v>
      </c>
      <c r="H18" s="274" t="s">
        <v>422</v>
      </c>
      <c r="I18" s="274" t="s">
        <v>422</v>
      </c>
      <c r="J18" s="274" t="s">
        <v>402</v>
      </c>
      <c r="K18" s="274" t="s">
        <v>402</v>
      </c>
      <c r="L18" s="274" t="s">
        <v>422</v>
      </c>
      <c r="M18" s="274" t="s">
        <v>422</v>
      </c>
      <c r="N18" s="274" t="s">
        <v>402</v>
      </c>
      <c r="O18" s="274" t="s">
        <v>402</v>
      </c>
      <c r="P18" s="274" t="s">
        <v>402</v>
      </c>
      <c r="Q18" s="274" t="s">
        <v>422</v>
      </c>
      <c r="R18" s="274" t="s">
        <v>422</v>
      </c>
      <c r="S18" s="274" t="s">
        <v>422</v>
      </c>
      <c r="T18" s="274" t="s">
        <v>422</v>
      </c>
      <c r="U18" s="274" t="s">
        <v>402</v>
      </c>
      <c r="V18" s="274" t="s">
        <v>402</v>
      </c>
      <c r="W18" s="274" t="s">
        <v>402</v>
      </c>
      <c r="X18" s="274" t="s">
        <v>402</v>
      </c>
      <c r="Y18" s="274" t="s">
        <v>402</v>
      </c>
      <c r="Z18" s="274" t="s">
        <v>402</v>
      </c>
      <c r="AA18" s="137">
        <f t="shared" si="1"/>
        <v>8</v>
      </c>
      <c r="AB18" s="279" t="str">
        <f t="shared" si="2"/>
        <v>Mayor</v>
      </c>
      <c r="AC18" s="280" t="str">
        <f t="shared" si="3"/>
        <v>Rara vez Mayor</v>
      </c>
      <c r="AD18" s="281" t="str">
        <f>IFERROR(VLOOKUP(AC18,'Listas y tablas'!$AH$3:$AI$17,2,FALSE),"")</f>
        <v>Bajo</v>
      </c>
      <c r="AE18" s="280" t="str">
        <f t="shared" si="4"/>
        <v>C</v>
      </c>
      <c r="AF18" s="282">
        <f t="shared" si="5"/>
        <v>11</v>
      </c>
      <c r="AG18" s="282" t="str">
        <f t="shared" si="6"/>
        <v>C11</v>
      </c>
      <c r="AH18" s="286" t="s">
        <v>1399</v>
      </c>
      <c r="AI18" s="282" t="str">
        <f t="shared" si="18"/>
        <v>Probabilidad</v>
      </c>
      <c r="AJ18" s="284" t="s">
        <v>417</v>
      </c>
      <c r="AK18" s="284" t="s">
        <v>402</v>
      </c>
      <c r="AL18" s="285">
        <f t="shared" si="7"/>
        <v>0</v>
      </c>
      <c r="AM18" s="284" t="s">
        <v>422</v>
      </c>
      <c r="AN18" s="285">
        <f t="shared" si="8"/>
        <v>5</v>
      </c>
      <c r="AO18" s="284" t="s">
        <v>402</v>
      </c>
      <c r="AP18" s="285">
        <f t="shared" si="9"/>
        <v>0</v>
      </c>
      <c r="AQ18" s="284" t="s">
        <v>422</v>
      </c>
      <c r="AR18" s="285">
        <f t="shared" si="10"/>
        <v>10</v>
      </c>
      <c r="AS18" s="284" t="s">
        <v>422</v>
      </c>
      <c r="AT18" s="285">
        <f t="shared" si="11"/>
        <v>15</v>
      </c>
      <c r="AU18" s="284" t="s">
        <v>422</v>
      </c>
      <c r="AV18" s="285">
        <f t="shared" si="12"/>
        <v>10</v>
      </c>
      <c r="AW18" s="284" t="s">
        <v>422</v>
      </c>
      <c r="AX18" s="282">
        <f t="shared" si="13"/>
        <v>30</v>
      </c>
      <c r="AY18" s="282">
        <f t="shared" si="14"/>
        <v>70</v>
      </c>
      <c r="AZ18" s="282">
        <f t="shared" si="15"/>
        <v>1</v>
      </c>
      <c r="BA18" s="282">
        <f t="shared" si="16"/>
        <v>1</v>
      </c>
      <c r="BB18" s="282" t="str">
        <f>IFERROR(IF(ISNUMBER(BA18),VLOOKUP(BA18,'Listas y tablas'!$AC$2:$AF$7,2,FALSE),""),"")</f>
        <v>Rara vez</v>
      </c>
      <c r="BC18" s="282" t="str">
        <f t="shared" si="0"/>
        <v>Rara vez Mayor</v>
      </c>
      <c r="BD18" s="291" t="str">
        <f>IFERROR(VLOOKUP(BC18,'Listas y tablas'!$AH$3:$AI$17,2,FALSE),"")</f>
        <v>Bajo</v>
      </c>
      <c r="BE18" s="299" t="s">
        <v>386</v>
      </c>
      <c r="BF18" s="300" t="s">
        <v>1400</v>
      </c>
      <c r="BG18" s="273" t="s">
        <v>1401</v>
      </c>
      <c r="BH18" s="273" t="s">
        <v>1402</v>
      </c>
      <c r="BI18" s="309">
        <v>44927</v>
      </c>
      <c r="BJ18" s="309">
        <v>45291</v>
      </c>
      <c r="BK18" s="273" t="s">
        <v>1403</v>
      </c>
      <c r="BL18" s="273" t="s">
        <v>1404</v>
      </c>
      <c r="BM18" s="273" t="s">
        <v>1402</v>
      </c>
      <c r="BN18" s="273" t="s">
        <v>1405</v>
      </c>
      <c r="BO18" s="273" t="s">
        <v>1406</v>
      </c>
      <c r="BP18" s="273" t="s">
        <v>1407</v>
      </c>
      <c r="BQ18" s="316" t="s">
        <v>1408</v>
      </c>
      <c r="BR18" s="313" t="s">
        <v>1409</v>
      </c>
      <c r="BS18" s="313">
        <v>1</v>
      </c>
      <c r="BT18" s="313">
        <v>1</v>
      </c>
      <c r="BU18" s="301" t="s">
        <v>1410</v>
      </c>
      <c r="BV18" s="313" t="s">
        <v>1411</v>
      </c>
      <c r="BW18" s="163" t="s">
        <v>402</v>
      </c>
      <c r="BX18" s="163" t="s">
        <v>402</v>
      </c>
      <c r="BY18" s="171"/>
      <c r="BZ18" s="323" t="s">
        <v>1412</v>
      </c>
      <c r="CA18" s="324" t="s">
        <v>404</v>
      </c>
      <c r="CB18" s="324" t="s">
        <v>1413</v>
      </c>
      <c r="CC18" s="329" t="s">
        <v>434</v>
      </c>
      <c r="CD18" s="181" t="s">
        <v>402</v>
      </c>
      <c r="CE18" s="181" t="s">
        <v>402</v>
      </c>
      <c r="CF18" s="183" t="s">
        <v>401</v>
      </c>
      <c r="CG18" s="323" t="s">
        <v>1414</v>
      </c>
      <c r="CH18" s="327" t="s">
        <v>408</v>
      </c>
      <c r="CI18" s="192" t="s">
        <v>402</v>
      </c>
      <c r="CJ18" s="193"/>
      <c r="CK18" s="194"/>
      <c r="CL18" s="194"/>
      <c r="CM18" s="194"/>
      <c r="CN18" s="194"/>
      <c r="CO18" s="194"/>
      <c r="CP18" s="194"/>
      <c r="CQ18" s="194"/>
      <c r="CR18" s="204"/>
      <c r="CS18" s="205"/>
      <c r="CT18" s="206"/>
      <c r="CU18" s="206"/>
      <c r="CV18" s="206"/>
      <c r="CW18" s="206"/>
      <c r="CX18" s="206"/>
      <c r="CY18" s="213"/>
      <c r="CZ18" s="214"/>
      <c r="DA18" s="206"/>
      <c r="DB18" s="213"/>
      <c r="DC18" s="215"/>
      <c r="DD18" s="216"/>
      <c r="DE18" s="216"/>
      <c r="DF18" s="216"/>
      <c r="DG18" s="216"/>
      <c r="DH18" s="216"/>
      <c r="DI18" s="216"/>
      <c r="DJ18" s="216"/>
      <c r="DK18" s="225"/>
      <c r="DL18" s="226"/>
      <c r="DM18" s="227"/>
      <c r="DN18" s="227"/>
      <c r="DO18" s="227"/>
      <c r="DP18" s="227"/>
      <c r="DQ18" s="227"/>
      <c r="DR18" s="234"/>
      <c r="DS18" s="226"/>
      <c r="DT18" s="227"/>
      <c r="DU18" s="234"/>
    </row>
    <row r="19" spans="1:125" ht="181.5">
      <c r="A19" s="271">
        <v>56</v>
      </c>
      <c r="B19" s="272" t="str">
        <f>IFERROR(VLOOKUP($A19,Riesgos!$A$7:$H$84,2,FALSE),"")</f>
        <v/>
      </c>
      <c r="C19" s="272" t="str">
        <f>IFERROR(VLOOKUP($A19,Riesgos!$A$7:$H$84,7,FALSE),"")</f>
        <v/>
      </c>
      <c r="D19" s="272" t="str">
        <f>IFERROR(VLOOKUP($A19,Riesgos!$A$7:$H$84,8,FALSE),"")</f>
        <v/>
      </c>
      <c r="E19" s="273" t="s">
        <v>1280</v>
      </c>
      <c r="F19" s="274">
        <v>3</v>
      </c>
      <c r="G19" s="137" t="str">
        <f>IF(ISNUMBER(F19),VLOOKUP(F19,'Listas y tablas'!$AC$2:$AF$7,2,FALSE),"")</f>
        <v>Posible</v>
      </c>
      <c r="H19" s="274" t="s">
        <v>422</v>
      </c>
      <c r="I19" s="274" t="s">
        <v>402</v>
      </c>
      <c r="J19" s="274" t="s">
        <v>422</v>
      </c>
      <c r="K19" s="274" t="s">
        <v>422</v>
      </c>
      <c r="L19" s="274" t="s">
        <v>422</v>
      </c>
      <c r="M19" s="274" t="s">
        <v>402</v>
      </c>
      <c r="N19" s="274" t="s">
        <v>422</v>
      </c>
      <c r="O19" s="274" t="s">
        <v>422</v>
      </c>
      <c r="P19" s="274" t="s">
        <v>402</v>
      </c>
      <c r="Q19" s="274" t="s">
        <v>422</v>
      </c>
      <c r="R19" s="274" t="s">
        <v>422</v>
      </c>
      <c r="S19" s="274" t="s">
        <v>422</v>
      </c>
      <c r="T19" s="274" t="s">
        <v>422</v>
      </c>
      <c r="U19" s="274" t="s">
        <v>422</v>
      </c>
      <c r="V19" s="274" t="s">
        <v>422</v>
      </c>
      <c r="W19" s="274" t="s">
        <v>402</v>
      </c>
      <c r="X19" s="274" t="s">
        <v>402</v>
      </c>
      <c r="Y19" s="274" t="s">
        <v>402</v>
      </c>
      <c r="Z19" s="274" t="s">
        <v>402</v>
      </c>
      <c r="AA19" s="137">
        <f t="shared" si="1"/>
        <v>12</v>
      </c>
      <c r="AB19" s="279" t="str">
        <f t="shared" si="2"/>
        <v>Catastrófico</v>
      </c>
      <c r="AC19" s="280" t="str">
        <f t="shared" si="3"/>
        <v>Posible Catastrófico</v>
      </c>
      <c r="AD19" s="281" t="str">
        <f>IFERROR(VLOOKUP(AC19,'Listas y tablas'!$AH$3:$AI$17,2,FALSE),"")</f>
        <v>Extremo</v>
      </c>
      <c r="AE19" s="280" t="str">
        <f t="shared" si="4"/>
        <v>C</v>
      </c>
      <c r="AF19" s="282">
        <f t="shared" si="5"/>
        <v>12</v>
      </c>
      <c r="AG19" s="282" t="str">
        <f t="shared" si="6"/>
        <v>C12</v>
      </c>
      <c r="AH19" s="286" t="s">
        <v>1415</v>
      </c>
      <c r="AI19" s="282" t="str">
        <f t="shared" si="18"/>
        <v>Probabilidad</v>
      </c>
      <c r="AJ19" s="284" t="s">
        <v>381</v>
      </c>
      <c r="AK19" s="284" t="s">
        <v>422</v>
      </c>
      <c r="AL19" s="285">
        <f t="shared" si="7"/>
        <v>15</v>
      </c>
      <c r="AM19" s="284" t="s">
        <v>422</v>
      </c>
      <c r="AN19" s="285">
        <f t="shared" si="8"/>
        <v>5</v>
      </c>
      <c r="AO19" s="284" t="s">
        <v>402</v>
      </c>
      <c r="AP19" s="285">
        <f t="shared" si="9"/>
        <v>0</v>
      </c>
      <c r="AQ19" s="284" t="s">
        <v>422</v>
      </c>
      <c r="AR19" s="285">
        <f t="shared" si="10"/>
        <v>10</v>
      </c>
      <c r="AS19" s="284" t="s">
        <v>422</v>
      </c>
      <c r="AT19" s="285">
        <f t="shared" si="11"/>
        <v>15</v>
      </c>
      <c r="AU19" s="284" t="s">
        <v>422</v>
      </c>
      <c r="AV19" s="285">
        <f t="shared" si="12"/>
        <v>10</v>
      </c>
      <c r="AW19" s="284" t="s">
        <v>422</v>
      </c>
      <c r="AX19" s="282">
        <f t="shared" si="13"/>
        <v>30</v>
      </c>
      <c r="AY19" s="282">
        <f t="shared" si="14"/>
        <v>85</v>
      </c>
      <c r="AZ19" s="282">
        <f t="shared" si="15"/>
        <v>2</v>
      </c>
      <c r="BA19" s="282">
        <f t="shared" si="16"/>
        <v>1</v>
      </c>
      <c r="BB19" s="282" t="str">
        <f>IFERROR(IF(ISNUMBER(BA19),VLOOKUP(BA19,'Listas y tablas'!$AC$2:$AF$7,2,FALSE),""),"")</f>
        <v>Rara vez</v>
      </c>
      <c r="BC19" s="282" t="str">
        <f t="shared" si="0"/>
        <v>Rara vez Catastrófico</v>
      </c>
      <c r="BD19" s="291" t="str">
        <f>IFERROR(VLOOKUP(BC19,'Listas y tablas'!$AH$3:$AI$17,2,FALSE),"")</f>
        <v>Moderado</v>
      </c>
      <c r="BE19" s="299" t="s">
        <v>386</v>
      </c>
      <c r="BF19" s="300" t="s">
        <v>1416</v>
      </c>
      <c r="BG19" s="273" t="s">
        <v>1417</v>
      </c>
      <c r="BH19" s="273" t="s">
        <v>1138</v>
      </c>
      <c r="BI19" s="309">
        <v>44958</v>
      </c>
      <c r="BJ19" s="309">
        <v>45275</v>
      </c>
      <c r="BK19" s="306"/>
      <c r="BL19" s="306"/>
      <c r="BM19" s="306"/>
      <c r="BN19" s="306"/>
      <c r="BO19" s="306"/>
      <c r="BP19" s="306"/>
      <c r="BQ19" s="319" t="s">
        <v>1418</v>
      </c>
      <c r="BR19" s="320" t="s">
        <v>1419</v>
      </c>
      <c r="BS19" s="321">
        <v>1</v>
      </c>
      <c r="BT19" s="321">
        <v>1</v>
      </c>
      <c r="BU19" s="320" t="s">
        <v>1420</v>
      </c>
      <c r="BV19" s="320" t="s">
        <v>1421</v>
      </c>
      <c r="BW19" s="163" t="s">
        <v>402</v>
      </c>
      <c r="BX19" s="163" t="s">
        <v>402</v>
      </c>
      <c r="BY19" s="171" t="s">
        <v>401</v>
      </c>
      <c r="BZ19" s="323" t="s">
        <v>1422</v>
      </c>
      <c r="CA19" s="324" t="s">
        <v>404</v>
      </c>
      <c r="CB19" s="324" t="s">
        <v>1423</v>
      </c>
      <c r="CC19" s="329" t="s">
        <v>434</v>
      </c>
      <c r="CD19" s="181"/>
      <c r="CE19" s="181"/>
      <c r="CF19" s="183"/>
      <c r="CG19" s="323" t="s">
        <v>1424</v>
      </c>
      <c r="CH19" s="327" t="s">
        <v>408</v>
      </c>
      <c r="CI19" s="192" t="s">
        <v>402</v>
      </c>
      <c r="CJ19" s="193"/>
      <c r="CK19" s="194"/>
      <c r="CL19" s="194"/>
      <c r="CM19" s="194"/>
      <c r="CN19" s="194"/>
      <c r="CO19" s="194"/>
      <c r="CP19" s="194"/>
      <c r="CQ19" s="194"/>
      <c r="CR19" s="204"/>
      <c r="CS19" s="205"/>
      <c r="CT19" s="206"/>
      <c r="CU19" s="206"/>
      <c r="CV19" s="206"/>
      <c r="CW19" s="206"/>
      <c r="CX19" s="206"/>
      <c r="CY19" s="213"/>
      <c r="CZ19" s="214"/>
      <c r="DA19" s="206"/>
      <c r="DB19" s="213"/>
      <c r="DC19" s="215"/>
      <c r="DD19" s="216"/>
      <c r="DE19" s="216"/>
      <c r="DF19" s="216"/>
      <c r="DG19" s="216"/>
      <c r="DH19" s="216"/>
      <c r="DI19" s="216"/>
      <c r="DJ19" s="216"/>
      <c r="DK19" s="225"/>
      <c r="DL19" s="226"/>
      <c r="DM19" s="227"/>
      <c r="DN19" s="227"/>
      <c r="DO19" s="227"/>
      <c r="DP19" s="227"/>
      <c r="DQ19" s="227"/>
      <c r="DR19" s="234"/>
      <c r="DS19" s="226"/>
      <c r="DT19" s="227"/>
      <c r="DU19" s="234"/>
    </row>
    <row r="20" spans="1:125" ht="181.5">
      <c r="A20" s="271">
        <v>57</v>
      </c>
      <c r="B20" s="272" t="str">
        <f>IFERROR(VLOOKUP($A20,Riesgos!$A$7:$H$84,2,FALSE),"")</f>
        <v/>
      </c>
      <c r="C20" s="272" t="str">
        <f>IFERROR(VLOOKUP($A20,Riesgos!$A$7:$H$84,7,FALSE),"")</f>
        <v/>
      </c>
      <c r="D20" s="272" t="str">
        <f>IFERROR(VLOOKUP($A20,Riesgos!$A$7:$H$84,8,FALSE),"")</f>
        <v/>
      </c>
      <c r="E20" s="273" t="s">
        <v>1280</v>
      </c>
      <c r="F20" s="274">
        <v>3</v>
      </c>
      <c r="G20" s="137" t="str">
        <f>IF(ISNUMBER(F20),VLOOKUP(F20,'Listas y tablas'!$AC$2:$AF$7,2,FALSE),"")</f>
        <v>Posible</v>
      </c>
      <c r="H20" s="274" t="s">
        <v>422</v>
      </c>
      <c r="I20" s="274" t="s">
        <v>402</v>
      </c>
      <c r="J20" s="274" t="s">
        <v>422</v>
      </c>
      <c r="K20" s="274" t="s">
        <v>422</v>
      </c>
      <c r="L20" s="274" t="s">
        <v>422</v>
      </c>
      <c r="M20" s="274" t="s">
        <v>402</v>
      </c>
      <c r="N20" s="274" t="s">
        <v>422</v>
      </c>
      <c r="O20" s="274" t="s">
        <v>422</v>
      </c>
      <c r="P20" s="274" t="s">
        <v>402</v>
      </c>
      <c r="Q20" s="274" t="s">
        <v>422</v>
      </c>
      <c r="R20" s="274" t="s">
        <v>422</v>
      </c>
      <c r="S20" s="274" t="s">
        <v>422</v>
      </c>
      <c r="T20" s="274" t="s">
        <v>422</v>
      </c>
      <c r="U20" s="274" t="s">
        <v>422</v>
      </c>
      <c r="V20" s="274" t="s">
        <v>422</v>
      </c>
      <c r="W20" s="274" t="s">
        <v>402</v>
      </c>
      <c r="X20" s="274" t="s">
        <v>402</v>
      </c>
      <c r="Y20" s="274" t="s">
        <v>402</v>
      </c>
      <c r="Z20" s="274" t="s">
        <v>402</v>
      </c>
      <c r="AA20" s="137">
        <f t="shared" si="1"/>
        <v>12</v>
      </c>
      <c r="AB20" s="279" t="str">
        <f t="shared" si="2"/>
        <v>Catastrófico</v>
      </c>
      <c r="AC20" s="280" t="str">
        <f t="shared" si="3"/>
        <v>Posible Catastrófico</v>
      </c>
      <c r="AD20" s="281" t="str">
        <f>IFERROR(VLOOKUP(AC20,'Listas y tablas'!$AH$3:$AI$17,2,FALSE),"")</f>
        <v>Extremo</v>
      </c>
      <c r="AE20" s="280" t="str">
        <f t="shared" si="4"/>
        <v>C</v>
      </c>
      <c r="AF20" s="282">
        <f t="shared" si="5"/>
        <v>13</v>
      </c>
      <c r="AG20" s="282" t="str">
        <f t="shared" si="6"/>
        <v>C13</v>
      </c>
      <c r="AH20" s="286" t="s">
        <v>1415</v>
      </c>
      <c r="AI20" s="282" t="str">
        <f t="shared" si="18"/>
        <v>Probabilidad</v>
      </c>
      <c r="AJ20" s="284" t="s">
        <v>381</v>
      </c>
      <c r="AK20" s="284" t="s">
        <v>422</v>
      </c>
      <c r="AL20" s="285">
        <f t="shared" si="7"/>
        <v>15</v>
      </c>
      <c r="AM20" s="284" t="s">
        <v>422</v>
      </c>
      <c r="AN20" s="285">
        <f t="shared" si="8"/>
        <v>5</v>
      </c>
      <c r="AO20" s="284" t="s">
        <v>402</v>
      </c>
      <c r="AP20" s="285">
        <f t="shared" si="9"/>
        <v>0</v>
      </c>
      <c r="AQ20" s="284" t="s">
        <v>422</v>
      </c>
      <c r="AR20" s="285">
        <f t="shared" si="10"/>
        <v>10</v>
      </c>
      <c r="AS20" s="284" t="s">
        <v>422</v>
      </c>
      <c r="AT20" s="285">
        <f t="shared" si="11"/>
        <v>15</v>
      </c>
      <c r="AU20" s="284" t="s">
        <v>422</v>
      </c>
      <c r="AV20" s="285">
        <f t="shared" si="12"/>
        <v>10</v>
      </c>
      <c r="AW20" s="284" t="s">
        <v>422</v>
      </c>
      <c r="AX20" s="282">
        <f t="shared" si="13"/>
        <v>30</v>
      </c>
      <c r="AY20" s="282">
        <f t="shared" si="14"/>
        <v>85</v>
      </c>
      <c r="AZ20" s="282">
        <f t="shared" si="15"/>
        <v>2</v>
      </c>
      <c r="BA20" s="282">
        <f t="shared" si="16"/>
        <v>1</v>
      </c>
      <c r="BB20" s="282" t="str">
        <f>IFERROR(IF(ISNUMBER(BA20),VLOOKUP(BA20,'Listas y tablas'!$AC$2:$AF$7,2,FALSE),""),"")</f>
        <v>Rara vez</v>
      </c>
      <c r="BC20" s="282" t="str">
        <f t="shared" si="0"/>
        <v>Rara vez Catastrófico</v>
      </c>
      <c r="BD20" s="291" t="str">
        <f>IFERROR(VLOOKUP(BC20,'Listas y tablas'!$AH$3:$AI$17,2,FALSE),"")</f>
        <v>Moderado</v>
      </c>
      <c r="BE20" s="299" t="s">
        <v>386</v>
      </c>
      <c r="BF20" s="300" t="s">
        <v>1416</v>
      </c>
      <c r="BG20" s="273" t="s">
        <v>1417</v>
      </c>
      <c r="BH20" s="273" t="s">
        <v>1138</v>
      </c>
      <c r="BI20" s="309">
        <v>44958</v>
      </c>
      <c r="BJ20" s="309">
        <v>45275</v>
      </c>
      <c r="BK20" s="306"/>
      <c r="BL20" s="306"/>
      <c r="BM20" s="306"/>
      <c r="BN20" s="306"/>
      <c r="BO20" s="306"/>
      <c r="BP20" s="306"/>
      <c r="BQ20" s="319" t="s">
        <v>1418</v>
      </c>
      <c r="BR20" s="320" t="s">
        <v>1419</v>
      </c>
      <c r="BS20" s="321">
        <v>1</v>
      </c>
      <c r="BT20" s="321">
        <v>1</v>
      </c>
      <c r="BU20" s="320" t="s">
        <v>1420</v>
      </c>
      <c r="BV20" s="320" t="s">
        <v>1421</v>
      </c>
      <c r="BW20" s="163" t="s">
        <v>402</v>
      </c>
      <c r="BX20" s="163" t="s">
        <v>402</v>
      </c>
      <c r="BY20" s="171" t="s">
        <v>401</v>
      </c>
      <c r="BZ20" s="323" t="s">
        <v>1422</v>
      </c>
      <c r="CA20" s="324" t="s">
        <v>404</v>
      </c>
      <c r="CB20" s="324" t="s">
        <v>1423</v>
      </c>
      <c r="CC20" s="329" t="s">
        <v>434</v>
      </c>
      <c r="CD20" s="181"/>
      <c r="CE20" s="181"/>
      <c r="CF20" s="183"/>
      <c r="CG20" s="323" t="s">
        <v>1424</v>
      </c>
      <c r="CH20" s="327" t="s">
        <v>408</v>
      </c>
      <c r="CI20" s="192" t="s">
        <v>402</v>
      </c>
      <c r="CJ20" s="193"/>
      <c r="CK20" s="194"/>
      <c r="CL20" s="194"/>
      <c r="CM20" s="194"/>
      <c r="CN20" s="194"/>
      <c r="CO20" s="194"/>
      <c r="CP20" s="194"/>
      <c r="CQ20" s="194"/>
      <c r="CR20" s="204"/>
      <c r="CS20" s="205"/>
      <c r="CT20" s="206"/>
      <c r="CU20" s="206"/>
      <c r="CV20" s="206"/>
      <c r="CW20" s="206"/>
      <c r="CX20" s="206"/>
      <c r="CY20" s="213"/>
      <c r="CZ20" s="214"/>
      <c r="DA20" s="206"/>
      <c r="DB20" s="213"/>
      <c r="DC20" s="215"/>
      <c r="DD20" s="216"/>
      <c r="DE20" s="216"/>
      <c r="DF20" s="216"/>
      <c r="DG20" s="216"/>
      <c r="DH20" s="216"/>
      <c r="DI20" s="216"/>
      <c r="DJ20" s="216"/>
      <c r="DK20" s="225"/>
      <c r="DL20" s="226"/>
      <c r="DM20" s="227"/>
      <c r="DN20" s="227"/>
      <c r="DO20" s="227"/>
      <c r="DP20" s="227"/>
      <c r="DQ20" s="227"/>
      <c r="DR20" s="234"/>
      <c r="DS20" s="226"/>
      <c r="DT20" s="227"/>
      <c r="DU20" s="234"/>
    </row>
    <row r="21" spans="1:125" ht="181.5">
      <c r="A21" s="271">
        <v>58</v>
      </c>
      <c r="B21" s="272" t="str">
        <f>IFERROR(VLOOKUP($A21,Riesgos!$A$7:$H$84,2,FALSE),"")</f>
        <v/>
      </c>
      <c r="C21" s="272" t="str">
        <f>IFERROR(VLOOKUP($A21,Riesgos!$A$7:$H$84,7,FALSE),"")</f>
        <v/>
      </c>
      <c r="D21" s="272" t="str">
        <f>IFERROR(VLOOKUP($A21,Riesgos!$A$7:$H$84,8,FALSE),"")</f>
        <v/>
      </c>
      <c r="E21" s="273" t="s">
        <v>1280</v>
      </c>
      <c r="F21" s="274">
        <v>3</v>
      </c>
      <c r="G21" s="137" t="str">
        <f>IF(ISNUMBER(F21),VLOOKUP(F21,'Listas y tablas'!$AC$2:$AF$7,2,FALSE),"")</f>
        <v>Posible</v>
      </c>
      <c r="H21" s="274" t="s">
        <v>422</v>
      </c>
      <c r="I21" s="274" t="s">
        <v>402</v>
      </c>
      <c r="J21" s="274" t="s">
        <v>422</v>
      </c>
      <c r="K21" s="274" t="s">
        <v>422</v>
      </c>
      <c r="L21" s="274" t="s">
        <v>422</v>
      </c>
      <c r="M21" s="274" t="s">
        <v>402</v>
      </c>
      <c r="N21" s="274" t="s">
        <v>422</v>
      </c>
      <c r="O21" s="274" t="s">
        <v>422</v>
      </c>
      <c r="P21" s="274" t="s">
        <v>402</v>
      </c>
      <c r="Q21" s="274" t="s">
        <v>422</v>
      </c>
      <c r="R21" s="274" t="s">
        <v>422</v>
      </c>
      <c r="S21" s="274" t="s">
        <v>422</v>
      </c>
      <c r="T21" s="274" t="s">
        <v>422</v>
      </c>
      <c r="U21" s="274" t="s">
        <v>422</v>
      </c>
      <c r="V21" s="274" t="s">
        <v>422</v>
      </c>
      <c r="W21" s="274" t="s">
        <v>402</v>
      </c>
      <c r="X21" s="274" t="s">
        <v>402</v>
      </c>
      <c r="Y21" s="274" t="s">
        <v>402</v>
      </c>
      <c r="Z21" s="274" t="s">
        <v>402</v>
      </c>
      <c r="AA21" s="137">
        <f t="shared" si="1"/>
        <v>12</v>
      </c>
      <c r="AB21" s="279" t="str">
        <f t="shared" si="2"/>
        <v>Catastrófico</v>
      </c>
      <c r="AC21" s="280" t="str">
        <f t="shared" si="3"/>
        <v>Posible Catastrófico</v>
      </c>
      <c r="AD21" s="281" t="str">
        <f>IFERROR(VLOOKUP(AC21,'Listas y tablas'!$AH$3:$AI$17,2,FALSE),"")</f>
        <v>Extremo</v>
      </c>
      <c r="AE21" s="280" t="str">
        <f t="shared" si="4"/>
        <v>C</v>
      </c>
      <c r="AF21" s="282">
        <f t="shared" si="5"/>
        <v>14</v>
      </c>
      <c r="AG21" s="282" t="str">
        <f t="shared" si="6"/>
        <v>C14</v>
      </c>
      <c r="AH21" s="286" t="s">
        <v>1415</v>
      </c>
      <c r="AI21" s="282" t="str">
        <f t="shared" si="18"/>
        <v>Probabilidad</v>
      </c>
      <c r="AJ21" s="284" t="s">
        <v>381</v>
      </c>
      <c r="AK21" s="284" t="s">
        <v>422</v>
      </c>
      <c r="AL21" s="285">
        <f t="shared" si="7"/>
        <v>15</v>
      </c>
      <c r="AM21" s="284" t="s">
        <v>422</v>
      </c>
      <c r="AN21" s="285">
        <f t="shared" si="8"/>
        <v>5</v>
      </c>
      <c r="AO21" s="284" t="s">
        <v>402</v>
      </c>
      <c r="AP21" s="285">
        <f t="shared" si="9"/>
        <v>0</v>
      </c>
      <c r="AQ21" s="284" t="s">
        <v>422</v>
      </c>
      <c r="AR21" s="285">
        <f t="shared" si="10"/>
        <v>10</v>
      </c>
      <c r="AS21" s="284" t="s">
        <v>422</v>
      </c>
      <c r="AT21" s="285">
        <f t="shared" si="11"/>
        <v>15</v>
      </c>
      <c r="AU21" s="284" t="s">
        <v>422</v>
      </c>
      <c r="AV21" s="285">
        <f t="shared" si="12"/>
        <v>10</v>
      </c>
      <c r="AW21" s="284" t="s">
        <v>422</v>
      </c>
      <c r="AX21" s="282">
        <f t="shared" si="13"/>
        <v>30</v>
      </c>
      <c r="AY21" s="282">
        <f t="shared" si="14"/>
        <v>85</v>
      </c>
      <c r="AZ21" s="282">
        <f t="shared" si="15"/>
        <v>2</v>
      </c>
      <c r="BA21" s="282">
        <f t="shared" si="16"/>
        <v>1</v>
      </c>
      <c r="BB21" s="282" t="str">
        <f>IFERROR(IF(ISNUMBER(BA21),VLOOKUP(BA21,'Listas y tablas'!$AC$2:$AF$7,2,FALSE),""),"")</f>
        <v>Rara vez</v>
      </c>
      <c r="BC21" s="282" t="str">
        <f t="shared" si="0"/>
        <v>Rara vez Catastrófico</v>
      </c>
      <c r="BD21" s="291" t="str">
        <f>IFERROR(VLOOKUP(BC21,'Listas y tablas'!$AH$3:$AI$17,2,FALSE),"")</f>
        <v>Moderado</v>
      </c>
      <c r="BE21" s="299" t="s">
        <v>386</v>
      </c>
      <c r="BF21" s="300" t="s">
        <v>1416</v>
      </c>
      <c r="BG21" s="273" t="s">
        <v>1417</v>
      </c>
      <c r="BH21" s="273" t="s">
        <v>1138</v>
      </c>
      <c r="BI21" s="309">
        <v>44958</v>
      </c>
      <c r="BJ21" s="309">
        <v>45275</v>
      </c>
      <c r="BK21" s="306"/>
      <c r="BL21" s="306"/>
      <c r="BM21" s="306"/>
      <c r="BN21" s="306"/>
      <c r="BO21" s="306"/>
      <c r="BP21" s="306"/>
      <c r="BQ21" s="319" t="s">
        <v>1418</v>
      </c>
      <c r="BR21" s="320" t="s">
        <v>1419</v>
      </c>
      <c r="BS21" s="321">
        <v>1</v>
      </c>
      <c r="BT21" s="321">
        <v>1</v>
      </c>
      <c r="BU21" s="320" t="s">
        <v>1420</v>
      </c>
      <c r="BV21" s="320" t="s">
        <v>1421</v>
      </c>
      <c r="BW21" s="163" t="s">
        <v>402</v>
      </c>
      <c r="BX21" s="163" t="s">
        <v>402</v>
      </c>
      <c r="BY21" s="171" t="s">
        <v>401</v>
      </c>
      <c r="BZ21" s="323" t="s">
        <v>1422</v>
      </c>
      <c r="CA21" s="324" t="s">
        <v>404</v>
      </c>
      <c r="CB21" s="324" t="s">
        <v>1423</v>
      </c>
      <c r="CC21" s="329" t="s">
        <v>434</v>
      </c>
      <c r="CD21" s="181"/>
      <c r="CE21" s="181"/>
      <c r="CF21" s="183"/>
      <c r="CG21" s="323" t="s">
        <v>1424</v>
      </c>
      <c r="CH21" s="327" t="s">
        <v>408</v>
      </c>
      <c r="CI21" s="192" t="s">
        <v>402</v>
      </c>
      <c r="CJ21" s="193"/>
      <c r="CK21" s="194"/>
      <c r="CL21" s="194"/>
      <c r="CM21" s="194"/>
      <c r="CN21" s="194"/>
      <c r="CO21" s="194"/>
      <c r="CP21" s="194"/>
      <c r="CQ21" s="194"/>
      <c r="CR21" s="204"/>
      <c r="CS21" s="205"/>
      <c r="CT21" s="206"/>
      <c r="CU21" s="206"/>
      <c r="CV21" s="206"/>
      <c r="CW21" s="206"/>
      <c r="CX21" s="206"/>
      <c r="CY21" s="213"/>
      <c r="CZ21" s="214"/>
      <c r="DA21" s="206"/>
      <c r="DB21" s="213"/>
      <c r="DC21" s="215"/>
      <c r="DD21" s="216"/>
      <c r="DE21" s="216"/>
      <c r="DF21" s="216"/>
      <c r="DG21" s="216"/>
      <c r="DH21" s="216"/>
      <c r="DI21" s="216"/>
      <c r="DJ21" s="216"/>
      <c r="DK21" s="225"/>
      <c r="DL21" s="226"/>
      <c r="DM21" s="227"/>
      <c r="DN21" s="227"/>
      <c r="DO21" s="227"/>
      <c r="DP21" s="227"/>
      <c r="DQ21" s="227"/>
      <c r="DR21" s="234"/>
      <c r="DS21" s="226"/>
      <c r="DT21" s="227"/>
      <c r="DU21" s="234"/>
    </row>
    <row r="22" spans="1:125" ht="181.5">
      <c r="A22" s="271">
        <v>59</v>
      </c>
      <c r="B22" s="272" t="str">
        <f>IFERROR(VLOOKUP($A22,Riesgos!$A$7:$H$84,2,FALSE),"")</f>
        <v/>
      </c>
      <c r="C22" s="272" t="str">
        <f>IFERROR(VLOOKUP($A22,Riesgos!$A$7:$H$84,7,FALSE),"")</f>
        <v/>
      </c>
      <c r="D22" s="272" t="str">
        <f>IFERROR(VLOOKUP($A22,Riesgos!$A$7:$H$84,8,FALSE),"")</f>
        <v/>
      </c>
      <c r="E22" s="273" t="s">
        <v>1280</v>
      </c>
      <c r="F22" s="274">
        <v>3</v>
      </c>
      <c r="G22" s="137" t="str">
        <f>IF(ISNUMBER(F22),VLOOKUP(F22,'Listas y tablas'!$AC$2:$AF$7,2,FALSE),"")</f>
        <v>Posible</v>
      </c>
      <c r="H22" s="274" t="s">
        <v>422</v>
      </c>
      <c r="I22" s="274" t="s">
        <v>402</v>
      </c>
      <c r="J22" s="274" t="s">
        <v>422</v>
      </c>
      <c r="K22" s="274" t="s">
        <v>422</v>
      </c>
      <c r="L22" s="274" t="s">
        <v>422</v>
      </c>
      <c r="M22" s="274" t="s">
        <v>402</v>
      </c>
      <c r="N22" s="274" t="s">
        <v>422</v>
      </c>
      <c r="O22" s="274" t="s">
        <v>422</v>
      </c>
      <c r="P22" s="274" t="s">
        <v>402</v>
      </c>
      <c r="Q22" s="274" t="s">
        <v>422</v>
      </c>
      <c r="R22" s="274" t="s">
        <v>422</v>
      </c>
      <c r="S22" s="274" t="s">
        <v>422</v>
      </c>
      <c r="T22" s="274" t="s">
        <v>422</v>
      </c>
      <c r="U22" s="274" t="s">
        <v>422</v>
      </c>
      <c r="V22" s="274" t="s">
        <v>422</v>
      </c>
      <c r="W22" s="274" t="s">
        <v>402</v>
      </c>
      <c r="X22" s="274" t="s">
        <v>402</v>
      </c>
      <c r="Y22" s="274" t="s">
        <v>402</v>
      </c>
      <c r="Z22" s="274" t="s">
        <v>402</v>
      </c>
      <c r="AA22" s="137">
        <f t="shared" si="1"/>
        <v>12</v>
      </c>
      <c r="AB22" s="279" t="str">
        <f t="shared" si="2"/>
        <v>Catastrófico</v>
      </c>
      <c r="AC22" s="280" t="str">
        <f t="shared" si="3"/>
        <v>Posible Catastrófico</v>
      </c>
      <c r="AD22" s="281" t="str">
        <f>IFERROR(VLOOKUP(AC22,'Listas y tablas'!$AH$3:$AI$17,2,FALSE),"")</f>
        <v>Extremo</v>
      </c>
      <c r="AE22" s="280" t="str">
        <f t="shared" si="4"/>
        <v>C</v>
      </c>
      <c r="AF22" s="282">
        <f t="shared" si="5"/>
        <v>15</v>
      </c>
      <c r="AG22" s="282" t="str">
        <f t="shared" si="6"/>
        <v>C15</v>
      </c>
      <c r="AH22" s="287" t="s">
        <v>1415</v>
      </c>
      <c r="AI22" s="282" t="str">
        <f t="shared" si="18"/>
        <v>Probabilidad</v>
      </c>
      <c r="AJ22" s="284" t="s">
        <v>381</v>
      </c>
      <c r="AK22" s="284" t="s">
        <v>422</v>
      </c>
      <c r="AL22" s="285">
        <f t="shared" si="7"/>
        <v>15</v>
      </c>
      <c r="AM22" s="284" t="s">
        <v>422</v>
      </c>
      <c r="AN22" s="285">
        <f t="shared" si="8"/>
        <v>5</v>
      </c>
      <c r="AO22" s="284" t="s">
        <v>402</v>
      </c>
      <c r="AP22" s="285">
        <f t="shared" si="9"/>
        <v>0</v>
      </c>
      <c r="AQ22" s="284" t="s">
        <v>422</v>
      </c>
      <c r="AR22" s="285">
        <f t="shared" si="10"/>
        <v>10</v>
      </c>
      <c r="AS22" s="284" t="s">
        <v>422</v>
      </c>
      <c r="AT22" s="285">
        <f t="shared" si="11"/>
        <v>15</v>
      </c>
      <c r="AU22" s="284" t="s">
        <v>422</v>
      </c>
      <c r="AV22" s="285">
        <f t="shared" si="12"/>
        <v>10</v>
      </c>
      <c r="AW22" s="284" t="s">
        <v>422</v>
      </c>
      <c r="AX22" s="282">
        <f t="shared" si="13"/>
        <v>30</v>
      </c>
      <c r="AY22" s="282">
        <f t="shared" si="14"/>
        <v>85</v>
      </c>
      <c r="AZ22" s="282">
        <f t="shared" si="15"/>
        <v>2</v>
      </c>
      <c r="BA22" s="282">
        <f t="shared" si="16"/>
        <v>1</v>
      </c>
      <c r="BB22" s="282" t="str">
        <f>IFERROR(IF(ISNUMBER(BA22),VLOOKUP(BA22,'Listas y tablas'!$AC$2:$AF$7,2,FALSE),""),"")</f>
        <v>Rara vez</v>
      </c>
      <c r="BC22" s="282" t="str">
        <f t="shared" si="0"/>
        <v>Rara vez Catastrófico</v>
      </c>
      <c r="BD22" s="291" t="str">
        <f>IFERROR(VLOOKUP(BC22,'Listas y tablas'!$AH$3:$AI$17,2,FALSE),"")</f>
        <v>Moderado</v>
      </c>
      <c r="BE22" s="299" t="s">
        <v>386</v>
      </c>
      <c r="BF22" s="300" t="s">
        <v>1416</v>
      </c>
      <c r="BG22" s="273" t="s">
        <v>1417</v>
      </c>
      <c r="BH22" s="273" t="s">
        <v>1138</v>
      </c>
      <c r="BI22" s="309">
        <v>44958</v>
      </c>
      <c r="BJ22" s="309">
        <v>45275</v>
      </c>
      <c r="BK22" s="306"/>
      <c r="BL22" s="306"/>
      <c r="BM22" s="306"/>
      <c r="BN22" s="306"/>
      <c r="BO22" s="306"/>
      <c r="BP22" s="306"/>
      <c r="BQ22" s="319" t="s">
        <v>1418</v>
      </c>
      <c r="BR22" s="320" t="s">
        <v>1419</v>
      </c>
      <c r="BS22" s="321">
        <v>1</v>
      </c>
      <c r="BT22" s="321">
        <v>1</v>
      </c>
      <c r="BU22" s="320" t="s">
        <v>1420</v>
      </c>
      <c r="BV22" s="320" t="s">
        <v>1421</v>
      </c>
      <c r="BW22" s="163" t="s">
        <v>402</v>
      </c>
      <c r="BX22" s="163" t="s">
        <v>402</v>
      </c>
      <c r="BY22" s="171" t="s">
        <v>401</v>
      </c>
      <c r="BZ22" s="323" t="s">
        <v>1422</v>
      </c>
      <c r="CA22" s="324" t="s">
        <v>404</v>
      </c>
      <c r="CB22" s="324" t="s">
        <v>1423</v>
      </c>
      <c r="CC22" s="329" t="s">
        <v>434</v>
      </c>
      <c r="CD22" s="181"/>
      <c r="CE22" s="181"/>
      <c r="CF22" s="183"/>
      <c r="CG22" s="323" t="s">
        <v>1424</v>
      </c>
      <c r="CH22" s="327" t="s">
        <v>408</v>
      </c>
      <c r="CI22" s="192" t="s">
        <v>402</v>
      </c>
      <c r="CJ22" s="193"/>
      <c r="CK22" s="194"/>
      <c r="CL22" s="194"/>
      <c r="CM22" s="194"/>
      <c r="CN22" s="194"/>
      <c r="CO22" s="194"/>
      <c r="CP22" s="194"/>
      <c r="CQ22" s="194"/>
      <c r="CR22" s="204"/>
      <c r="CS22" s="205"/>
      <c r="CT22" s="206"/>
      <c r="CU22" s="206"/>
      <c r="CV22" s="206"/>
      <c r="CW22" s="206"/>
      <c r="CX22" s="206"/>
      <c r="CY22" s="213"/>
      <c r="CZ22" s="214"/>
      <c r="DA22" s="206"/>
      <c r="DB22" s="213"/>
      <c r="DC22" s="215"/>
      <c r="DD22" s="216"/>
      <c r="DE22" s="216"/>
      <c r="DF22" s="216"/>
      <c r="DG22" s="216"/>
      <c r="DH22" s="216"/>
      <c r="DI22" s="216"/>
      <c r="DJ22" s="216"/>
      <c r="DK22" s="225"/>
      <c r="DL22" s="226"/>
      <c r="DM22" s="227"/>
      <c r="DN22" s="227"/>
      <c r="DO22" s="227"/>
      <c r="DP22" s="227"/>
      <c r="DQ22" s="227"/>
      <c r="DR22" s="234"/>
      <c r="DS22" s="226"/>
      <c r="DT22" s="227"/>
      <c r="DU22" s="234"/>
    </row>
    <row r="23" spans="1:125" ht="181.5">
      <c r="A23" s="271">
        <v>60</v>
      </c>
      <c r="B23" s="272" t="str">
        <f>IFERROR(VLOOKUP($A23,Riesgos!$A$7:$H$84,2,FALSE),"")</f>
        <v/>
      </c>
      <c r="C23" s="272" t="str">
        <f>IFERROR(VLOOKUP($A23,Riesgos!$A$7:$H$84,7,FALSE),"")</f>
        <v/>
      </c>
      <c r="D23" s="272" t="str">
        <f>IFERROR(VLOOKUP($A23,Riesgos!$A$7:$H$84,8,FALSE),"")</f>
        <v/>
      </c>
      <c r="E23" s="273" t="s">
        <v>1280</v>
      </c>
      <c r="F23" s="274">
        <v>3</v>
      </c>
      <c r="G23" s="137" t="str">
        <f>IF(ISNUMBER(F23),VLOOKUP(F23,'Listas y tablas'!$AC$2:$AF$7,2,FALSE),"")</f>
        <v>Posible</v>
      </c>
      <c r="H23" s="274" t="s">
        <v>422</v>
      </c>
      <c r="I23" s="274" t="s">
        <v>402</v>
      </c>
      <c r="J23" s="274" t="s">
        <v>422</v>
      </c>
      <c r="K23" s="274" t="s">
        <v>422</v>
      </c>
      <c r="L23" s="274" t="s">
        <v>422</v>
      </c>
      <c r="M23" s="274" t="s">
        <v>402</v>
      </c>
      <c r="N23" s="274" t="s">
        <v>422</v>
      </c>
      <c r="O23" s="274" t="s">
        <v>422</v>
      </c>
      <c r="P23" s="274" t="s">
        <v>402</v>
      </c>
      <c r="Q23" s="274" t="s">
        <v>422</v>
      </c>
      <c r="R23" s="274" t="s">
        <v>422</v>
      </c>
      <c r="S23" s="274" t="s">
        <v>422</v>
      </c>
      <c r="T23" s="274" t="s">
        <v>422</v>
      </c>
      <c r="U23" s="274" t="s">
        <v>422</v>
      </c>
      <c r="V23" s="274" t="s">
        <v>422</v>
      </c>
      <c r="W23" s="274" t="s">
        <v>402</v>
      </c>
      <c r="X23" s="274" t="s">
        <v>402</v>
      </c>
      <c r="Y23" s="274" t="s">
        <v>402</v>
      </c>
      <c r="Z23" s="274" t="s">
        <v>402</v>
      </c>
      <c r="AA23" s="137">
        <f t="shared" si="1"/>
        <v>12</v>
      </c>
      <c r="AB23" s="279" t="str">
        <f t="shared" si="2"/>
        <v>Catastrófico</v>
      </c>
      <c r="AC23" s="280" t="str">
        <f t="shared" si="3"/>
        <v>Posible Catastrófico</v>
      </c>
      <c r="AD23" s="281" t="str">
        <f>IFERROR(VLOOKUP(AC23,'Listas y tablas'!$AH$3:$AI$17,2,FALSE),"")</f>
        <v>Extremo</v>
      </c>
      <c r="AE23" s="280" t="str">
        <f t="shared" si="4"/>
        <v>C</v>
      </c>
      <c r="AF23" s="282">
        <f t="shared" si="5"/>
        <v>16</v>
      </c>
      <c r="AG23" s="282" t="str">
        <f t="shared" si="6"/>
        <v>C16</v>
      </c>
      <c r="AH23" s="286" t="s">
        <v>1415</v>
      </c>
      <c r="AI23" s="282" t="str">
        <f t="shared" ref="AI23:AI28" si="19">IF(OR(AJ23="Preventivo",AJ23="Detectivo"),"Probabilidad",IF(AJ23="Correctivo","Impacto",""))</f>
        <v>Probabilidad</v>
      </c>
      <c r="AJ23" s="284" t="s">
        <v>381</v>
      </c>
      <c r="AK23" s="284" t="s">
        <v>422</v>
      </c>
      <c r="AL23" s="285">
        <f t="shared" si="7"/>
        <v>15</v>
      </c>
      <c r="AM23" s="284" t="s">
        <v>422</v>
      </c>
      <c r="AN23" s="285">
        <f t="shared" si="8"/>
        <v>5</v>
      </c>
      <c r="AO23" s="284" t="s">
        <v>402</v>
      </c>
      <c r="AP23" s="285">
        <f t="shared" si="9"/>
        <v>0</v>
      </c>
      <c r="AQ23" s="284" t="s">
        <v>422</v>
      </c>
      <c r="AR23" s="285">
        <f t="shared" si="10"/>
        <v>10</v>
      </c>
      <c r="AS23" s="284" t="s">
        <v>422</v>
      </c>
      <c r="AT23" s="285">
        <f t="shared" si="11"/>
        <v>15</v>
      </c>
      <c r="AU23" s="284" t="s">
        <v>422</v>
      </c>
      <c r="AV23" s="285">
        <f t="shared" si="12"/>
        <v>10</v>
      </c>
      <c r="AW23" s="284" t="s">
        <v>422</v>
      </c>
      <c r="AX23" s="282">
        <f t="shared" si="13"/>
        <v>30</v>
      </c>
      <c r="AY23" s="282">
        <f t="shared" si="14"/>
        <v>85</v>
      </c>
      <c r="AZ23" s="282">
        <f t="shared" si="15"/>
        <v>2</v>
      </c>
      <c r="BA23" s="282">
        <f t="shared" si="16"/>
        <v>1</v>
      </c>
      <c r="BB23" s="282" t="str">
        <f>IFERROR(IF(ISNUMBER(BA23),VLOOKUP(BA23,'Listas y tablas'!$AC$2:$AF$7,2,FALSE),""),"")</f>
        <v>Rara vez</v>
      </c>
      <c r="BC23" s="282" t="str">
        <f t="shared" si="0"/>
        <v>Rara vez Catastrófico</v>
      </c>
      <c r="BD23" s="291" t="str">
        <f>IFERROR(VLOOKUP(BC23,'Listas y tablas'!$AH$3:$AI$17,2,FALSE),"")</f>
        <v>Moderado</v>
      </c>
      <c r="BE23" s="299" t="s">
        <v>386</v>
      </c>
      <c r="BF23" s="300" t="s">
        <v>1416</v>
      </c>
      <c r="BG23" s="273" t="s">
        <v>1417</v>
      </c>
      <c r="BH23" s="273" t="s">
        <v>1138</v>
      </c>
      <c r="BI23" s="309">
        <v>44958</v>
      </c>
      <c r="BJ23" s="309">
        <v>45275</v>
      </c>
      <c r="BK23" s="306"/>
      <c r="BL23" s="306"/>
      <c r="BM23" s="306"/>
      <c r="BN23" s="306"/>
      <c r="BO23" s="306"/>
      <c r="BP23" s="306"/>
      <c r="BQ23" s="319" t="s">
        <v>1418</v>
      </c>
      <c r="BR23" s="320" t="s">
        <v>1419</v>
      </c>
      <c r="BS23" s="321">
        <v>1</v>
      </c>
      <c r="BT23" s="321">
        <v>1</v>
      </c>
      <c r="BU23" s="320" t="s">
        <v>1420</v>
      </c>
      <c r="BV23" s="320" t="s">
        <v>1421</v>
      </c>
      <c r="BW23" s="163" t="s">
        <v>402</v>
      </c>
      <c r="BX23" s="163" t="s">
        <v>402</v>
      </c>
      <c r="BY23" s="171" t="s">
        <v>401</v>
      </c>
      <c r="BZ23" s="323" t="s">
        <v>1422</v>
      </c>
      <c r="CA23" s="324" t="s">
        <v>404</v>
      </c>
      <c r="CB23" s="324" t="s">
        <v>1423</v>
      </c>
      <c r="CC23" s="329" t="s">
        <v>434</v>
      </c>
      <c r="CD23" s="181"/>
      <c r="CE23" s="181"/>
      <c r="CF23" s="183"/>
      <c r="CG23" s="323" t="s">
        <v>1424</v>
      </c>
      <c r="CH23" s="327" t="s">
        <v>408</v>
      </c>
      <c r="CI23" s="192" t="s">
        <v>402</v>
      </c>
      <c r="CJ23" s="193"/>
      <c r="CK23" s="194"/>
      <c r="CL23" s="194"/>
      <c r="CM23" s="194"/>
      <c r="CN23" s="194"/>
      <c r="CO23" s="194"/>
      <c r="CP23" s="194"/>
      <c r="CQ23" s="194"/>
      <c r="CR23" s="204"/>
      <c r="CS23" s="205"/>
      <c r="CT23" s="206"/>
      <c r="CU23" s="206"/>
      <c r="CV23" s="206"/>
      <c r="CW23" s="206"/>
      <c r="CX23" s="206"/>
      <c r="CY23" s="213"/>
      <c r="CZ23" s="214"/>
      <c r="DA23" s="206"/>
      <c r="DB23" s="213"/>
      <c r="DC23" s="215"/>
      <c r="DD23" s="216"/>
      <c r="DE23" s="216"/>
      <c r="DF23" s="216"/>
      <c r="DG23" s="216"/>
      <c r="DH23" s="216"/>
      <c r="DI23" s="216"/>
      <c r="DJ23" s="216"/>
      <c r="DK23" s="225"/>
      <c r="DL23" s="226"/>
      <c r="DM23" s="227"/>
      <c r="DN23" s="227"/>
      <c r="DO23" s="227"/>
      <c r="DP23" s="227"/>
      <c r="DQ23" s="227"/>
      <c r="DR23" s="234"/>
      <c r="DS23" s="226"/>
      <c r="DT23" s="227"/>
      <c r="DU23" s="234"/>
    </row>
    <row r="24" spans="1:125" ht="82.5">
      <c r="A24" s="581">
        <v>62</v>
      </c>
      <c r="B24" s="584" t="str">
        <f>IFERROR(VLOOKUP($A24,Riesgos!$A$7:$H$84,2,FALSE),"")</f>
        <v/>
      </c>
      <c r="C24" s="584" t="str">
        <f>IFERROR(VLOOKUP($A24,Riesgos!$A$7:$H$84,7,FALSE),"")</f>
        <v/>
      </c>
      <c r="D24" s="584" t="str">
        <f>IFERROR(VLOOKUP($A24,Riesgos!$A$7:$H$84,8,FALSE),"")</f>
        <v/>
      </c>
      <c r="E24" s="589" t="s">
        <v>1280</v>
      </c>
      <c r="F24" s="671">
        <v>1</v>
      </c>
      <c r="G24" s="674" t="str">
        <f>IF(ISNUMBER(F24),VLOOKUP(F24,'Listas y tablas'!$AC$2:$AF$7,2,FALSE),"")</f>
        <v>Rara vez</v>
      </c>
      <c r="H24" s="671" t="s">
        <v>422</v>
      </c>
      <c r="I24" s="671" t="s">
        <v>422</v>
      </c>
      <c r="J24" s="671" t="s">
        <v>402</v>
      </c>
      <c r="K24" s="671" t="s">
        <v>402</v>
      </c>
      <c r="L24" s="671" t="s">
        <v>422</v>
      </c>
      <c r="M24" s="671" t="s">
        <v>422</v>
      </c>
      <c r="N24" s="671" t="s">
        <v>402</v>
      </c>
      <c r="O24" s="671" t="s">
        <v>402</v>
      </c>
      <c r="P24" s="671" t="s">
        <v>422</v>
      </c>
      <c r="Q24" s="671" t="s">
        <v>422</v>
      </c>
      <c r="R24" s="671" t="s">
        <v>422</v>
      </c>
      <c r="S24" s="671" t="s">
        <v>422</v>
      </c>
      <c r="T24" s="671" t="s">
        <v>422</v>
      </c>
      <c r="U24" s="671" t="s">
        <v>422</v>
      </c>
      <c r="V24" s="671" t="s">
        <v>402</v>
      </c>
      <c r="W24" s="671" t="s">
        <v>402</v>
      </c>
      <c r="X24" s="671" t="s">
        <v>402</v>
      </c>
      <c r="Y24" s="671" t="s">
        <v>402</v>
      </c>
      <c r="Z24" s="671" t="s">
        <v>402</v>
      </c>
      <c r="AA24" s="674">
        <f t="shared" si="1"/>
        <v>10</v>
      </c>
      <c r="AB24" s="594" t="str">
        <f t="shared" si="2"/>
        <v>Mayor</v>
      </c>
      <c r="AC24" s="677" t="str">
        <f t="shared" si="3"/>
        <v>Rara vez Mayor</v>
      </c>
      <c r="AD24" s="677" t="str">
        <f>IFERROR(VLOOKUP(AC24,'Listas y tablas'!$AH$3:$AI$17,2,FALSE),"")</f>
        <v>Bajo</v>
      </c>
      <c r="AE24" s="280" t="str">
        <f t="shared" si="4"/>
        <v>C</v>
      </c>
      <c r="AF24" s="282">
        <f t="shared" si="5"/>
        <v>17</v>
      </c>
      <c r="AG24" s="282" t="str">
        <f t="shared" si="6"/>
        <v>C17</v>
      </c>
      <c r="AH24" s="286" t="s">
        <v>1425</v>
      </c>
      <c r="AI24" s="282" t="str">
        <f t="shared" si="19"/>
        <v>Probabilidad</v>
      </c>
      <c r="AJ24" s="284" t="s">
        <v>381</v>
      </c>
      <c r="AK24" s="284" t="s">
        <v>422</v>
      </c>
      <c r="AL24" s="285">
        <f t="shared" si="7"/>
        <v>15</v>
      </c>
      <c r="AM24" s="284" t="s">
        <v>422</v>
      </c>
      <c r="AN24" s="285">
        <f t="shared" si="8"/>
        <v>5</v>
      </c>
      <c r="AO24" s="284" t="s">
        <v>402</v>
      </c>
      <c r="AP24" s="285">
        <f t="shared" si="9"/>
        <v>0</v>
      </c>
      <c r="AQ24" s="284" t="s">
        <v>422</v>
      </c>
      <c r="AR24" s="285">
        <f t="shared" si="10"/>
        <v>10</v>
      </c>
      <c r="AS24" s="284" t="s">
        <v>422</v>
      </c>
      <c r="AT24" s="285">
        <f t="shared" si="11"/>
        <v>15</v>
      </c>
      <c r="AU24" s="284" t="s">
        <v>422</v>
      </c>
      <c r="AV24" s="285">
        <f t="shared" si="12"/>
        <v>10</v>
      </c>
      <c r="AW24" s="284" t="s">
        <v>422</v>
      </c>
      <c r="AX24" s="282">
        <f t="shared" si="13"/>
        <v>30</v>
      </c>
      <c r="AY24" s="282">
        <f t="shared" si="14"/>
        <v>85</v>
      </c>
      <c r="AZ24" s="282">
        <f t="shared" si="15"/>
        <v>2</v>
      </c>
      <c r="BA24" s="680">
        <f t="shared" si="16"/>
        <v>1</v>
      </c>
      <c r="BB24" s="680" t="str">
        <f>IFERROR(IF(ISNUMBER(BA24),VLOOKUP(BA24,'Listas y tablas'!$AC$2:$AF$7,2,FALSE),""),"")</f>
        <v>Rara vez</v>
      </c>
      <c r="BC24" s="282" t="str">
        <f t="shared" si="0"/>
        <v>Rara vez Mayor</v>
      </c>
      <c r="BD24" s="683" t="str">
        <f>IFERROR(VLOOKUP(BC24,'Listas y tablas'!$AH$3:$AI$17,2,FALSE),"")</f>
        <v>Bajo</v>
      </c>
      <c r="BE24" s="609" t="s">
        <v>386</v>
      </c>
      <c r="BF24" s="300" t="s">
        <v>1426</v>
      </c>
      <c r="BG24" s="273" t="s">
        <v>1427</v>
      </c>
      <c r="BH24" s="273" t="s">
        <v>1182</v>
      </c>
      <c r="BI24" s="309">
        <v>45047</v>
      </c>
      <c r="BJ24" s="309">
        <v>45291</v>
      </c>
      <c r="BK24" s="306"/>
      <c r="BL24" s="306"/>
      <c r="BM24" s="306"/>
      <c r="BN24" s="306"/>
      <c r="BO24" s="306"/>
      <c r="BP24" s="306"/>
      <c r="BQ24" s="312" t="s">
        <v>1428</v>
      </c>
      <c r="BR24" s="313" t="s">
        <v>1429</v>
      </c>
      <c r="BS24" s="163"/>
      <c r="BT24" s="163"/>
      <c r="BU24" s="313" t="s">
        <v>1198</v>
      </c>
      <c r="BV24" s="325" t="s">
        <v>1199</v>
      </c>
      <c r="BW24" s="163" t="s">
        <v>402</v>
      </c>
      <c r="BX24" s="163" t="s">
        <v>402</v>
      </c>
      <c r="BY24" s="171" t="s">
        <v>401</v>
      </c>
      <c r="BZ24" s="323" t="s">
        <v>1225</v>
      </c>
      <c r="CA24" s="324" t="s">
        <v>404</v>
      </c>
      <c r="CB24" s="324" t="s">
        <v>864</v>
      </c>
      <c r="CC24" s="329" t="s">
        <v>434</v>
      </c>
      <c r="CD24" s="181"/>
      <c r="CE24" s="181"/>
      <c r="CF24" s="183"/>
      <c r="CG24" s="323" t="s">
        <v>1189</v>
      </c>
      <c r="CH24" s="327" t="s">
        <v>408</v>
      </c>
      <c r="CI24" s="641" t="s">
        <v>402</v>
      </c>
      <c r="CJ24" s="193"/>
      <c r="CK24" s="194"/>
      <c r="CL24" s="194"/>
      <c r="CM24" s="194"/>
      <c r="CN24" s="194"/>
      <c r="CO24" s="194"/>
      <c r="CP24" s="194"/>
      <c r="CQ24" s="194"/>
      <c r="CR24" s="204"/>
      <c r="CS24" s="205"/>
      <c r="CT24" s="206"/>
      <c r="CU24" s="206"/>
      <c r="CV24" s="206"/>
      <c r="CW24" s="206"/>
      <c r="CX24" s="206"/>
      <c r="CY24" s="213"/>
      <c r="CZ24" s="214"/>
      <c r="DA24" s="206"/>
      <c r="DB24" s="213"/>
      <c r="DC24" s="215"/>
      <c r="DD24" s="216"/>
      <c r="DE24" s="216"/>
      <c r="DF24" s="216"/>
      <c r="DG24" s="216"/>
      <c r="DH24" s="216"/>
      <c r="DI24" s="216"/>
      <c r="DJ24" s="216"/>
      <c r="DK24" s="225"/>
      <c r="DL24" s="226"/>
      <c r="DM24" s="227"/>
      <c r="DN24" s="227"/>
      <c r="DO24" s="227"/>
      <c r="DP24" s="227"/>
      <c r="DQ24" s="227"/>
      <c r="DR24" s="234"/>
      <c r="DS24" s="226"/>
      <c r="DT24" s="227"/>
      <c r="DU24" s="234"/>
    </row>
    <row r="25" spans="1:125" ht="66">
      <c r="A25" s="582"/>
      <c r="B25" s="585"/>
      <c r="C25" s="585"/>
      <c r="D25" s="585"/>
      <c r="E25" s="590"/>
      <c r="F25" s="672"/>
      <c r="G25" s="675"/>
      <c r="H25" s="672"/>
      <c r="I25" s="672"/>
      <c r="J25" s="672"/>
      <c r="K25" s="672"/>
      <c r="L25" s="672"/>
      <c r="M25" s="672"/>
      <c r="N25" s="672"/>
      <c r="O25" s="672"/>
      <c r="P25" s="672"/>
      <c r="Q25" s="672"/>
      <c r="R25" s="672"/>
      <c r="S25" s="672"/>
      <c r="T25" s="672"/>
      <c r="U25" s="672"/>
      <c r="V25" s="672"/>
      <c r="W25" s="672"/>
      <c r="X25" s="672"/>
      <c r="Y25" s="672"/>
      <c r="Z25" s="672"/>
      <c r="AA25" s="675"/>
      <c r="AB25" s="595"/>
      <c r="AC25" s="678"/>
      <c r="AD25" s="678"/>
      <c r="AE25" s="280" t="str">
        <f>+IF(ISTEXT(D24),"C","")</f>
        <v>C</v>
      </c>
      <c r="AF25" s="282">
        <f>IF(ISTEXT(D24),1+AF24,"")</f>
        <v>18</v>
      </c>
      <c r="AG25" s="282" t="str">
        <f>IF(ISTEXT(D24),CONCATENATE(AE25,AF25),"")</f>
        <v>C18</v>
      </c>
      <c r="AH25" s="286" t="s">
        <v>1430</v>
      </c>
      <c r="AI25" s="282" t="str">
        <f t="shared" si="19"/>
        <v>Probabilidad</v>
      </c>
      <c r="AJ25" s="284" t="s">
        <v>381</v>
      </c>
      <c r="AK25" s="284" t="s">
        <v>422</v>
      </c>
      <c r="AL25" s="285">
        <f t="shared" si="7"/>
        <v>15</v>
      </c>
      <c r="AM25" s="284" t="s">
        <v>422</v>
      </c>
      <c r="AN25" s="285">
        <f t="shared" si="8"/>
        <v>5</v>
      </c>
      <c r="AO25" s="284" t="s">
        <v>402</v>
      </c>
      <c r="AP25" s="285">
        <f t="shared" si="9"/>
        <v>0</v>
      </c>
      <c r="AQ25" s="284" t="s">
        <v>422</v>
      </c>
      <c r="AR25" s="285">
        <f t="shared" si="10"/>
        <v>10</v>
      </c>
      <c r="AS25" s="284" t="s">
        <v>422</v>
      </c>
      <c r="AT25" s="285">
        <f t="shared" si="11"/>
        <v>15</v>
      </c>
      <c r="AU25" s="284" t="s">
        <v>422</v>
      </c>
      <c r="AV25" s="285">
        <f t="shared" si="12"/>
        <v>10</v>
      </c>
      <c r="AW25" s="284" t="s">
        <v>422</v>
      </c>
      <c r="AX25" s="282">
        <f t="shared" si="13"/>
        <v>30</v>
      </c>
      <c r="AY25" s="282">
        <f t="shared" si="14"/>
        <v>85</v>
      </c>
      <c r="AZ25" s="282">
        <f t="shared" si="15"/>
        <v>2</v>
      </c>
      <c r="BA25" s="682"/>
      <c r="BB25" s="682"/>
      <c r="BC25" s="282" t="str">
        <f t="shared" si="0"/>
        <v/>
      </c>
      <c r="BD25" s="684"/>
      <c r="BE25" s="611"/>
      <c r="BF25" s="300" t="s">
        <v>1431</v>
      </c>
      <c r="BG25" s="306"/>
      <c r="BH25" s="306"/>
      <c r="BI25" s="306"/>
      <c r="BJ25" s="306"/>
      <c r="BK25" s="306"/>
      <c r="BL25" s="306"/>
      <c r="BM25" s="306"/>
      <c r="BN25" s="306"/>
      <c r="BO25" s="306"/>
      <c r="BP25" s="306"/>
      <c r="BQ25" s="312" t="s">
        <v>1432</v>
      </c>
      <c r="BR25" s="313" t="s">
        <v>1433</v>
      </c>
      <c r="BS25" s="163"/>
      <c r="BT25" s="163"/>
      <c r="BU25" s="163"/>
      <c r="BV25" s="163"/>
      <c r="BW25" s="163" t="s">
        <v>402</v>
      </c>
      <c r="BX25" s="163" t="s">
        <v>402</v>
      </c>
      <c r="BY25" s="171" t="s">
        <v>401</v>
      </c>
      <c r="BZ25" s="323" t="s">
        <v>1225</v>
      </c>
      <c r="CA25" s="324" t="s">
        <v>404</v>
      </c>
      <c r="CB25" s="324" t="s">
        <v>1339</v>
      </c>
      <c r="CC25" s="182"/>
      <c r="CD25" s="181"/>
      <c r="CE25" s="181"/>
      <c r="CF25" s="183"/>
      <c r="CG25" s="323" t="s">
        <v>1189</v>
      </c>
      <c r="CH25" s="327" t="s">
        <v>408</v>
      </c>
      <c r="CI25" s="642"/>
      <c r="CJ25" s="193"/>
      <c r="CK25" s="194"/>
      <c r="CL25" s="194"/>
      <c r="CM25" s="194"/>
      <c r="CN25" s="194"/>
      <c r="CO25" s="194"/>
      <c r="CP25" s="194"/>
      <c r="CQ25" s="194"/>
      <c r="CR25" s="204"/>
      <c r="CS25" s="205"/>
      <c r="CT25" s="206"/>
      <c r="CU25" s="206"/>
      <c r="CV25" s="206"/>
      <c r="CW25" s="206"/>
      <c r="CX25" s="206"/>
      <c r="CY25" s="213"/>
      <c r="CZ25" s="214"/>
      <c r="DA25" s="206"/>
      <c r="DB25" s="213"/>
      <c r="DC25" s="215"/>
      <c r="DD25" s="216"/>
      <c r="DE25" s="216"/>
      <c r="DF25" s="216"/>
      <c r="DG25" s="216"/>
      <c r="DH25" s="216"/>
      <c r="DI25" s="216"/>
      <c r="DJ25" s="216"/>
      <c r="DK25" s="225"/>
      <c r="DL25" s="226"/>
      <c r="DM25" s="227"/>
      <c r="DN25" s="227"/>
      <c r="DO25" s="227"/>
      <c r="DP25" s="227"/>
      <c r="DQ25" s="227"/>
      <c r="DR25" s="234"/>
      <c r="DS25" s="226"/>
      <c r="DT25" s="227"/>
      <c r="DU25" s="234"/>
    </row>
    <row r="26" spans="1:125">
      <c r="A26" s="271"/>
      <c r="B26" s="272" t="str">
        <f>IFERROR(VLOOKUP($A26,Riesgos!$A$7:$H$84,2,FALSE),"")</f>
        <v/>
      </c>
      <c r="C26" s="272" t="str">
        <f>IFERROR(VLOOKUP($A26,Riesgos!$A$7:$H$84,7,FALSE),"")</f>
        <v/>
      </c>
      <c r="D26" s="272" t="str">
        <f>IFERROR(VLOOKUP($A26,Riesgos!$A$7:$H$84,8,FALSE),"")</f>
        <v/>
      </c>
      <c r="E26" s="273"/>
      <c r="F26" s="274"/>
      <c r="G26" s="137" t="str">
        <f>IF(ISNUMBER(F26),VLOOKUP(F26,'Listas y tablas'!$AC$2:$AF$7,2,FALSE),"")</f>
        <v/>
      </c>
      <c r="H26" s="274"/>
      <c r="I26" s="274"/>
      <c r="J26" s="274"/>
      <c r="K26" s="274"/>
      <c r="L26" s="274"/>
      <c r="M26" s="274"/>
      <c r="N26" s="274"/>
      <c r="O26" s="274"/>
      <c r="P26" s="274"/>
      <c r="Q26" s="274"/>
      <c r="R26" s="274"/>
      <c r="S26" s="274"/>
      <c r="T26" s="274"/>
      <c r="U26" s="274"/>
      <c r="V26" s="274"/>
      <c r="W26" s="274"/>
      <c r="X26" s="274"/>
      <c r="Y26" s="274"/>
      <c r="Z26" s="274"/>
      <c r="AA26" s="137">
        <f t="shared" si="1"/>
        <v>0</v>
      </c>
      <c r="AB26" s="279" t="str">
        <f t="shared" si="2"/>
        <v/>
      </c>
      <c r="AC26" s="280" t="str">
        <f t="shared" si="3"/>
        <v/>
      </c>
      <c r="AD26" s="281" t="str">
        <f>IFERROR(VLOOKUP(AC26,'Listas y tablas'!$AH$3:$AI$17,2,FALSE),"")</f>
        <v/>
      </c>
      <c r="AE26" s="280" t="str">
        <f t="shared" si="4"/>
        <v>C</v>
      </c>
      <c r="AF26" s="282">
        <f t="shared" si="5"/>
        <v>19</v>
      </c>
      <c r="AG26" s="282" t="str">
        <f t="shared" si="6"/>
        <v>C19</v>
      </c>
      <c r="AH26" s="286"/>
      <c r="AI26" s="282" t="str">
        <f t="shared" si="19"/>
        <v/>
      </c>
      <c r="AJ26" s="284"/>
      <c r="AK26" s="284"/>
      <c r="AL26" s="285">
        <f t="shared" si="7"/>
        <v>0</v>
      </c>
      <c r="AM26" s="284"/>
      <c r="AN26" s="285">
        <f t="shared" si="8"/>
        <v>0</v>
      </c>
      <c r="AO26" s="284"/>
      <c r="AP26" s="285">
        <f t="shared" si="9"/>
        <v>0</v>
      </c>
      <c r="AQ26" s="284"/>
      <c r="AR26" s="285">
        <f t="shared" si="10"/>
        <v>0</v>
      </c>
      <c r="AS26" s="284"/>
      <c r="AT26" s="285">
        <f t="shared" si="11"/>
        <v>0</v>
      </c>
      <c r="AU26" s="284"/>
      <c r="AV26" s="285">
        <f t="shared" si="12"/>
        <v>0</v>
      </c>
      <c r="AW26" s="284"/>
      <c r="AX26" s="282">
        <f t="shared" si="13"/>
        <v>0</v>
      </c>
      <c r="AY26" s="282">
        <f t="shared" si="14"/>
        <v>0</v>
      </c>
      <c r="AZ26" s="282">
        <f t="shared" si="15"/>
        <v>0</v>
      </c>
      <c r="BA26" s="282" t="str">
        <f t="shared" si="16"/>
        <v/>
      </c>
      <c r="BB26" s="282" t="str">
        <f>IFERROR(IF(ISNUMBER(BA26),VLOOKUP(BA26,'Listas y tablas'!$AC$2:$AF$7,2,FALSE),""),"")</f>
        <v/>
      </c>
      <c r="BC26" s="282" t="str">
        <f t="shared" si="0"/>
        <v/>
      </c>
      <c r="BD26" s="291" t="str">
        <f>IFERROR(VLOOKUP(BC26,'Listas y tablas'!$AH$3:$AI$17,2,FALSE),"")</f>
        <v/>
      </c>
      <c r="BE26" s="299"/>
      <c r="BF26" s="311"/>
      <c r="BG26" s="306"/>
      <c r="BH26" s="306"/>
      <c r="BI26" s="306"/>
      <c r="BJ26" s="306"/>
      <c r="BK26" s="306"/>
      <c r="BL26" s="306"/>
      <c r="BM26" s="306"/>
      <c r="BN26" s="306"/>
      <c r="BO26" s="306"/>
      <c r="BP26" s="306"/>
      <c r="BQ26" s="150"/>
      <c r="BR26" s="163"/>
      <c r="BS26" s="163"/>
      <c r="BT26" s="163"/>
      <c r="BU26" s="326"/>
      <c r="BV26" s="326"/>
      <c r="BW26" s="163"/>
      <c r="BX26" s="163"/>
      <c r="BY26" s="171"/>
      <c r="BZ26" s="323"/>
      <c r="CA26" s="324"/>
      <c r="CB26" s="181"/>
      <c r="CC26" s="182"/>
      <c r="CD26" s="181"/>
      <c r="CE26" s="181"/>
      <c r="CF26" s="183"/>
      <c r="CG26" s="323"/>
      <c r="CH26" s="327"/>
      <c r="CI26" s="192"/>
      <c r="CJ26" s="193"/>
      <c r="CK26" s="194"/>
      <c r="CL26" s="194"/>
      <c r="CM26" s="194"/>
      <c r="CN26" s="194"/>
      <c r="CO26" s="194"/>
      <c r="CP26" s="194"/>
      <c r="CQ26" s="194"/>
      <c r="CR26" s="204"/>
      <c r="CS26" s="205"/>
      <c r="CT26" s="206"/>
      <c r="CU26" s="206"/>
      <c r="CV26" s="206"/>
      <c r="CW26" s="206"/>
      <c r="CX26" s="206"/>
      <c r="CY26" s="213"/>
      <c r="CZ26" s="214"/>
      <c r="DA26" s="206"/>
      <c r="DB26" s="213"/>
      <c r="DC26" s="215"/>
      <c r="DD26" s="216"/>
      <c r="DE26" s="216"/>
      <c r="DF26" s="216"/>
      <c r="DG26" s="216"/>
      <c r="DH26" s="216"/>
      <c r="DI26" s="216"/>
      <c r="DJ26" s="216"/>
      <c r="DK26" s="225"/>
      <c r="DL26" s="226"/>
      <c r="DM26" s="227"/>
      <c r="DN26" s="227"/>
      <c r="DO26" s="227"/>
      <c r="DP26" s="227"/>
      <c r="DQ26" s="227"/>
      <c r="DR26" s="234"/>
      <c r="DS26" s="226"/>
      <c r="DT26" s="227"/>
      <c r="DU26" s="234"/>
    </row>
    <row r="27" spans="1:125">
      <c r="A27" s="271"/>
      <c r="B27" s="272" t="str">
        <f>IFERROR(VLOOKUP($A27,Riesgos!$A$7:$H$84,2,FALSE),"")</f>
        <v/>
      </c>
      <c r="C27" s="272" t="str">
        <f>IFERROR(VLOOKUP($A27,Riesgos!$A$7:$H$84,7,FALSE),"")</f>
        <v/>
      </c>
      <c r="D27" s="272" t="str">
        <f>IFERROR(VLOOKUP($A27,Riesgos!$A$7:$H$84,8,FALSE),"")</f>
        <v/>
      </c>
      <c r="E27" s="273"/>
      <c r="F27" s="274"/>
      <c r="G27" s="137" t="str">
        <f>IF(ISNUMBER(F27),VLOOKUP(F27,'Listas y tablas'!$AC$2:$AF$7,2,FALSE),"")</f>
        <v/>
      </c>
      <c r="H27" s="274"/>
      <c r="I27" s="274"/>
      <c r="J27" s="274"/>
      <c r="K27" s="274"/>
      <c r="L27" s="274"/>
      <c r="M27" s="274"/>
      <c r="N27" s="274"/>
      <c r="O27" s="274"/>
      <c r="P27" s="274"/>
      <c r="Q27" s="274"/>
      <c r="R27" s="274"/>
      <c r="S27" s="274"/>
      <c r="T27" s="274"/>
      <c r="U27" s="274"/>
      <c r="V27" s="274"/>
      <c r="W27" s="274"/>
      <c r="X27" s="274"/>
      <c r="Y27" s="274"/>
      <c r="Z27" s="274"/>
      <c r="AA27" s="137">
        <f t="shared" si="1"/>
        <v>0</v>
      </c>
      <c r="AB27" s="279" t="str">
        <f t="shared" si="2"/>
        <v/>
      </c>
      <c r="AC27" s="280" t="str">
        <f t="shared" si="3"/>
        <v/>
      </c>
      <c r="AD27" s="281" t="str">
        <f>IFERROR(VLOOKUP(AC27,'Listas y tablas'!$AH$3:$AI$17,2,FALSE),"")</f>
        <v/>
      </c>
      <c r="AE27" s="280" t="str">
        <f t="shared" si="4"/>
        <v>C</v>
      </c>
      <c r="AF27" s="282">
        <f t="shared" si="5"/>
        <v>20</v>
      </c>
      <c r="AG27" s="282" t="str">
        <f t="shared" si="6"/>
        <v>C20</v>
      </c>
      <c r="AH27" s="286"/>
      <c r="AI27" s="282" t="str">
        <f t="shared" si="19"/>
        <v/>
      </c>
      <c r="AJ27" s="284"/>
      <c r="AK27" s="284"/>
      <c r="AL27" s="285">
        <f t="shared" si="7"/>
        <v>0</v>
      </c>
      <c r="AM27" s="284"/>
      <c r="AN27" s="285">
        <f t="shared" si="8"/>
        <v>0</v>
      </c>
      <c r="AO27" s="284"/>
      <c r="AP27" s="285">
        <f t="shared" si="9"/>
        <v>0</v>
      </c>
      <c r="AQ27" s="284"/>
      <c r="AR27" s="285">
        <f t="shared" si="10"/>
        <v>0</v>
      </c>
      <c r="AS27" s="284"/>
      <c r="AT27" s="285">
        <f t="shared" si="11"/>
        <v>0</v>
      </c>
      <c r="AU27" s="284"/>
      <c r="AV27" s="285">
        <f t="shared" si="12"/>
        <v>0</v>
      </c>
      <c r="AW27" s="284"/>
      <c r="AX27" s="282">
        <f t="shared" si="13"/>
        <v>0</v>
      </c>
      <c r="AY27" s="282">
        <f t="shared" si="14"/>
        <v>0</v>
      </c>
      <c r="AZ27" s="282">
        <f t="shared" si="15"/>
        <v>0</v>
      </c>
      <c r="BA27" s="282" t="str">
        <f t="shared" si="16"/>
        <v/>
      </c>
      <c r="BB27" s="282" t="str">
        <f>IFERROR(IF(ISNUMBER(BA27),VLOOKUP(BA27,'Listas y tablas'!$AC$2:$AF$7,2,FALSE),""),"")</f>
        <v/>
      </c>
      <c r="BC27" s="282" t="str">
        <f t="shared" si="0"/>
        <v/>
      </c>
      <c r="BD27" s="291" t="str">
        <f>IFERROR(VLOOKUP(BC27,'Listas y tablas'!$AH$3:$AI$17,2,FALSE),"")</f>
        <v/>
      </c>
      <c r="BE27" s="299"/>
      <c r="BF27" s="311"/>
      <c r="BG27" s="306"/>
      <c r="BH27" s="306"/>
      <c r="BI27" s="306"/>
      <c r="BJ27" s="306"/>
      <c r="BK27" s="306"/>
      <c r="BL27" s="306"/>
      <c r="BM27" s="306"/>
      <c r="BN27" s="306"/>
      <c r="BO27" s="306"/>
      <c r="BP27" s="306"/>
      <c r="BQ27" s="150"/>
      <c r="BR27" s="163"/>
      <c r="BS27" s="163"/>
      <c r="BT27" s="163"/>
      <c r="BU27" s="326"/>
      <c r="BV27" s="326"/>
      <c r="BW27" s="163"/>
      <c r="BX27" s="163"/>
      <c r="BY27" s="171"/>
      <c r="BZ27" s="323"/>
      <c r="CA27" s="324"/>
      <c r="CB27" s="181"/>
      <c r="CC27" s="182"/>
      <c r="CD27" s="181"/>
      <c r="CE27" s="181"/>
      <c r="CF27" s="183"/>
      <c r="CG27" s="323"/>
      <c r="CH27" s="327"/>
      <c r="CI27" s="192"/>
      <c r="CJ27" s="193"/>
      <c r="CK27" s="194"/>
      <c r="CL27" s="194"/>
      <c r="CM27" s="194"/>
      <c r="CN27" s="194"/>
      <c r="CO27" s="194"/>
      <c r="CP27" s="194"/>
      <c r="CQ27" s="194"/>
      <c r="CR27" s="204"/>
      <c r="CS27" s="205"/>
      <c r="CT27" s="206"/>
      <c r="CU27" s="206"/>
      <c r="CV27" s="206"/>
      <c r="CW27" s="206"/>
      <c r="CX27" s="206"/>
      <c r="CY27" s="213"/>
      <c r="CZ27" s="214"/>
      <c r="DA27" s="206"/>
      <c r="DB27" s="213"/>
      <c r="DC27" s="215"/>
      <c r="DD27" s="216"/>
      <c r="DE27" s="216"/>
      <c r="DF27" s="216"/>
      <c r="DG27" s="216"/>
      <c r="DH27" s="216"/>
      <c r="DI27" s="216"/>
      <c r="DJ27" s="216"/>
      <c r="DK27" s="225"/>
      <c r="DL27" s="226"/>
      <c r="DM27" s="227"/>
      <c r="DN27" s="227"/>
      <c r="DO27" s="227"/>
      <c r="DP27" s="227"/>
      <c r="DQ27" s="227"/>
      <c r="DR27" s="234"/>
      <c r="DS27" s="226"/>
      <c r="DT27" s="227"/>
      <c r="DU27" s="234"/>
    </row>
    <row r="28" spans="1:125">
      <c r="A28" s="271"/>
      <c r="B28" s="272" t="str">
        <f>IFERROR(VLOOKUP($A28,Riesgos!$A$7:$H$84,2,FALSE),"")</f>
        <v/>
      </c>
      <c r="C28" s="272" t="str">
        <f>IFERROR(VLOOKUP($A28,Riesgos!$A$7:$H$84,7,FALSE),"")</f>
        <v/>
      </c>
      <c r="D28" s="272" t="str">
        <f>IFERROR(VLOOKUP($A28,Riesgos!$A$7:$H$84,8,FALSE),"")</f>
        <v/>
      </c>
      <c r="E28" s="273"/>
      <c r="F28" s="274"/>
      <c r="G28" s="137" t="str">
        <f>IF(ISNUMBER(F28),VLOOKUP(F28,'Listas y tablas'!$AC$2:$AF$7,2,FALSE),"")</f>
        <v/>
      </c>
      <c r="H28" s="274"/>
      <c r="I28" s="274"/>
      <c r="J28" s="274"/>
      <c r="K28" s="274"/>
      <c r="L28" s="274"/>
      <c r="M28" s="274"/>
      <c r="N28" s="274"/>
      <c r="O28" s="274"/>
      <c r="P28" s="274"/>
      <c r="Q28" s="274"/>
      <c r="R28" s="274"/>
      <c r="S28" s="274"/>
      <c r="T28" s="274"/>
      <c r="U28" s="274"/>
      <c r="V28" s="274"/>
      <c r="W28" s="274"/>
      <c r="X28" s="274"/>
      <c r="Y28" s="274"/>
      <c r="Z28" s="274"/>
      <c r="AA28" s="137">
        <f t="shared" si="1"/>
        <v>0</v>
      </c>
      <c r="AB28" s="279" t="str">
        <f t="shared" si="2"/>
        <v/>
      </c>
      <c r="AC28" s="280" t="str">
        <f t="shared" si="3"/>
        <v/>
      </c>
      <c r="AD28" s="281" t="str">
        <f>IFERROR(VLOOKUP(AC28,'Listas y tablas'!$AH$3:$AI$17,2,FALSE),"")</f>
        <v/>
      </c>
      <c r="AE28" s="280" t="str">
        <f t="shared" si="4"/>
        <v>C</v>
      </c>
      <c r="AF28" s="282">
        <f t="shared" si="5"/>
        <v>21</v>
      </c>
      <c r="AG28" s="282" t="str">
        <f t="shared" si="6"/>
        <v>C21</v>
      </c>
      <c r="AH28" s="287"/>
      <c r="AI28" s="282" t="str">
        <f t="shared" si="19"/>
        <v/>
      </c>
      <c r="AJ28" s="284"/>
      <c r="AK28" s="284"/>
      <c r="AL28" s="285">
        <f t="shared" si="7"/>
        <v>0</v>
      </c>
      <c r="AM28" s="284"/>
      <c r="AN28" s="285">
        <f t="shared" si="8"/>
        <v>0</v>
      </c>
      <c r="AO28" s="284"/>
      <c r="AP28" s="285">
        <f t="shared" si="9"/>
        <v>0</v>
      </c>
      <c r="AQ28" s="284"/>
      <c r="AR28" s="285">
        <f t="shared" si="10"/>
        <v>0</v>
      </c>
      <c r="AS28" s="284"/>
      <c r="AT28" s="285">
        <f t="shared" si="11"/>
        <v>0</v>
      </c>
      <c r="AU28" s="284"/>
      <c r="AV28" s="285">
        <f t="shared" si="12"/>
        <v>0</v>
      </c>
      <c r="AW28" s="284"/>
      <c r="AX28" s="282">
        <f t="shared" si="13"/>
        <v>0</v>
      </c>
      <c r="AY28" s="282">
        <f t="shared" si="14"/>
        <v>0</v>
      </c>
      <c r="AZ28" s="282">
        <f t="shared" si="15"/>
        <v>0</v>
      </c>
      <c r="BA28" s="282" t="str">
        <f t="shared" si="16"/>
        <v/>
      </c>
      <c r="BB28" s="282" t="str">
        <f>IFERROR(IF(ISNUMBER(BA28),VLOOKUP(BA28,'Listas y tablas'!$AC$2:$AF$7,2,FALSE),""),"")</f>
        <v/>
      </c>
      <c r="BC28" s="282" t="str">
        <f t="shared" si="0"/>
        <v/>
      </c>
      <c r="BD28" s="291" t="str">
        <f>IFERROR(VLOOKUP(BC28,'Listas y tablas'!$AH$3:$AI$17,2,FALSE),"")</f>
        <v/>
      </c>
      <c r="BE28" s="299"/>
      <c r="BF28" s="311"/>
      <c r="BG28" s="306"/>
      <c r="BH28" s="306"/>
      <c r="BI28" s="306"/>
      <c r="BJ28" s="306"/>
      <c r="BK28" s="306"/>
      <c r="BL28" s="306"/>
      <c r="BM28" s="306"/>
      <c r="BN28" s="306"/>
      <c r="BO28" s="306"/>
      <c r="BP28" s="306"/>
      <c r="BQ28" s="150"/>
      <c r="BR28" s="163"/>
      <c r="BS28" s="163"/>
      <c r="BT28" s="163"/>
      <c r="BU28" s="326"/>
      <c r="BV28" s="326"/>
      <c r="BW28" s="163"/>
      <c r="BX28" s="163"/>
      <c r="BY28" s="171"/>
      <c r="BZ28" s="323"/>
      <c r="CA28" s="324"/>
      <c r="CB28" s="181"/>
      <c r="CC28" s="182"/>
      <c r="CD28" s="181"/>
      <c r="CE28" s="181"/>
      <c r="CF28" s="183"/>
      <c r="CG28" s="323"/>
      <c r="CH28" s="327"/>
      <c r="CI28" s="192"/>
      <c r="CJ28" s="193"/>
      <c r="CK28" s="194"/>
      <c r="CL28" s="194"/>
      <c r="CM28" s="194"/>
      <c r="CN28" s="194"/>
      <c r="CO28" s="194"/>
      <c r="CP28" s="194"/>
      <c r="CQ28" s="194"/>
      <c r="CR28" s="204"/>
      <c r="CS28" s="205"/>
      <c r="CT28" s="206"/>
      <c r="CU28" s="206"/>
      <c r="CV28" s="206"/>
      <c r="CW28" s="206"/>
      <c r="CX28" s="206"/>
      <c r="CY28" s="213"/>
      <c r="CZ28" s="214"/>
      <c r="DA28" s="206"/>
      <c r="DB28" s="213"/>
      <c r="DC28" s="215"/>
      <c r="DD28" s="216"/>
      <c r="DE28" s="216"/>
      <c r="DF28" s="216"/>
      <c r="DG28" s="216"/>
      <c r="DH28" s="216"/>
      <c r="DI28" s="216"/>
      <c r="DJ28" s="216"/>
      <c r="DK28" s="225"/>
      <c r="DL28" s="226"/>
      <c r="DM28" s="227"/>
      <c r="DN28" s="227"/>
      <c r="DO28" s="227"/>
      <c r="DP28" s="227"/>
      <c r="DQ28" s="227"/>
      <c r="DR28" s="234"/>
      <c r="DS28" s="226"/>
      <c r="DT28" s="227"/>
      <c r="DU28" s="234"/>
    </row>
    <row r="29" spans="1:125">
      <c r="A29" s="271"/>
      <c r="B29" s="272" t="str">
        <f>IFERROR(VLOOKUP($A29,Riesgos!$A$7:$H$84,2,FALSE),"")</f>
        <v/>
      </c>
      <c r="C29" s="272" t="str">
        <f>IFERROR(VLOOKUP($A29,Riesgos!$A$7:$H$84,7,FALSE),"")</f>
        <v/>
      </c>
      <c r="D29" s="272" t="str">
        <f>IFERROR(VLOOKUP($A29,Riesgos!$A$7:$H$84,8,FALSE),"")</f>
        <v/>
      </c>
      <c r="E29" s="273"/>
      <c r="F29" s="274"/>
      <c r="G29" s="137" t="str">
        <f>IF(ISNUMBER(F29),VLOOKUP(F29,'Listas y tablas'!$AC$2:$AF$7,2,FALSE),"")</f>
        <v/>
      </c>
      <c r="H29" s="274"/>
      <c r="I29" s="274"/>
      <c r="J29" s="274"/>
      <c r="K29" s="274"/>
      <c r="L29" s="274"/>
      <c r="M29" s="274"/>
      <c r="N29" s="274"/>
      <c r="O29" s="274"/>
      <c r="P29" s="274"/>
      <c r="Q29" s="274"/>
      <c r="R29" s="274"/>
      <c r="S29" s="274"/>
      <c r="T29" s="274"/>
      <c r="U29" s="274"/>
      <c r="V29" s="274"/>
      <c r="W29" s="274"/>
      <c r="X29" s="274"/>
      <c r="Y29" s="274"/>
      <c r="Z29" s="274"/>
      <c r="AA29" s="137">
        <f t="shared" si="1"/>
        <v>0</v>
      </c>
      <c r="AB29" s="279" t="str">
        <f t="shared" si="2"/>
        <v/>
      </c>
      <c r="AC29" s="280" t="str">
        <f t="shared" si="3"/>
        <v/>
      </c>
      <c r="AD29" s="281" t="str">
        <f>IFERROR(VLOOKUP(AC29,'Listas y tablas'!$AH$3:$AI$17,2,FALSE),"")</f>
        <v/>
      </c>
      <c r="AE29" s="280" t="str">
        <f t="shared" si="4"/>
        <v>C</v>
      </c>
      <c r="AF29" s="282">
        <f t="shared" si="5"/>
        <v>22</v>
      </c>
      <c r="AG29" s="282" t="str">
        <f t="shared" si="6"/>
        <v>C22</v>
      </c>
      <c r="AH29" s="286"/>
      <c r="AI29" s="282" t="str">
        <f t="shared" ref="AI29:AI34" si="20">IF(OR(AJ29="Preventivo",AJ29="Detectivo"),"Probabilidad",IF(AJ29="Correctivo","Impacto",""))</f>
        <v/>
      </c>
      <c r="AJ29" s="284"/>
      <c r="AK29" s="284"/>
      <c r="AL29" s="285">
        <f t="shared" si="7"/>
        <v>0</v>
      </c>
      <c r="AM29" s="284"/>
      <c r="AN29" s="285">
        <f t="shared" si="8"/>
        <v>0</v>
      </c>
      <c r="AO29" s="284"/>
      <c r="AP29" s="285">
        <f t="shared" si="9"/>
        <v>0</v>
      </c>
      <c r="AQ29" s="284"/>
      <c r="AR29" s="285">
        <f t="shared" si="10"/>
        <v>0</v>
      </c>
      <c r="AS29" s="284"/>
      <c r="AT29" s="285">
        <f t="shared" si="11"/>
        <v>0</v>
      </c>
      <c r="AU29" s="284"/>
      <c r="AV29" s="285">
        <f t="shared" si="12"/>
        <v>0</v>
      </c>
      <c r="AW29" s="284"/>
      <c r="AX29" s="282">
        <f t="shared" si="13"/>
        <v>0</v>
      </c>
      <c r="AY29" s="282">
        <f t="shared" si="14"/>
        <v>0</v>
      </c>
      <c r="AZ29" s="282">
        <f t="shared" si="15"/>
        <v>0</v>
      </c>
      <c r="BA29" s="282" t="str">
        <f t="shared" si="16"/>
        <v/>
      </c>
      <c r="BB29" s="282" t="str">
        <f>IFERROR(IF(ISNUMBER(BA29),VLOOKUP(BA29,'Listas y tablas'!$AC$2:$AF$7,2,FALSE),""),"")</f>
        <v/>
      </c>
      <c r="BC29" s="282" t="str">
        <f t="shared" si="0"/>
        <v/>
      </c>
      <c r="BD29" s="291" t="str">
        <f>IFERROR(VLOOKUP(BC29,'Listas y tablas'!$AH$3:$AI$17,2,FALSE),"")</f>
        <v/>
      </c>
      <c r="BE29" s="299"/>
      <c r="BF29" s="311"/>
      <c r="BG29" s="306"/>
      <c r="BH29" s="306"/>
      <c r="BI29" s="306"/>
      <c r="BJ29" s="306"/>
      <c r="BK29" s="306"/>
      <c r="BL29" s="306"/>
      <c r="BM29" s="306"/>
      <c r="BN29" s="306"/>
      <c r="BO29" s="306"/>
      <c r="BP29" s="306"/>
      <c r="BQ29" s="150"/>
      <c r="BR29" s="163"/>
      <c r="BS29" s="163"/>
      <c r="BT29" s="163"/>
      <c r="BU29" s="326"/>
      <c r="BV29" s="326"/>
      <c r="BW29" s="163"/>
      <c r="BX29" s="163"/>
      <c r="BY29" s="171"/>
      <c r="BZ29" s="323"/>
      <c r="CA29" s="324"/>
      <c r="CB29" s="181"/>
      <c r="CC29" s="182"/>
      <c r="CD29" s="181"/>
      <c r="CE29" s="181"/>
      <c r="CF29" s="183"/>
      <c r="CG29" s="323"/>
      <c r="CH29" s="327"/>
      <c r="CI29" s="192"/>
      <c r="CJ29" s="193"/>
      <c r="CK29" s="194"/>
      <c r="CL29" s="194"/>
      <c r="CM29" s="194"/>
      <c r="CN29" s="194"/>
      <c r="CO29" s="194"/>
      <c r="CP29" s="194"/>
      <c r="CQ29" s="194"/>
      <c r="CR29" s="204"/>
      <c r="CS29" s="205"/>
      <c r="CT29" s="206"/>
      <c r="CU29" s="206"/>
      <c r="CV29" s="206"/>
      <c r="CW29" s="206"/>
      <c r="CX29" s="206"/>
      <c r="CY29" s="213"/>
      <c r="CZ29" s="214"/>
      <c r="DA29" s="206"/>
      <c r="DB29" s="213"/>
      <c r="DC29" s="215"/>
      <c r="DD29" s="216"/>
      <c r="DE29" s="216"/>
      <c r="DF29" s="216"/>
      <c r="DG29" s="216"/>
      <c r="DH29" s="216"/>
      <c r="DI29" s="216"/>
      <c r="DJ29" s="216"/>
      <c r="DK29" s="225"/>
      <c r="DL29" s="226"/>
      <c r="DM29" s="227"/>
      <c r="DN29" s="227"/>
      <c r="DO29" s="227"/>
      <c r="DP29" s="227"/>
      <c r="DQ29" s="227"/>
      <c r="DR29" s="234"/>
      <c r="DS29" s="226"/>
      <c r="DT29" s="227"/>
      <c r="DU29" s="234"/>
    </row>
    <row r="30" spans="1:125">
      <c r="A30" s="271"/>
      <c r="B30" s="272" t="str">
        <f>IFERROR(VLOOKUP($A30,Riesgos!$A$7:$H$84,2,FALSE),"")</f>
        <v/>
      </c>
      <c r="C30" s="272" t="str">
        <f>IFERROR(VLOOKUP($A30,Riesgos!$A$7:$H$84,7,FALSE),"")</f>
        <v/>
      </c>
      <c r="D30" s="272" t="str">
        <f>IFERROR(VLOOKUP($A30,Riesgos!$A$7:$H$84,8,FALSE),"")</f>
        <v/>
      </c>
      <c r="E30" s="273"/>
      <c r="F30" s="274"/>
      <c r="G30" s="137" t="str">
        <f>IF(ISNUMBER(F30),VLOOKUP(F30,'Listas y tablas'!$AC$2:$AF$7,2,FALSE),"")</f>
        <v/>
      </c>
      <c r="H30" s="274"/>
      <c r="I30" s="274"/>
      <c r="J30" s="274"/>
      <c r="K30" s="274"/>
      <c r="L30" s="274"/>
      <c r="M30" s="274"/>
      <c r="N30" s="274"/>
      <c r="O30" s="274"/>
      <c r="P30" s="274"/>
      <c r="Q30" s="274"/>
      <c r="R30" s="274"/>
      <c r="S30" s="274"/>
      <c r="T30" s="274"/>
      <c r="U30" s="274"/>
      <c r="V30" s="274"/>
      <c r="W30" s="274"/>
      <c r="X30" s="274"/>
      <c r="Y30" s="274"/>
      <c r="Z30" s="274"/>
      <c r="AA30" s="137">
        <f t="shared" si="1"/>
        <v>0</v>
      </c>
      <c r="AB30" s="279" t="str">
        <f t="shared" si="2"/>
        <v/>
      </c>
      <c r="AC30" s="280" t="str">
        <f t="shared" si="3"/>
        <v/>
      </c>
      <c r="AD30" s="281" t="str">
        <f>IFERROR(VLOOKUP(AC30,'Listas y tablas'!$AH$3:$AI$17,2,FALSE),"")</f>
        <v/>
      </c>
      <c r="AE30" s="280" t="str">
        <f t="shared" si="4"/>
        <v>C</v>
      </c>
      <c r="AF30" s="282">
        <f t="shared" si="5"/>
        <v>23</v>
      </c>
      <c r="AG30" s="282" t="str">
        <f t="shared" si="6"/>
        <v>C23</v>
      </c>
      <c r="AH30" s="286"/>
      <c r="AI30" s="282" t="str">
        <f t="shared" si="20"/>
        <v/>
      </c>
      <c r="AJ30" s="284"/>
      <c r="AK30" s="284"/>
      <c r="AL30" s="285">
        <f t="shared" si="7"/>
        <v>0</v>
      </c>
      <c r="AM30" s="284"/>
      <c r="AN30" s="285">
        <f t="shared" si="8"/>
        <v>0</v>
      </c>
      <c r="AO30" s="284"/>
      <c r="AP30" s="285">
        <f t="shared" si="9"/>
        <v>0</v>
      </c>
      <c r="AQ30" s="284"/>
      <c r="AR30" s="285">
        <f t="shared" si="10"/>
        <v>0</v>
      </c>
      <c r="AS30" s="284"/>
      <c r="AT30" s="285">
        <f t="shared" si="11"/>
        <v>0</v>
      </c>
      <c r="AU30" s="284"/>
      <c r="AV30" s="285">
        <f t="shared" si="12"/>
        <v>0</v>
      </c>
      <c r="AW30" s="284"/>
      <c r="AX30" s="282">
        <f t="shared" si="13"/>
        <v>0</v>
      </c>
      <c r="AY30" s="282">
        <f t="shared" si="14"/>
        <v>0</v>
      </c>
      <c r="AZ30" s="282">
        <f t="shared" si="15"/>
        <v>0</v>
      </c>
      <c r="BA30" s="282" t="str">
        <f t="shared" si="16"/>
        <v/>
      </c>
      <c r="BB30" s="282" t="str">
        <f>IFERROR(IF(ISNUMBER(BA30),VLOOKUP(BA30,'Listas y tablas'!$AC$2:$AF$7,2,FALSE),""),"")</f>
        <v/>
      </c>
      <c r="BC30" s="282" t="str">
        <f t="shared" si="0"/>
        <v/>
      </c>
      <c r="BD30" s="291" t="str">
        <f>IFERROR(VLOOKUP(BC30,'Listas y tablas'!$AH$3:$AI$17,2,FALSE),"")</f>
        <v/>
      </c>
      <c r="BE30" s="299"/>
      <c r="BF30" s="311"/>
      <c r="BG30" s="306"/>
      <c r="BH30" s="306"/>
      <c r="BI30" s="306"/>
      <c r="BJ30" s="306"/>
      <c r="BK30" s="306"/>
      <c r="BL30" s="306"/>
      <c r="BM30" s="306"/>
      <c r="BN30" s="306"/>
      <c r="BO30" s="306"/>
      <c r="BP30" s="306"/>
      <c r="BQ30" s="150"/>
      <c r="BR30" s="163"/>
      <c r="BS30" s="163"/>
      <c r="BT30" s="163"/>
      <c r="BU30" s="326"/>
      <c r="BV30" s="326"/>
      <c r="BW30" s="163"/>
      <c r="BX30" s="163"/>
      <c r="BY30" s="171"/>
      <c r="BZ30" s="323"/>
      <c r="CA30" s="324"/>
      <c r="CB30" s="181"/>
      <c r="CC30" s="182"/>
      <c r="CD30" s="181"/>
      <c r="CE30" s="181"/>
      <c r="CF30" s="183"/>
      <c r="CG30" s="323"/>
      <c r="CH30" s="327"/>
      <c r="CI30" s="192"/>
      <c r="CJ30" s="193"/>
      <c r="CK30" s="194"/>
      <c r="CL30" s="194"/>
      <c r="CM30" s="194"/>
      <c r="CN30" s="194"/>
      <c r="CO30" s="194"/>
      <c r="CP30" s="194"/>
      <c r="CQ30" s="194"/>
      <c r="CR30" s="204"/>
      <c r="CS30" s="205"/>
      <c r="CT30" s="206"/>
      <c r="CU30" s="206"/>
      <c r="CV30" s="206"/>
      <c r="CW30" s="206"/>
      <c r="CX30" s="206"/>
      <c r="CY30" s="213"/>
      <c r="CZ30" s="214"/>
      <c r="DA30" s="206"/>
      <c r="DB30" s="213"/>
      <c r="DC30" s="215"/>
      <c r="DD30" s="216"/>
      <c r="DE30" s="216"/>
      <c r="DF30" s="216"/>
      <c r="DG30" s="216"/>
      <c r="DH30" s="216"/>
      <c r="DI30" s="216"/>
      <c r="DJ30" s="216"/>
      <c r="DK30" s="225"/>
      <c r="DL30" s="226"/>
      <c r="DM30" s="227"/>
      <c r="DN30" s="227"/>
      <c r="DO30" s="227"/>
      <c r="DP30" s="227"/>
      <c r="DQ30" s="227"/>
      <c r="DR30" s="234"/>
      <c r="DS30" s="226"/>
      <c r="DT30" s="227"/>
      <c r="DU30" s="234"/>
    </row>
    <row r="31" spans="1:125">
      <c r="A31" s="271"/>
      <c r="B31" s="272" t="str">
        <f>IFERROR(VLOOKUP($A31,Riesgos!$A$7:$H$84,2,FALSE),"")</f>
        <v/>
      </c>
      <c r="C31" s="272" t="str">
        <f>IFERROR(VLOOKUP($A31,Riesgos!$A$7:$H$84,7,FALSE),"")</f>
        <v/>
      </c>
      <c r="D31" s="272" t="str">
        <f>IFERROR(VLOOKUP($A31,Riesgos!$A$7:$H$84,8,FALSE),"")</f>
        <v/>
      </c>
      <c r="E31" s="273"/>
      <c r="F31" s="274"/>
      <c r="G31" s="137" t="str">
        <f>IF(ISNUMBER(F31),VLOOKUP(F31,'Listas y tablas'!$AC$2:$AF$7,2,FALSE),"")</f>
        <v/>
      </c>
      <c r="H31" s="274"/>
      <c r="I31" s="274"/>
      <c r="J31" s="274"/>
      <c r="K31" s="274"/>
      <c r="L31" s="274"/>
      <c r="M31" s="274"/>
      <c r="N31" s="274"/>
      <c r="O31" s="274"/>
      <c r="P31" s="274"/>
      <c r="Q31" s="274"/>
      <c r="R31" s="274"/>
      <c r="S31" s="274"/>
      <c r="T31" s="274"/>
      <c r="U31" s="274"/>
      <c r="V31" s="274"/>
      <c r="W31" s="274"/>
      <c r="X31" s="274"/>
      <c r="Y31" s="274"/>
      <c r="Z31" s="274"/>
      <c r="AA31" s="137">
        <f t="shared" si="1"/>
        <v>0</v>
      </c>
      <c r="AB31" s="279" t="str">
        <f t="shared" si="2"/>
        <v/>
      </c>
      <c r="AC31" s="280" t="str">
        <f t="shared" si="3"/>
        <v/>
      </c>
      <c r="AD31" s="281" t="str">
        <f>IFERROR(VLOOKUP(AC31,'Listas y tablas'!$AH$3:$AI$17,2,FALSE),"")</f>
        <v/>
      </c>
      <c r="AE31" s="280" t="str">
        <f t="shared" si="4"/>
        <v>C</v>
      </c>
      <c r="AF31" s="282">
        <f t="shared" si="5"/>
        <v>24</v>
      </c>
      <c r="AG31" s="282" t="str">
        <f t="shared" si="6"/>
        <v>C24</v>
      </c>
      <c r="AH31" s="286"/>
      <c r="AI31" s="282" t="str">
        <f t="shared" si="20"/>
        <v/>
      </c>
      <c r="AJ31" s="284"/>
      <c r="AK31" s="284"/>
      <c r="AL31" s="285">
        <f t="shared" si="7"/>
        <v>0</v>
      </c>
      <c r="AM31" s="284"/>
      <c r="AN31" s="285">
        <f t="shared" si="8"/>
        <v>0</v>
      </c>
      <c r="AO31" s="284"/>
      <c r="AP31" s="285">
        <f t="shared" si="9"/>
        <v>0</v>
      </c>
      <c r="AQ31" s="284"/>
      <c r="AR31" s="285">
        <f t="shared" si="10"/>
        <v>0</v>
      </c>
      <c r="AS31" s="284"/>
      <c r="AT31" s="285">
        <f t="shared" si="11"/>
        <v>0</v>
      </c>
      <c r="AU31" s="284"/>
      <c r="AV31" s="285">
        <f t="shared" si="12"/>
        <v>0</v>
      </c>
      <c r="AW31" s="284"/>
      <c r="AX31" s="282">
        <f t="shared" si="13"/>
        <v>0</v>
      </c>
      <c r="AY31" s="282">
        <f t="shared" si="14"/>
        <v>0</v>
      </c>
      <c r="AZ31" s="282">
        <f t="shared" si="15"/>
        <v>0</v>
      </c>
      <c r="BA31" s="282" t="str">
        <f t="shared" si="16"/>
        <v/>
      </c>
      <c r="BB31" s="282" t="str">
        <f>IFERROR(IF(ISNUMBER(BA31),VLOOKUP(BA31,'Listas y tablas'!$AC$2:$AF$7,2,FALSE),""),"")</f>
        <v/>
      </c>
      <c r="BC31" s="282" t="str">
        <f t="shared" si="0"/>
        <v/>
      </c>
      <c r="BD31" s="291" t="str">
        <f>IFERROR(VLOOKUP(BC31,'Listas y tablas'!$AH$3:$AI$17,2,FALSE),"")</f>
        <v/>
      </c>
      <c r="BE31" s="299"/>
      <c r="BF31" s="311"/>
      <c r="BG31" s="306"/>
      <c r="BH31" s="306"/>
      <c r="BI31" s="306"/>
      <c r="BJ31" s="306"/>
      <c r="BK31" s="306"/>
      <c r="BL31" s="306"/>
      <c r="BM31" s="306"/>
      <c r="BN31" s="306"/>
      <c r="BO31" s="306"/>
      <c r="BP31" s="306"/>
      <c r="BQ31" s="150"/>
      <c r="BR31" s="163"/>
      <c r="BS31" s="163"/>
      <c r="BT31" s="163"/>
      <c r="BU31" s="326"/>
      <c r="BV31" s="326"/>
      <c r="BW31" s="163"/>
      <c r="BX31" s="163"/>
      <c r="BY31" s="171"/>
      <c r="BZ31" s="323"/>
      <c r="CA31" s="324"/>
      <c r="CB31" s="181"/>
      <c r="CC31" s="182"/>
      <c r="CD31" s="181"/>
      <c r="CE31" s="181"/>
      <c r="CF31" s="183"/>
      <c r="CG31" s="323"/>
      <c r="CH31" s="327"/>
      <c r="CI31" s="192"/>
      <c r="CJ31" s="193"/>
      <c r="CK31" s="194"/>
      <c r="CL31" s="194"/>
      <c r="CM31" s="194"/>
      <c r="CN31" s="194"/>
      <c r="CO31" s="194"/>
      <c r="CP31" s="194"/>
      <c r="CQ31" s="194"/>
      <c r="CR31" s="204"/>
      <c r="CS31" s="205"/>
      <c r="CT31" s="206"/>
      <c r="CU31" s="206"/>
      <c r="CV31" s="206"/>
      <c r="CW31" s="206"/>
      <c r="CX31" s="206"/>
      <c r="CY31" s="213"/>
      <c r="CZ31" s="214"/>
      <c r="DA31" s="206"/>
      <c r="DB31" s="213"/>
      <c r="DC31" s="215"/>
      <c r="DD31" s="216"/>
      <c r="DE31" s="216"/>
      <c r="DF31" s="216"/>
      <c r="DG31" s="216"/>
      <c r="DH31" s="216"/>
      <c r="DI31" s="216"/>
      <c r="DJ31" s="216"/>
      <c r="DK31" s="225"/>
      <c r="DL31" s="226"/>
      <c r="DM31" s="227"/>
      <c r="DN31" s="227"/>
      <c r="DO31" s="227"/>
      <c r="DP31" s="227"/>
      <c r="DQ31" s="227"/>
      <c r="DR31" s="234"/>
      <c r="DS31" s="226"/>
      <c r="DT31" s="227"/>
      <c r="DU31" s="234"/>
    </row>
    <row r="32" spans="1:125">
      <c r="A32" s="271"/>
      <c r="B32" s="272" t="str">
        <f>IFERROR(VLOOKUP($A32,Riesgos!$A$7:$H$84,2,FALSE),"")</f>
        <v/>
      </c>
      <c r="C32" s="272" t="str">
        <f>IFERROR(VLOOKUP($A32,Riesgos!$A$7:$H$84,7,FALSE),"")</f>
        <v/>
      </c>
      <c r="D32" s="272" t="str">
        <f>IFERROR(VLOOKUP($A32,Riesgos!$A$7:$H$84,8,FALSE),"")</f>
        <v/>
      </c>
      <c r="E32" s="273"/>
      <c r="F32" s="274"/>
      <c r="G32" s="137" t="str">
        <f>IF(ISNUMBER(F32),VLOOKUP(F32,'Listas y tablas'!$AC$2:$AF$7,2,FALSE),"")</f>
        <v/>
      </c>
      <c r="H32" s="274"/>
      <c r="I32" s="274"/>
      <c r="J32" s="274"/>
      <c r="K32" s="274"/>
      <c r="L32" s="274"/>
      <c r="M32" s="274"/>
      <c r="N32" s="274"/>
      <c r="O32" s="274"/>
      <c r="P32" s="274"/>
      <c r="Q32" s="274"/>
      <c r="R32" s="274"/>
      <c r="S32" s="274"/>
      <c r="T32" s="274"/>
      <c r="U32" s="274"/>
      <c r="V32" s="274"/>
      <c r="W32" s="274"/>
      <c r="X32" s="274"/>
      <c r="Y32" s="274"/>
      <c r="Z32" s="274"/>
      <c r="AA32" s="137">
        <f t="shared" si="1"/>
        <v>0</v>
      </c>
      <c r="AB32" s="279" t="str">
        <f t="shared" si="2"/>
        <v/>
      </c>
      <c r="AC32" s="280" t="str">
        <f t="shared" si="3"/>
        <v/>
      </c>
      <c r="AD32" s="281" t="str">
        <f>IFERROR(VLOOKUP(AC32,'Listas y tablas'!$AH$3:$AI$17,2,FALSE),"")</f>
        <v/>
      </c>
      <c r="AE32" s="280" t="str">
        <f t="shared" si="4"/>
        <v>C</v>
      </c>
      <c r="AF32" s="282">
        <f t="shared" si="5"/>
        <v>25</v>
      </c>
      <c r="AG32" s="282" t="str">
        <f t="shared" si="6"/>
        <v>C25</v>
      </c>
      <c r="AH32" s="286"/>
      <c r="AI32" s="282" t="str">
        <f t="shared" si="20"/>
        <v/>
      </c>
      <c r="AJ32" s="284"/>
      <c r="AK32" s="284"/>
      <c r="AL32" s="285">
        <f t="shared" si="7"/>
        <v>0</v>
      </c>
      <c r="AM32" s="284"/>
      <c r="AN32" s="285">
        <f t="shared" si="8"/>
        <v>0</v>
      </c>
      <c r="AO32" s="284"/>
      <c r="AP32" s="285">
        <f t="shared" si="9"/>
        <v>0</v>
      </c>
      <c r="AQ32" s="284"/>
      <c r="AR32" s="285">
        <f t="shared" si="10"/>
        <v>0</v>
      </c>
      <c r="AS32" s="284"/>
      <c r="AT32" s="285">
        <f t="shared" si="11"/>
        <v>0</v>
      </c>
      <c r="AU32" s="284"/>
      <c r="AV32" s="285">
        <f t="shared" si="12"/>
        <v>0</v>
      </c>
      <c r="AW32" s="284"/>
      <c r="AX32" s="282">
        <f t="shared" si="13"/>
        <v>0</v>
      </c>
      <c r="AY32" s="282">
        <f t="shared" si="14"/>
        <v>0</v>
      </c>
      <c r="AZ32" s="282">
        <f t="shared" si="15"/>
        <v>0</v>
      </c>
      <c r="BA32" s="282" t="str">
        <f t="shared" si="16"/>
        <v/>
      </c>
      <c r="BB32" s="282" t="str">
        <f>IFERROR(IF(ISNUMBER(BA32),VLOOKUP(BA32,'Listas y tablas'!$AC$2:$AF$7,2,FALSE),""),"")</f>
        <v/>
      </c>
      <c r="BC32" s="282" t="str">
        <f t="shared" si="0"/>
        <v/>
      </c>
      <c r="BD32" s="291" t="str">
        <f>IFERROR(VLOOKUP(BC32,'Listas y tablas'!$AH$3:$AI$17,2,FALSE),"")</f>
        <v/>
      </c>
      <c r="BE32" s="299"/>
      <c r="BF32" s="311"/>
      <c r="BG32" s="306"/>
      <c r="BH32" s="306"/>
      <c r="BI32" s="306"/>
      <c r="BJ32" s="306"/>
      <c r="BK32" s="306"/>
      <c r="BL32" s="306"/>
      <c r="BM32" s="306"/>
      <c r="BN32" s="306"/>
      <c r="BO32" s="306"/>
      <c r="BP32" s="306"/>
      <c r="BQ32" s="150"/>
      <c r="BR32" s="163"/>
      <c r="BS32" s="163"/>
      <c r="BT32" s="163"/>
      <c r="BU32" s="326"/>
      <c r="BV32" s="326"/>
      <c r="BW32" s="163"/>
      <c r="BX32" s="163"/>
      <c r="BY32" s="171"/>
      <c r="BZ32" s="323"/>
      <c r="CA32" s="324"/>
      <c r="CB32" s="181"/>
      <c r="CC32" s="182"/>
      <c r="CD32" s="181"/>
      <c r="CE32" s="181"/>
      <c r="CF32" s="183"/>
      <c r="CG32" s="323"/>
      <c r="CH32" s="327"/>
      <c r="CI32" s="192"/>
      <c r="CJ32" s="193"/>
      <c r="CK32" s="194"/>
      <c r="CL32" s="194"/>
      <c r="CM32" s="194"/>
      <c r="CN32" s="194"/>
      <c r="CO32" s="194"/>
      <c r="CP32" s="194"/>
      <c r="CQ32" s="194"/>
      <c r="CR32" s="204"/>
      <c r="CS32" s="205"/>
      <c r="CT32" s="206"/>
      <c r="CU32" s="206"/>
      <c r="CV32" s="206"/>
      <c r="CW32" s="206"/>
      <c r="CX32" s="206"/>
      <c r="CY32" s="213"/>
      <c r="CZ32" s="214"/>
      <c r="DA32" s="206"/>
      <c r="DB32" s="213"/>
      <c r="DC32" s="215"/>
      <c r="DD32" s="216"/>
      <c r="DE32" s="216"/>
      <c r="DF32" s="216"/>
      <c r="DG32" s="216"/>
      <c r="DH32" s="216"/>
      <c r="DI32" s="216"/>
      <c r="DJ32" s="216"/>
      <c r="DK32" s="225"/>
      <c r="DL32" s="226"/>
      <c r="DM32" s="227"/>
      <c r="DN32" s="227"/>
      <c r="DO32" s="227"/>
      <c r="DP32" s="227"/>
      <c r="DQ32" s="227"/>
      <c r="DR32" s="234"/>
      <c r="DS32" s="226"/>
      <c r="DT32" s="227"/>
      <c r="DU32" s="234"/>
    </row>
    <row r="33" spans="1:125">
      <c r="A33" s="271"/>
      <c r="B33" s="272" t="str">
        <f>IFERROR(VLOOKUP($A33,Riesgos!$A$7:$H$84,2,FALSE),"")</f>
        <v/>
      </c>
      <c r="C33" s="272" t="str">
        <f>IFERROR(VLOOKUP($A33,Riesgos!$A$7:$H$84,7,FALSE),"")</f>
        <v/>
      </c>
      <c r="D33" s="272" t="str">
        <f>IFERROR(VLOOKUP($A33,Riesgos!$A$7:$H$84,8,FALSE),"")</f>
        <v/>
      </c>
      <c r="E33" s="273"/>
      <c r="F33" s="274"/>
      <c r="G33" s="137" t="str">
        <f>IF(ISNUMBER(F33),VLOOKUP(F33,'Listas y tablas'!$AC$2:$AF$7,2,FALSE),"")</f>
        <v/>
      </c>
      <c r="H33" s="274"/>
      <c r="I33" s="274"/>
      <c r="J33" s="274"/>
      <c r="K33" s="274"/>
      <c r="L33" s="274"/>
      <c r="M33" s="274"/>
      <c r="N33" s="274"/>
      <c r="O33" s="274"/>
      <c r="P33" s="274"/>
      <c r="Q33" s="274"/>
      <c r="R33" s="274"/>
      <c r="S33" s="274"/>
      <c r="T33" s="274"/>
      <c r="U33" s="274"/>
      <c r="V33" s="274"/>
      <c r="W33" s="274"/>
      <c r="X33" s="274"/>
      <c r="Y33" s="274"/>
      <c r="Z33" s="274"/>
      <c r="AA33" s="137">
        <f t="shared" si="1"/>
        <v>0</v>
      </c>
      <c r="AB33" s="279" t="str">
        <f t="shared" si="2"/>
        <v/>
      </c>
      <c r="AC33" s="280" t="str">
        <f t="shared" si="3"/>
        <v/>
      </c>
      <c r="AD33" s="281" t="str">
        <f>IFERROR(VLOOKUP(AC33,'Listas y tablas'!$AH$3:$AI$17,2,FALSE),"")</f>
        <v/>
      </c>
      <c r="AE33" s="280" t="str">
        <f t="shared" si="4"/>
        <v>C</v>
      </c>
      <c r="AF33" s="282">
        <f t="shared" si="5"/>
        <v>26</v>
      </c>
      <c r="AG33" s="282" t="str">
        <f t="shared" si="6"/>
        <v>C26</v>
      </c>
      <c r="AH33" s="286"/>
      <c r="AI33" s="282" t="str">
        <f t="shared" si="20"/>
        <v/>
      </c>
      <c r="AJ33" s="284"/>
      <c r="AK33" s="284"/>
      <c r="AL33" s="285">
        <f t="shared" si="7"/>
        <v>0</v>
      </c>
      <c r="AM33" s="284"/>
      <c r="AN33" s="285">
        <f t="shared" si="8"/>
        <v>0</v>
      </c>
      <c r="AO33" s="284"/>
      <c r="AP33" s="285">
        <f t="shared" si="9"/>
        <v>0</v>
      </c>
      <c r="AQ33" s="284"/>
      <c r="AR33" s="285">
        <f t="shared" si="10"/>
        <v>0</v>
      </c>
      <c r="AS33" s="284"/>
      <c r="AT33" s="285">
        <f t="shared" si="11"/>
        <v>0</v>
      </c>
      <c r="AU33" s="284"/>
      <c r="AV33" s="285">
        <f t="shared" si="12"/>
        <v>0</v>
      </c>
      <c r="AW33" s="284"/>
      <c r="AX33" s="282">
        <f t="shared" si="13"/>
        <v>0</v>
      </c>
      <c r="AY33" s="282">
        <f t="shared" si="14"/>
        <v>0</v>
      </c>
      <c r="AZ33" s="282">
        <f t="shared" si="15"/>
        <v>0</v>
      </c>
      <c r="BA33" s="282" t="str">
        <f t="shared" si="16"/>
        <v/>
      </c>
      <c r="BB33" s="282" t="str">
        <f>IFERROR(IF(ISNUMBER(BA33),VLOOKUP(BA33,'Listas y tablas'!$AC$2:$AF$7,2,FALSE),""),"")</f>
        <v/>
      </c>
      <c r="BC33" s="282" t="str">
        <f t="shared" si="0"/>
        <v/>
      </c>
      <c r="BD33" s="291" t="str">
        <f>IFERROR(VLOOKUP(BC33,'Listas y tablas'!$AH$3:$AI$17,2,FALSE),"")</f>
        <v/>
      </c>
      <c r="BE33" s="299"/>
      <c r="BF33" s="311"/>
      <c r="BG33" s="306"/>
      <c r="BH33" s="306"/>
      <c r="BI33" s="306"/>
      <c r="BJ33" s="306"/>
      <c r="BK33" s="306"/>
      <c r="BL33" s="306"/>
      <c r="BM33" s="306"/>
      <c r="BN33" s="306"/>
      <c r="BO33" s="306"/>
      <c r="BP33" s="306"/>
      <c r="BQ33" s="150"/>
      <c r="BR33" s="163"/>
      <c r="BS33" s="163"/>
      <c r="BT33" s="163"/>
      <c r="BU33" s="326"/>
      <c r="BV33" s="326"/>
      <c r="BW33" s="163"/>
      <c r="BX33" s="163"/>
      <c r="BY33" s="171"/>
      <c r="BZ33" s="323"/>
      <c r="CA33" s="324"/>
      <c r="CB33" s="181"/>
      <c r="CC33" s="182"/>
      <c r="CD33" s="181"/>
      <c r="CE33" s="181"/>
      <c r="CF33" s="183"/>
      <c r="CG33" s="323"/>
      <c r="CH33" s="327"/>
      <c r="CI33" s="192"/>
      <c r="CJ33" s="193"/>
      <c r="CK33" s="194"/>
      <c r="CL33" s="194"/>
      <c r="CM33" s="194"/>
      <c r="CN33" s="194"/>
      <c r="CO33" s="194"/>
      <c r="CP33" s="194"/>
      <c r="CQ33" s="194"/>
      <c r="CR33" s="204"/>
      <c r="CS33" s="205"/>
      <c r="CT33" s="206"/>
      <c r="CU33" s="206"/>
      <c r="CV33" s="206"/>
      <c r="CW33" s="206"/>
      <c r="CX33" s="206"/>
      <c r="CY33" s="213"/>
      <c r="CZ33" s="214"/>
      <c r="DA33" s="206"/>
      <c r="DB33" s="213"/>
      <c r="DC33" s="215"/>
      <c r="DD33" s="216"/>
      <c r="DE33" s="216"/>
      <c r="DF33" s="216"/>
      <c r="DG33" s="216"/>
      <c r="DH33" s="216"/>
      <c r="DI33" s="216"/>
      <c r="DJ33" s="216"/>
      <c r="DK33" s="225"/>
      <c r="DL33" s="226"/>
      <c r="DM33" s="227"/>
      <c r="DN33" s="227"/>
      <c r="DO33" s="227"/>
      <c r="DP33" s="227"/>
      <c r="DQ33" s="227"/>
      <c r="DR33" s="234"/>
      <c r="DS33" s="226"/>
      <c r="DT33" s="227"/>
      <c r="DU33" s="234"/>
    </row>
    <row r="34" spans="1:125">
      <c r="A34" s="271"/>
      <c r="B34" s="272" t="str">
        <f>IFERROR(VLOOKUP($A34,Riesgos!$A$7:$H$84,2,FALSE),"")</f>
        <v/>
      </c>
      <c r="C34" s="272" t="str">
        <f>IFERROR(VLOOKUP($A34,Riesgos!$A$7:$H$84,7,FALSE),"")</f>
        <v/>
      </c>
      <c r="D34" s="272" t="str">
        <f>IFERROR(VLOOKUP($A34,Riesgos!$A$7:$H$84,8,FALSE),"")</f>
        <v/>
      </c>
      <c r="E34" s="273"/>
      <c r="F34" s="274"/>
      <c r="G34" s="137" t="str">
        <f>IF(ISNUMBER(F34),VLOOKUP(F34,'Listas y tablas'!$AC$2:$AF$7,2,FALSE),"")</f>
        <v/>
      </c>
      <c r="H34" s="274"/>
      <c r="I34" s="274"/>
      <c r="J34" s="274"/>
      <c r="K34" s="274"/>
      <c r="L34" s="274"/>
      <c r="M34" s="274"/>
      <c r="N34" s="274"/>
      <c r="O34" s="274"/>
      <c r="P34" s="274"/>
      <c r="Q34" s="274"/>
      <c r="R34" s="274"/>
      <c r="S34" s="274"/>
      <c r="T34" s="274"/>
      <c r="U34" s="274"/>
      <c r="V34" s="274"/>
      <c r="W34" s="274"/>
      <c r="X34" s="274"/>
      <c r="Y34" s="274"/>
      <c r="Z34" s="274"/>
      <c r="AA34" s="137">
        <f t="shared" si="1"/>
        <v>0</v>
      </c>
      <c r="AB34" s="279" t="str">
        <f t="shared" si="2"/>
        <v/>
      </c>
      <c r="AC34" s="280" t="str">
        <f t="shared" si="3"/>
        <v/>
      </c>
      <c r="AD34" s="281" t="str">
        <f>IFERROR(VLOOKUP(AC34,'Listas y tablas'!$AH$3:$AI$17,2,FALSE),"")</f>
        <v/>
      </c>
      <c r="AE34" s="280" t="str">
        <f t="shared" si="4"/>
        <v>C</v>
      </c>
      <c r="AF34" s="282">
        <f t="shared" si="5"/>
        <v>27</v>
      </c>
      <c r="AG34" s="282" t="str">
        <f t="shared" si="6"/>
        <v>C27</v>
      </c>
      <c r="AH34" s="287"/>
      <c r="AI34" s="282" t="str">
        <f t="shared" si="20"/>
        <v/>
      </c>
      <c r="AJ34" s="284"/>
      <c r="AK34" s="284"/>
      <c r="AL34" s="285">
        <f t="shared" si="7"/>
        <v>0</v>
      </c>
      <c r="AM34" s="284"/>
      <c r="AN34" s="285">
        <f t="shared" si="8"/>
        <v>0</v>
      </c>
      <c r="AO34" s="284"/>
      <c r="AP34" s="285">
        <f t="shared" si="9"/>
        <v>0</v>
      </c>
      <c r="AQ34" s="284"/>
      <c r="AR34" s="285">
        <f t="shared" si="10"/>
        <v>0</v>
      </c>
      <c r="AS34" s="284"/>
      <c r="AT34" s="285">
        <f t="shared" si="11"/>
        <v>0</v>
      </c>
      <c r="AU34" s="284"/>
      <c r="AV34" s="285">
        <f t="shared" si="12"/>
        <v>0</v>
      </c>
      <c r="AW34" s="284"/>
      <c r="AX34" s="282">
        <f t="shared" si="13"/>
        <v>0</v>
      </c>
      <c r="AY34" s="282">
        <f t="shared" si="14"/>
        <v>0</v>
      </c>
      <c r="AZ34" s="282">
        <f t="shared" si="15"/>
        <v>0</v>
      </c>
      <c r="BA34" s="282" t="str">
        <f t="shared" si="16"/>
        <v/>
      </c>
      <c r="BB34" s="282" t="str">
        <f>IFERROR(IF(ISNUMBER(BA34),VLOOKUP(BA34,'Listas y tablas'!$AC$2:$AF$7,2,FALSE),""),"")</f>
        <v/>
      </c>
      <c r="BC34" s="282" t="str">
        <f t="shared" si="0"/>
        <v/>
      </c>
      <c r="BD34" s="291" t="str">
        <f>IFERROR(VLOOKUP(BC34,'Listas y tablas'!$AH$3:$AI$17,2,FALSE),"")</f>
        <v/>
      </c>
      <c r="BE34" s="299"/>
      <c r="BF34" s="311"/>
      <c r="BG34" s="306"/>
      <c r="BH34" s="306"/>
      <c r="BI34" s="306"/>
      <c r="BJ34" s="306"/>
      <c r="BK34" s="306"/>
      <c r="BL34" s="306"/>
      <c r="BM34" s="306"/>
      <c r="BN34" s="306"/>
      <c r="BO34" s="306"/>
      <c r="BP34" s="306"/>
      <c r="BQ34" s="150"/>
      <c r="BR34" s="163"/>
      <c r="BS34" s="163"/>
      <c r="BT34" s="163"/>
      <c r="BU34" s="326"/>
      <c r="BV34" s="326"/>
      <c r="BW34" s="163"/>
      <c r="BX34" s="163"/>
      <c r="BY34" s="171"/>
      <c r="BZ34" s="323"/>
      <c r="CA34" s="324"/>
      <c r="CB34" s="181"/>
      <c r="CC34" s="182"/>
      <c r="CD34" s="181"/>
      <c r="CE34" s="181"/>
      <c r="CF34" s="183"/>
      <c r="CG34" s="323"/>
      <c r="CH34" s="327"/>
      <c r="CI34" s="192"/>
      <c r="CJ34" s="193"/>
      <c r="CK34" s="194"/>
      <c r="CL34" s="194"/>
      <c r="CM34" s="194"/>
      <c r="CN34" s="194"/>
      <c r="CO34" s="194"/>
      <c r="CP34" s="194"/>
      <c r="CQ34" s="194"/>
      <c r="CR34" s="204"/>
      <c r="CS34" s="205"/>
      <c r="CT34" s="206"/>
      <c r="CU34" s="206"/>
      <c r="CV34" s="206"/>
      <c r="CW34" s="206"/>
      <c r="CX34" s="206"/>
      <c r="CY34" s="213"/>
      <c r="CZ34" s="214"/>
      <c r="DA34" s="206"/>
      <c r="DB34" s="213"/>
      <c r="DC34" s="215"/>
      <c r="DD34" s="216"/>
      <c r="DE34" s="216"/>
      <c r="DF34" s="216"/>
      <c r="DG34" s="216"/>
      <c r="DH34" s="216"/>
      <c r="DI34" s="216"/>
      <c r="DJ34" s="216"/>
      <c r="DK34" s="225"/>
      <c r="DL34" s="226"/>
      <c r="DM34" s="227"/>
      <c r="DN34" s="227"/>
      <c r="DO34" s="227"/>
      <c r="DP34" s="227"/>
      <c r="DQ34" s="227"/>
      <c r="DR34" s="234"/>
      <c r="DS34" s="226"/>
      <c r="DT34" s="227"/>
      <c r="DU34" s="234"/>
    </row>
    <row r="35" spans="1:125">
      <c r="A35" s="271"/>
      <c r="B35" s="272" t="str">
        <f>IFERROR(VLOOKUP($A35,Riesgos!$A$7:$H$84,2,FALSE),"")</f>
        <v/>
      </c>
      <c r="C35" s="272" t="str">
        <f>IFERROR(VLOOKUP($A35,Riesgos!$A$7:$H$84,7,FALSE),"")</f>
        <v/>
      </c>
      <c r="D35" s="272" t="str">
        <f>IFERROR(VLOOKUP($A35,Riesgos!$A$7:$H$84,8,FALSE),"")</f>
        <v/>
      </c>
      <c r="E35" s="273"/>
      <c r="F35" s="274"/>
      <c r="G35" s="137" t="str">
        <f>IF(ISNUMBER(F35),VLOOKUP(F35,'Listas y tablas'!$AC$2:$AF$7,2,FALSE),"")</f>
        <v/>
      </c>
      <c r="H35" s="274"/>
      <c r="I35" s="274"/>
      <c r="J35" s="274"/>
      <c r="K35" s="274"/>
      <c r="L35" s="274"/>
      <c r="M35" s="274"/>
      <c r="N35" s="274"/>
      <c r="O35" s="274"/>
      <c r="P35" s="274"/>
      <c r="Q35" s="274"/>
      <c r="R35" s="274"/>
      <c r="S35" s="274"/>
      <c r="T35" s="274"/>
      <c r="U35" s="274"/>
      <c r="V35" s="274"/>
      <c r="W35" s="274"/>
      <c r="X35" s="274"/>
      <c r="Y35" s="274"/>
      <c r="Z35" s="274"/>
      <c r="AA35" s="137">
        <f t="shared" si="1"/>
        <v>0</v>
      </c>
      <c r="AB35" s="279" t="str">
        <f t="shared" si="2"/>
        <v/>
      </c>
      <c r="AC35" s="280" t="str">
        <f t="shared" si="3"/>
        <v/>
      </c>
      <c r="AD35" s="281" t="str">
        <f>IFERROR(VLOOKUP(AC35,'Listas y tablas'!$AH$3:$AI$17,2,FALSE),"")</f>
        <v/>
      </c>
      <c r="AE35" s="280" t="str">
        <f t="shared" si="4"/>
        <v>C</v>
      </c>
      <c r="AF35" s="282">
        <f t="shared" si="5"/>
        <v>28</v>
      </c>
      <c r="AG35" s="282" t="str">
        <f t="shared" si="6"/>
        <v>C28</v>
      </c>
      <c r="AH35" s="286"/>
      <c r="AI35" s="282" t="str">
        <f t="shared" ref="AI35:AI40" si="21">IF(OR(AJ35="Preventivo",AJ35="Detectivo"),"Probabilidad",IF(AJ35="Correctivo","Impacto",""))</f>
        <v/>
      </c>
      <c r="AJ35" s="284"/>
      <c r="AK35" s="284"/>
      <c r="AL35" s="285">
        <f t="shared" si="7"/>
        <v>0</v>
      </c>
      <c r="AM35" s="284"/>
      <c r="AN35" s="285">
        <f t="shared" si="8"/>
        <v>0</v>
      </c>
      <c r="AO35" s="284"/>
      <c r="AP35" s="285">
        <f t="shared" si="9"/>
        <v>0</v>
      </c>
      <c r="AQ35" s="284"/>
      <c r="AR35" s="285">
        <f t="shared" si="10"/>
        <v>0</v>
      </c>
      <c r="AS35" s="284"/>
      <c r="AT35" s="285">
        <f t="shared" si="11"/>
        <v>0</v>
      </c>
      <c r="AU35" s="284"/>
      <c r="AV35" s="285">
        <f t="shared" si="12"/>
        <v>0</v>
      </c>
      <c r="AW35" s="284"/>
      <c r="AX35" s="282">
        <f t="shared" si="13"/>
        <v>0</v>
      </c>
      <c r="AY35" s="282">
        <f t="shared" si="14"/>
        <v>0</v>
      </c>
      <c r="AZ35" s="282">
        <f t="shared" si="15"/>
        <v>0</v>
      </c>
      <c r="BA35" s="282" t="str">
        <f t="shared" si="16"/>
        <v/>
      </c>
      <c r="BB35" s="282" t="str">
        <f>IFERROR(IF(ISNUMBER(BA35),VLOOKUP(BA35,'Listas y tablas'!$AC$2:$AF$7,2,FALSE),""),"")</f>
        <v/>
      </c>
      <c r="BC35" s="282" t="str">
        <f t="shared" si="0"/>
        <v/>
      </c>
      <c r="BD35" s="291" t="str">
        <f>IFERROR(VLOOKUP(BC35,'Listas y tablas'!$AH$3:$AI$17,2,FALSE),"")</f>
        <v/>
      </c>
      <c r="BE35" s="299"/>
      <c r="BF35" s="311"/>
      <c r="BG35" s="306"/>
      <c r="BH35" s="306"/>
      <c r="BI35" s="306"/>
      <c r="BJ35" s="306"/>
      <c r="BK35" s="306"/>
      <c r="BL35" s="306"/>
      <c r="BM35" s="306"/>
      <c r="BN35" s="306"/>
      <c r="BO35" s="306"/>
      <c r="BP35" s="306"/>
      <c r="BQ35" s="150"/>
      <c r="BR35" s="163"/>
      <c r="BS35" s="163"/>
      <c r="BT35" s="163"/>
      <c r="BU35" s="326"/>
      <c r="BV35" s="326"/>
      <c r="BW35" s="163"/>
      <c r="BX35" s="163"/>
      <c r="BY35" s="171"/>
      <c r="BZ35" s="323"/>
      <c r="CA35" s="324"/>
      <c r="CB35" s="181"/>
      <c r="CC35" s="182"/>
      <c r="CD35" s="181"/>
      <c r="CE35" s="181"/>
      <c r="CF35" s="183"/>
      <c r="CG35" s="323"/>
      <c r="CH35" s="327"/>
      <c r="CI35" s="192"/>
      <c r="CJ35" s="193"/>
      <c r="CK35" s="194"/>
      <c r="CL35" s="194"/>
      <c r="CM35" s="194"/>
      <c r="CN35" s="194"/>
      <c r="CO35" s="194"/>
      <c r="CP35" s="194"/>
      <c r="CQ35" s="194"/>
      <c r="CR35" s="204"/>
      <c r="CS35" s="205"/>
      <c r="CT35" s="206"/>
      <c r="CU35" s="206"/>
      <c r="CV35" s="206"/>
      <c r="CW35" s="206"/>
      <c r="CX35" s="206"/>
      <c r="CY35" s="213"/>
      <c r="CZ35" s="214"/>
      <c r="DA35" s="206"/>
      <c r="DB35" s="213"/>
      <c r="DC35" s="215"/>
      <c r="DD35" s="216"/>
      <c r="DE35" s="216"/>
      <c r="DF35" s="216"/>
      <c r="DG35" s="216"/>
      <c r="DH35" s="216"/>
      <c r="DI35" s="216"/>
      <c r="DJ35" s="216"/>
      <c r="DK35" s="225"/>
      <c r="DL35" s="226"/>
      <c r="DM35" s="227"/>
      <c r="DN35" s="227"/>
      <c r="DO35" s="227"/>
      <c r="DP35" s="227"/>
      <c r="DQ35" s="227"/>
      <c r="DR35" s="234"/>
      <c r="DS35" s="226"/>
      <c r="DT35" s="227"/>
      <c r="DU35" s="234"/>
    </row>
    <row r="36" spans="1:125">
      <c r="A36" s="271"/>
      <c r="B36" s="272" t="str">
        <f>IFERROR(VLOOKUP($A36,Riesgos!$A$7:$H$84,2,FALSE),"")</f>
        <v/>
      </c>
      <c r="C36" s="272" t="str">
        <f>IFERROR(VLOOKUP($A36,Riesgos!$A$7:$H$84,7,FALSE),"")</f>
        <v/>
      </c>
      <c r="D36" s="272" t="str">
        <f>IFERROR(VLOOKUP($A36,Riesgos!$A$7:$H$84,8,FALSE),"")</f>
        <v/>
      </c>
      <c r="E36" s="273"/>
      <c r="F36" s="274"/>
      <c r="G36" s="137" t="str">
        <f>IF(ISNUMBER(F36),VLOOKUP(F36,'Listas y tablas'!$AC$2:$AF$7,2,FALSE),"")</f>
        <v/>
      </c>
      <c r="H36" s="274"/>
      <c r="I36" s="274"/>
      <c r="J36" s="274"/>
      <c r="K36" s="274"/>
      <c r="L36" s="274"/>
      <c r="M36" s="274"/>
      <c r="N36" s="274"/>
      <c r="O36" s="274"/>
      <c r="P36" s="274"/>
      <c r="Q36" s="274"/>
      <c r="R36" s="274"/>
      <c r="S36" s="274"/>
      <c r="T36" s="274"/>
      <c r="U36" s="274"/>
      <c r="V36" s="274"/>
      <c r="W36" s="274"/>
      <c r="X36" s="274"/>
      <c r="Y36" s="274"/>
      <c r="Z36" s="274"/>
      <c r="AA36" s="137">
        <f t="shared" si="1"/>
        <v>0</v>
      </c>
      <c r="AB36" s="279" t="str">
        <f t="shared" si="2"/>
        <v/>
      </c>
      <c r="AC36" s="280" t="str">
        <f t="shared" si="3"/>
        <v/>
      </c>
      <c r="AD36" s="281" t="str">
        <f>IFERROR(VLOOKUP(AC36,'Listas y tablas'!$AH$3:$AI$17,2,FALSE),"")</f>
        <v/>
      </c>
      <c r="AE36" s="280" t="str">
        <f t="shared" si="4"/>
        <v>C</v>
      </c>
      <c r="AF36" s="282">
        <f t="shared" si="5"/>
        <v>29</v>
      </c>
      <c r="AG36" s="282" t="str">
        <f t="shared" si="6"/>
        <v>C29</v>
      </c>
      <c r="AH36" s="286"/>
      <c r="AI36" s="282" t="str">
        <f t="shared" si="21"/>
        <v/>
      </c>
      <c r="AJ36" s="284"/>
      <c r="AK36" s="284"/>
      <c r="AL36" s="285">
        <f t="shared" si="7"/>
        <v>0</v>
      </c>
      <c r="AM36" s="284"/>
      <c r="AN36" s="285">
        <f t="shared" si="8"/>
        <v>0</v>
      </c>
      <c r="AO36" s="284"/>
      <c r="AP36" s="285">
        <f t="shared" si="9"/>
        <v>0</v>
      </c>
      <c r="AQ36" s="284"/>
      <c r="AR36" s="285">
        <f t="shared" si="10"/>
        <v>0</v>
      </c>
      <c r="AS36" s="284"/>
      <c r="AT36" s="285">
        <f t="shared" si="11"/>
        <v>0</v>
      </c>
      <c r="AU36" s="284"/>
      <c r="AV36" s="285">
        <f t="shared" si="12"/>
        <v>0</v>
      </c>
      <c r="AW36" s="284"/>
      <c r="AX36" s="282">
        <f t="shared" si="13"/>
        <v>0</v>
      </c>
      <c r="AY36" s="282">
        <f t="shared" si="14"/>
        <v>0</v>
      </c>
      <c r="AZ36" s="282">
        <f t="shared" si="15"/>
        <v>0</v>
      </c>
      <c r="BA36" s="282" t="str">
        <f t="shared" si="16"/>
        <v/>
      </c>
      <c r="BB36" s="282" t="str">
        <f>IFERROR(IF(ISNUMBER(BA36),VLOOKUP(BA36,'Listas y tablas'!$AC$2:$AF$7,2,FALSE),""),"")</f>
        <v/>
      </c>
      <c r="BC36" s="282" t="str">
        <f t="shared" si="0"/>
        <v/>
      </c>
      <c r="BD36" s="291" t="str">
        <f>IFERROR(VLOOKUP(BC36,'Listas y tablas'!$AH$3:$AI$17,2,FALSE),"")</f>
        <v/>
      </c>
      <c r="BE36" s="299"/>
      <c r="BF36" s="311"/>
      <c r="BG36" s="306"/>
      <c r="BH36" s="306"/>
      <c r="BI36" s="306"/>
      <c r="BJ36" s="306"/>
      <c r="BK36" s="306"/>
      <c r="BL36" s="306"/>
      <c r="BM36" s="306"/>
      <c r="BN36" s="306"/>
      <c r="BO36" s="306"/>
      <c r="BP36" s="306"/>
      <c r="BQ36" s="150"/>
      <c r="BR36" s="163"/>
      <c r="BS36" s="163"/>
      <c r="BT36" s="163"/>
      <c r="BU36" s="326"/>
      <c r="BV36" s="326"/>
      <c r="BW36" s="163"/>
      <c r="BX36" s="163"/>
      <c r="BY36" s="171"/>
      <c r="BZ36" s="323"/>
      <c r="CA36" s="324"/>
      <c r="CB36" s="181"/>
      <c r="CC36" s="182"/>
      <c r="CD36" s="181"/>
      <c r="CE36" s="181"/>
      <c r="CF36" s="183"/>
      <c r="CG36" s="323"/>
      <c r="CH36" s="327"/>
      <c r="CI36" s="192"/>
      <c r="CJ36" s="193"/>
      <c r="CK36" s="194"/>
      <c r="CL36" s="194"/>
      <c r="CM36" s="194"/>
      <c r="CN36" s="194"/>
      <c r="CO36" s="194"/>
      <c r="CP36" s="194"/>
      <c r="CQ36" s="194"/>
      <c r="CR36" s="204"/>
      <c r="CS36" s="205"/>
      <c r="CT36" s="206"/>
      <c r="CU36" s="206"/>
      <c r="CV36" s="206"/>
      <c r="CW36" s="206"/>
      <c r="CX36" s="206"/>
      <c r="CY36" s="213"/>
      <c r="CZ36" s="214"/>
      <c r="DA36" s="206"/>
      <c r="DB36" s="213"/>
      <c r="DC36" s="215"/>
      <c r="DD36" s="216"/>
      <c r="DE36" s="216"/>
      <c r="DF36" s="216"/>
      <c r="DG36" s="216"/>
      <c r="DH36" s="216"/>
      <c r="DI36" s="216"/>
      <c r="DJ36" s="216"/>
      <c r="DK36" s="225"/>
      <c r="DL36" s="226"/>
      <c r="DM36" s="227"/>
      <c r="DN36" s="227"/>
      <c r="DO36" s="227"/>
      <c r="DP36" s="227"/>
      <c r="DQ36" s="227"/>
      <c r="DR36" s="234"/>
      <c r="DS36" s="226"/>
      <c r="DT36" s="227"/>
      <c r="DU36" s="234"/>
    </row>
    <row r="37" spans="1:125">
      <c r="A37" s="271"/>
      <c r="B37" s="272" t="str">
        <f>IFERROR(VLOOKUP($A37,Riesgos!$A$7:$H$84,2,FALSE),"")</f>
        <v/>
      </c>
      <c r="C37" s="272" t="str">
        <f>IFERROR(VLOOKUP($A37,Riesgos!$A$7:$H$84,7,FALSE),"")</f>
        <v/>
      </c>
      <c r="D37" s="272" t="str">
        <f>IFERROR(VLOOKUP($A37,Riesgos!$A$7:$H$84,8,FALSE),"")</f>
        <v/>
      </c>
      <c r="E37" s="273"/>
      <c r="F37" s="274"/>
      <c r="G37" s="137" t="str">
        <f>IF(ISNUMBER(F37),VLOOKUP(F37,'Listas y tablas'!$AC$2:$AF$7,2,FALSE),"")</f>
        <v/>
      </c>
      <c r="H37" s="274"/>
      <c r="I37" s="274"/>
      <c r="J37" s="274"/>
      <c r="K37" s="274"/>
      <c r="L37" s="274"/>
      <c r="M37" s="274"/>
      <c r="N37" s="274"/>
      <c r="O37" s="274"/>
      <c r="P37" s="274"/>
      <c r="Q37" s="274"/>
      <c r="R37" s="274"/>
      <c r="S37" s="274"/>
      <c r="T37" s="274"/>
      <c r="U37" s="274"/>
      <c r="V37" s="274"/>
      <c r="W37" s="274"/>
      <c r="X37" s="274"/>
      <c r="Y37" s="274"/>
      <c r="Z37" s="274"/>
      <c r="AA37" s="137">
        <f t="shared" si="1"/>
        <v>0</v>
      </c>
      <c r="AB37" s="279" t="str">
        <f t="shared" si="2"/>
        <v/>
      </c>
      <c r="AC37" s="280" t="str">
        <f t="shared" si="3"/>
        <v/>
      </c>
      <c r="AD37" s="281" t="str">
        <f>IFERROR(VLOOKUP(AC37,'Listas y tablas'!$AH$3:$AI$17,2,FALSE),"")</f>
        <v/>
      </c>
      <c r="AE37" s="280" t="str">
        <f t="shared" si="4"/>
        <v>C</v>
      </c>
      <c r="AF37" s="282">
        <f t="shared" si="5"/>
        <v>30</v>
      </c>
      <c r="AG37" s="282" t="str">
        <f t="shared" si="6"/>
        <v>C30</v>
      </c>
      <c r="AH37" s="286"/>
      <c r="AI37" s="282" t="str">
        <f t="shared" si="21"/>
        <v/>
      </c>
      <c r="AJ37" s="284"/>
      <c r="AK37" s="284"/>
      <c r="AL37" s="285">
        <f t="shared" si="7"/>
        <v>0</v>
      </c>
      <c r="AM37" s="284"/>
      <c r="AN37" s="285">
        <f t="shared" si="8"/>
        <v>0</v>
      </c>
      <c r="AO37" s="284"/>
      <c r="AP37" s="285">
        <f t="shared" si="9"/>
        <v>0</v>
      </c>
      <c r="AQ37" s="284"/>
      <c r="AR37" s="285">
        <f t="shared" si="10"/>
        <v>0</v>
      </c>
      <c r="AS37" s="284"/>
      <c r="AT37" s="285">
        <f t="shared" si="11"/>
        <v>0</v>
      </c>
      <c r="AU37" s="284"/>
      <c r="AV37" s="285">
        <f t="shared" si="12"/>
        <v>0</v>
      </c>
      <c r="AW37" s="284"/>
      <c r="AX37" s="282">
        <f t="shared" si="13"/>
        <v>0</v>
      </c>
      <c r="AY37" s="282">
        <f t="shared" si="14"/>
        <v>0</v>
      </c>
      <c r="AZ37" s="282">
        <f t="shared" si="15"/>
        <v>0</v>
      </c>
      <c r="BA37" s="282" t="str">
        <f t="shared" si="16"/>
        <v/>
      </c>
      <c r="BB37" s="282" t="str">
        <f>IFERROR(IF(ISNUMBER(BA37),VLOOKUP(BA37,'Listas y tablas'!$AC$2:$AF$7,2,FALSE),""),"")</f>
        <v/>
      </c>
      <c r="BC37" s="282" t="str">
        <f t="shared" si="0"/>
        <v/>
      </c>
      <c r="BD37" s="291" t="str">
        <f>IFERROR(VLOOKUP(BC37,'Listas y tablas'!$AH$3:$AI$17,2,FALSE),"")</f>
        <v/>
      </c>
      <c r="BE37" s="299"/>
      <c r="BF37" s="311"/>
      <c r="BG37" s="306"/>
      <c r="BH37" s="306"/>
      <c r="BI37" s="306"/>
      <c r="BJ37" s="306"/>
      <c r="BK37" s="306"/>
      <c r="BL37" s="306"/>
      <c r="BM37" s="306"/>
      <c r="BN37" s="306"/>
      <c r="BO37" s="306"/>
      <c r="BP37" s="306"/>
      <c r="BQ37" s="150"/>
      <c r="BR37" s="163"/>
      <c r="BS37" s="163"/>
      <c r="BT37" s="163"/>
      <c r="BU37" s="326"/>
      <c r="BV37" s="326"/>
      <c r="BW37" s="163"/>
      <c r="BX37" s="163"/>
      <c r="BY37" s="171"/>
      <c r="BZ37" s="323"/>
      <c r="CA37" s="324"/>
      <c r="CB37" s="181"/>
      <c r="CC37" s="182"/>
      <c r="CD37" s="181"/>
      <c r="CE37" s="181"/>
      <c r="CF37" s="183"/>
      <c r="CG37" s="323"/>
      <c r="CH37" s="327"/>
      <c r="CI37" s="192"/>
      <c r="CJ37" s="193"/>
      <c r="CK37" s="194"/>
      <c r="CL37" s="194"/>
      <c r="CM37" s="194"/>
      <c r="CN37" s="194"/>
      <c r="CO37" s="194"/>
      <c r="CP37" s="194"/>
      <c r="CQ37" s="194"/>
      <c r="CR37" s="204"/>
      <c r="CS37" s="205"/>
      <c r="CT37" s="206"/>
      <c r="CU37" s="206"/>
      <c r="CV37" s="206"/>
      <c r="CW37" s="206"/>
      <c r="CX37" s="206"/>
      <c r="CY37" s="213"/>
      <c r="CZ37" s="214"/>
      <c r="DA37" s="206"/>
      <c r="DB37" s="213"/>
      <c r="DC37" s="215"/>
      <c r="DD37" s="216"/>
      <c r="DE37" s="216"/>
      <c r="DF37" s="216"/>
      <c r="DG37" s="216"/>
      <c r="DH37" s="216"/>
      <c r="DI37" s="216"/>
      <c r="DJ37" s="216"/>
      <c r="DK37" s="225"/>
      <c r="DL37" s="226"/>
      <c r="DM37" s="227"/>
      <c r="DN37" s="227"/>
      <c r="DO37" s="227"/>
      <c r="DP37" s="227"/>
      <c r="DQ37" s="227"/>
      <c r="DR37" s="234"/>
      <c r="DS37" s="226"/>
      <c r="DT37" s="227"/>
      <c r="DU37" s="234"/>
    </row>
    <row r="38" spans="1:125">
      <c r="A38" s="271"/>
      <c r="B38" s="272" t="str">
        <f>IFERROR(VLOOKUP($A38,Riesgos!$A$7:$H$84,2,FALSE),"")</f>
        <v/>
      </c>
      <c r="C38" s="272" t="str">
        <f>IFERROR(VLOOKUP($A38,Riesgos!$A$7:$H$84,7,FALSE),"")</f>
        <v/>
      </c>
      <c r="D38" s="272" t="str">
        <f>IFERROR(VLOOKUP($A38,Riesgos!$A$7:$H$84,8,FALSE),"")</f>
        <v/>
      </c>
      <c r="E38" s="273"/>
      <c r="F38" s="274"/>
      <c r="G38" s="137" t="str">
        <f>IF(ISNUMBER(F38),VLOOKUP(F38,'Listas y tablas'!$AC$2:$AF$7,2,FALSE),"")</f>
        <v/>
      </c>
      <c r="H38" s="274"/>
      <c r="I38" s="274"/>
      <c r="J38" s="274"/>
      <c r="K38" s="274"/>
      <c r="L38" s="274"/>
      <c r="M38" s="274"/>
      <c r="N38" s="274"/>
      <c r="O38" s="274"/>
      <c r="P38" s="274"/>
      <c r="Q38" s="274"/>
      <c r="R38" s="274"/>
      <c r="S38" s="274"/>
      <c r="T38" s="274"/>
      <c r="U38" s="274"/>
      <c r="V38" s="274"/>
      <c r="W38" s="274"/>
      <c r="X38" s="274"/>
      <c r="Y38" s="274"/>
      <c r="Z38" s="274"/>
      <c r="AA38" s="137">
        <f t="shared" si="1"/>
        <v>0</v>
      </c>
      <c r="AB38" s="279" t="str">
        <f t="shared" si="2"/>
        <v/>
      </c>
      <c r="AC38" s="280" t="str">
        <f t="shared" si="3"/>
        <v/>
      </c>
      <c r="AD38" s="281" t="str">
        <f>IFERROR(VLOOKUP(AC38,'Listas y tablas'!$AH$3:$AI$17,2,FALSE),"")</f>
        <v/>
      </c>
      <c r="AE38" s="280" t="str">
        <f t="shared" si="4"/>
        <v>C</v>
      </c>
      <c r="AF38" s="282">
        <f t="shared" si="5"/>
        <v>31</v>
      </c>
      <c r="AG38" s="282" t="str">
        <f t="shared" si="6"/>
        <v>C31</v>
      </c>
      <c r="AH38" s="286"/>
      <c r="AI38" s="282" t="str">
        <f t="shared" si="21"/>
        <v/>
      </c>
      <c r="AJ38" s="284"/>
      <c r="AK38" s="284"/>
      <c r="AL38" s="285">
        <f t="shared" si="7"/>
        <v>0</v>
      </c>
      <c r="AM38" s="284"/>
      <c r="AN38" s="285">
        <f t="shared" si="8"/>
        <v>0</v>
      </c>
      <c r="AO38" s="284"/>
      <c r="AP38" s="285">
        <f t="shared" si="9"/>
        <v>0</v>
      </c>
      <c r="AQ38" s="284"/>
      <c r="AR38" s="285">
        <f t="shared" si="10"/>
        <v>0</v>
      </c>
      <c r="AS38" s="284"/>
      <c r="AT38" s="285">
        <f t="shared" si="11"/>
        <v>0</v>
      </c>
      <c r="AU38" s="284"/>
      <c r="AV38" s="285">
        <f t="shared" si="12"/>
        <v>0</v>
      </c>
      <c r="AW38" s="284"/>
      <c r="AX38" s="282">
        <f t="shared" si="13"/>
        <v>0</v>
      </c>
      <c r="AY38" s="282">
        <f t="shared" si="14"/>
        <v>0</v>
      </c>
      <c r="AZ38" s="282">
        <f t="shared" si="15"/>
        <v>0</v>
      </c>
      <c r="BA38" s="282" t="str">
        <f t="shared" si="16"/>
        <v/>
      </c>
      <c r="BB38" s="282" t="str">
        <f>IFERROR(IF(ISNUMBER(BA38),VLOOKUP(BA38,'Listas y tablas'!$AC$2:$AF$7,2,FALSE),""),"")</f>
        <v/>
      </c>
      <c r="BC38" s="282" t="str">
        <f t="shared" si="0"/>
        <v/>
      </c>
      <c r="BD38" s="291" t="str">
        <f>IFERROR(VLOOKUP(BC38,'Listas y tablas'!$AH$3:$AI$17,2,FALSE),"")</f>
        <v/>
      </c>
      <c r="BE38" s="299"/>
      <c r="BF38" s="311"/>
      <c r="BG38" s="306"/>
      <c r="BH38" s="306"/>
      <c r="BI38" s="306"/>
      <c r="BJ38" s="306"/>
      <c r="BK38" s="306"/>
      <c r="BL38" s="306"/>
      <c r="BM38" s="306"/>
      <c r="BN38" s="306"/>
      <c r="BO38" s="306"/>
      <c r="BP38" s="306"/>
      <c r="BQ38" s="150"/>
      <c r="BR38" s="163"/>
      <c r="BS38" s="163"/>
      <c r="BT38" s="163"/>
      <c r="BU38" s="326"/>
      <c r="BV38" s="326"/>
      <c r="BW38" s="163"/>
      <c r="BX38" s="163"/>
      <c r="BY38" s="171"/>
      <c r="BZ38" s="323"/>
      <c r="CA38" s="324"/>
      <c r="CB38" s="181"/>
      <c r="CC38" s="182"/>
      <c r="CD38" s="181"/>
      <c r="CE38" s="181"/>
      <c r="CF38" s="183"/>
      <c r="CG38" s="323"/>
      <c r="CH38" s="327"/>
      <c r="CI38" s="192"/>
      <c r="CJ38" s="193"/>
      <c r="CK38" s="194"/>
      <c r="CL38" s="194"/>
      <c r="CM38" s="194"/>
      <c r="CN38" s="194"/>
      <c r="CO38" s="194"/>
      <c r="CP38" s="194"/>
      <c r="CQ38" s="194"/>
      <c r="CR38" s="204"/>
      <c r="CS38" s="205"/>
      <c r="CT38" s="206"/>
      <c r="CU38" s="206"/>
      <c r="CV38" s="206"/>
      <c r="CW38" s="206"/>
      <c r="CX38" s="206"/>
      <c r="CY38" s="213"/>
      <c r="CZ38" s="214"/>
      <c r="DA38" s="206"/>
      <c r="DB38" s="213"/>
      <c r="DC38" s="215"/>
      <c r="DD38" s="216"/>
      <c r="DE38" s="216"/>
      <c r="DF38" s="216"/>
      <c r="DG38" s="216"/>
      <c r="DH38" s="216"/>
      <c r="DI38" s="216"/>
      <c r="DJ38" s="216"/>
      <c r="DK38" s="225"/>
      <c r="DL38" s="226"/>
      <c r="DM38" s="227"/>
      <c r="DN38" s="227"/>
      <c r="DO38" s="227"/>
      <c r="DP38" s="227"/>
      <c r="DQ38" s="227"/>
      <c r="DR38" s="234"/>
      <c r="DS38" s="226"/>
      <c r="DT38" s="227"/>
      <c r="DU38" s="234"/>
    </row>
    <row r="39" spans="1:125">
      <c r="A39" s="271"/>
      <c r="B39" s="272" t="str">
        <f>IFERROR(VLOOKUP($A39,Riesgos!$A$7:$H$84,2,FALSE),"")</f>
        <v/>
      </c>
      <c r="C39" s="272" t="str">
        <f>IFERROR(VLOOKUP($A39,Riesgos!$A$7:$H$84,7,FALSE),"")</f>
        <v/>
      </c>
      <c r="D39" s="272" t="str">
        <f>IFERROR(VLOOKUP($A39,Riesgos!$A$7:$H$84,8,FALSE),"")</f>
        <v/>
      </c>
      <c r="E39" s="273"/>
      <c r="F39" s="274"/>
      <c r="G39" s="137" t="str">
        <f>IF(ISNUMBER(F39),VLOOKUP(F39,'Listas y tablas'!$AC$2:$AF$7,2,FALSE),"")</f>
        <v/>
      </c>
      <c r="H39" s="274"/>
      <c r="I39" s="274"/>
      <c r="J39" s="274"/>
      <c r="K39" s="274"/>
      <c r="L39" s="274"/>
      <c r="M39" s="274"/>
      <c r="N39" s="274"/>
      <c r="O39" s="274"/>
      <c r="P39" s="274"/>
      <c r="Q39" s="274"/>
      <c r="R39" s="274"/>
      <c r="S39" s="274"/>
      <c r="T39" s="274"/>
      <c r="U39" s="274"/>
      <c r="V39" s="274"/>
      <c r="W39" s="274"/>
      <c r="X39" s="274"/>
      <c r="Y39" s="274"/>
      <c r="Z39" s="274"/>
      <c r="AA39" s="137">
        <f t="shared" si="1"/>
        <v>0</v>
      </c>
      <c r="AB39" s="279" t="str">
        <f t="shared" si="2"/>
        <v/>
      </c>
      <c r="AC39" s="280" t="str">
        <f t="shared" si="3"/>
        <v/>
      </c>
      <c r="AD39" s="281" t="str">
        <f>IFERROR(VLOOKUP(AC39,'Listas y tablas'!$AH$3:$AI$17,2,FALSE),"")</f>
        <v/>
      </c>
      <c r="AE39" s="280" t="str">
        <f t="shared" si="4"/>
        <v>C</v>
      </c>
      <c r="AF39" s="282">
        <f t="shared" si="5"/>
        <v>32</v>
      </c>
      <c r="AG39" s="282" t="str">
        <f t="shared" si="6"/>
        <v>C32</v>
      </c>
      <c r="AH39" s="286"/>
      <c r="AI39" s="282" t="str">
        <f t="shared" si="21"/>
        <v/>
      </c>
      <c r="AJ39" s="284"/>
      <c r="AK39" s="284"/>
      <c r="AL39" s="285">
        <f t="shared" si="7"/>
        <v>0</v>
      </c>
      <c r="AM39" s="284"/>
      <c r="AN39" s="285">
        <f t="shared" si="8"/>
        <v>0</v>
      </c>
      <c r="AO39" s="284"/>
      <c r="AP39" s="285">
        <f t="shared" si="9"/>
        <v>0</v>
      </c>
      <c r="AQ39" s="284"/>
      <c r="AR39" s="285">
        <f t="shared" si="10"/>
        <v>0</v>
      </c>
      <c r="AS39" s="284"/>
      <c r="AT39" s="285">
        <f t="shared" si="11"/>
        <v>0</v>
      </c>
      <c r="AU39" s="284"/>
      <c r="AV39" s="285">
        <f t="shared" si="12"/>
        <v>0</v>
      </c>
      <c r="AW39" s="284"/>
      <c r="AX39" s="282">
        <f t="shared" si="13"/>
        <v>0</v>
      </c>
      <c r="AY39" s="282">
        <f t="shared" si="14"/>
        <v>0</v>
      </c>
      <c r="AZ39" s="282">
        <f t="shared" si="15"/>
        <v>0</v>
      </c>
      <c r="BA39" s="282" t="str">
        <f t="shared" si="16"/>
        <v/>
      </c>
      <c r="BB39" s="282" t="str">
        <f>IFERROR(IF(ISNUMBER(BA39),VLOOKUP(BA39,'Listas y tablas'!$AC$2:$AF$7,2,FALSE),""),"")</f>
        <v/>
      </c>
      <c r="BC39" s="282" t="str">
        <f t="shared" si="0"/>
        <v/>
      </c>
      <c r="BD39" s="291" t="str">
        <f>IFERROR(VLOOKUP(BC39,'Listas y tablas'!$AH$3:$AI$17,2,FALSE),"")</f>
        <v/>
      </c>
      <c r="BE39" s="299"/>
      <c r="BF39" s="311"/>
      <c r="BG39" s="306"/>
      <c r="BH39" s="306"/>
      <c r="BI39" s="306"/>
      <c r="BJ39" s="306"/>
      <c r="BK39" s="306"/>
      <c r="BL39" s="306"/>
      <c r="BM39" s="306"/>
      <c r="BN39" s="306"/>
      <c r="BO39" s="306"/>
      <c r="BP39" s="306"/>
      <c r="BQ39" s="150"/>
      <c r="BR39" s="163"/>
      <c r="BS39" s="163"/>
      <c r="BT39" s="163"/>
      <c r="BU39" s="326"/>
      <c r="BV39" s="326"/>
      <c r="BW39" s="163"/>
      <c r="BX39" s="163"/>
      <c r="BY39" s="171"/>
      <c r="BZ39" s="323"/>
      <c r="CA39" s="324"/>
      <c r="CB39" s="181"/>
      <c r="CC39" s="182"/>
      <c r="CD39" s="181"/>
      <c r="CE39" s="181"/>
      <c r="CF39" s="183"/>
      <c r="CG39" s="323"/>
      <c r="CH39" s="327"/>
      <c r="CI39" s="192"/>
      <c r="CJ39" s="193"/>
      <c r="CK39" s="194"/>
      <c r="CL39" s="194"/>
      <c r="CM39" s="194"/>
      <c r="CN39" s="194"/>
      <c r="CO39" s="194"/>
      <c r="CP39" s="194"/>
      <c r="CQ39" s="194"/>
      <c r="CR39" s="204"/>
      <c r="CS39" s="205"/>
      <c r="CT39" s="206"/>
      <c r="CU39" s="206"/>
      <c r="CV39" s="206"/>
      <c r="CW39" s="206"/>
      <c r="CX39" s="206"/>
      <c r="CY39" s="213"/>
      <c r="CZ39" s="214"/>
      <c r="DA39" s="206"/>
      <c r="DB39" s="213"/>
      <c r="DC39" s="215"/>
      <c r="DD39" s="216"/>
      <c r="DE39" s="216"/>
      <c r="DF39" s="216"/>
      <c r="DG39" s="216"/>
      <c r="DH39" s="216"/>
      <c r="DI39" s="216"/>
      <c r="DJ39" s="216"/>
      <c r="DK39" s="225"/>
      <c r="DL39" s="226"/>
      <c r="DM39" s="227"/>
      <c r="DN39" s="227"/>
      <c r="DO39" s="227"/>
      <c r="DP39" s="227"/>
      <c r="DQ39" s="227"/>
      <c r="DR39" s="234"/>
      <c r="DS39" s="226"/>
      <c r="DT39" s="227"/>
      <c r="DU39" s="234"/>
    </row>
    <row r="40" spans="1:125">
      <c r="A40" s="271"/>
      <c r="B40" s="272" t="str">
        <f>IFERROR(VLOOKUP($A40,Riesgos!$A$7:$H$84,2,FALSE),"")</f>
        <v/>
      </c>
      <c r="C40" s="272" t="str">
        <f>IFERROR(VLOOKUP($A40,Riesgos!$A$7:$H$84,7,FALSE),"")</f>
        <v/>
      </c>
      <c r="D40" s="272" t="str">
        <f>IFERROR(VLOOKUP($A40,Riesgos!$A$7:$H$84,8,FALSE),"")</f>
        <v/>
      </c>
      <c r="E40" s="273"/>
      <c r="F40" s="274"/>
      <c r="G40" s="137" t="str">
        <f>IF(ISNUMBER(F40),VLOOKUP(F40,'Listas y tablas'!$AC$2:$AF$7,2,FALSE),"")</f>
        <v/>
      </c>
      <c r="H40" s="274"/>
      <c r="I40" s="274"/>
      <c r="J40" s="274"/>
      <c r="K40" s="274"/>
      <c r="L40" s="274"/>
      <c r="M40" s="274"/>
      <c r="N40" s="274"/>
      <c r="O40" s="274"/>
      <c r="P40" s="274"/>
      <c r="Q40" s="274"/>
      <c r="R40" s="274"/>
      <c r="S40" s="274"/>
      <c r="T40" s="274"/>
      <c r="U40" s="274"/>
      <c r="V40" s="274"/>
      <c r="W40" s="274"/>
      <c r="X40" s="274"/>
      <c r="Y40" s="274"/>
      <c r="Z40" s="274"/>
      <c r="AA40" s="137">
        <f t="shared" si="1"/>
        <v>0</v>
      </c>
      <c r="AB40" s="279" t="str">
        <f t="shared" si="2"/>
        <v/>
      </c>
      <c r="AC40" s="280" t="str">
        <f t="shared" si="3"/>
        <v/>
      </c>
      <c r="AD40" s="281" t="str">
        <f>IFERROR(VLOOKUP(AC40,'Listas y tablas'!$AH$3:$AI$17,2,FALSE),"")</f>
        <v/>
      </c>
      <c r="AE40" s="280" t="str">
        <f t="shared" si="4"/>
        <v>C</v>
      </c>
      <c r="AF40" s="282">
        <f t="shared" si="5"/>
        <v>33</v>
      </c>
      <c r="AG40" s="282" t="str">
        <f t="shared" si="6"/>
        <v>C33</v>
      </c>
      <c r="AH40" s="287"/>
      <c r="AI40" s="282" t="str">
        <f t="shared" si="21"/>
        <v/>
      </c>
      <c r="AJ40" s="284"/>
      <c r="AK40" s="284"/>
      <c r="AL40" s="285">
        <f t="shared" si="7"/>
        <v>0</v>
      </c>
      <c r="AM40" s="284"/>
      <c r="AN40" s="285">
        <f t="shared" si="8"/>
        <v>0</v>
      </c>
      <c r="AO40" s="284"/>
      <c r="AP40" s="285">
        <f t="shared" si="9"/>
        <v>0</v>
      </c>
      <c r="AQ40" s="284"/>
      <c r="AR40" s="285">
        <f t="shared" si="10"/>
        <v>0</v>
      </c>
      <c r="AS40" s="284"/>
      <c r="AT40" s="285">
        <f t="shared" si="11"/>
        <v>0</v>
      </c>
      <c r="AU40" s="284"/>
      <c r="AV40" s="285">
        <f t="shared" si="12"/>
        <v>0</v>
      </c>
      <c r="AW40" s="284"/>
      <c r="AX40" s="282">
        <f t="shared" si="13"/>
        <v>0</v>
      </c>
      <c r="AY40" s="282">
        <f t="shared" si="14"/>
        <v>0</v>
      </c>
      <c r="AZ40" s="282">
        <f t="shared" si="15"/>
        <v>0</v>
      </c>
      <c r="BA40" s="282" t="str">
        <f t="shared" si="16"/>
        <v/>
      </c>
      <c r="BB40" s="282" t="str">
        <f>IFERROR(IF(ISNUMBER(BA40),VLOOKUP(BA40,'Listas y tablas'!$AC$2:$AF$7,2,FALSE),""),"")</f>
        <v/>
      </c>
      <c r="BC40" s="282" t="str">
        <f t="shared" ref="BC40:BC67" si="22">CONCATENATE(BB40," ",AB40)</f>
        <v/>
      </c>
      <c r="BD40" s="291" t="str">
        <f>IFERROR(VLOOKUP(BC40,'Listas y tablas'!$AH$3:$AI$17,2,FALSE),"")</f>
        <v/>
      </c>
      <c r="BE40" s="299"/>
      <c r="BF40" s="311"/>
      <c r="BG40" s="306"/>
      <c r="BH40" s="306"/>
      <c r="BI40" s="306"/>
      <c r="BJ40" s="306"/>
      <c r="BK40" s="306"/>
      <c r="BL40" s="306"/>
      <c r="BM40" s="306"/>
      <c r="BN40" s="306"/>
      <c r="BO40" s="306"/>
      <c r="BP40" s="306"/>
      <c r="BQ40" s="150"/>
      <c r="BR40" s="163"/>
      <c r="BS40" s="163"/>
      <c r="BT40" s="163"/>
      <c r="BU40" s="326"/>
      <c r="BV40" s="326"/>
      <c r="BW40" s="163"/>
      <c r="BX40" s="163"/>
      <c r="BY40" s="171"/>
      <c r="BZ40" s="323"/>
      <c r="CA40" s="324"/>
      <c r="CB40" s="181"/>
      <c r="CC40" s="182"/>
      <c r="CD40" s="181"/>
      <c r="CE40" s="181"/>
      <c r="CF40" s="183"/>
      <c r="CG40" s="323"/>
      <c r="CH40" s="327"/>
      <c r="CI40" s="192"/>
      <c r="CJ40" s="193"/>
      <c r="CK40" s="194"/>
      <c r="CL40" s="194"/>
      <c r="CM40" s="194"/>
      <c r="CN40" s="194"/>
      <c r="CO40" s="194"/>
      <c r="CP40" s="194"/>
      <c r="CQ40" s="194"/>
      <c r="CR40" s="204"/>
      <c r="CS40" s="205"/>
      <c r="CT40" s="206"/>
      <c r="CU40" s="206"/>
      <c r="CV40" s="206"/>
      <c r="CW40" s="206"/>
      <c r="CX40" s="206"/>
      <c r="CY40" s="213"/>
      <c r="CZ40" s="214"/>
      <c r="DA40" s="206"/>
      <c r="DB40" s="213"/>
      <c r="DC40" s="215"/>
      <c r="DD40" s="216"/>
      <c r="DE40" s="216"/>
      <c r="DF40" s="216"/>
      <c r="DG40" s="216"/>
      <c r="DH40" s="216"/>
      <c r="DI40" s="216"/>
      <c r="DJ40" s="216"/>
      <c r="DK40" s="225"/>
      <c r="DL40" s="226"/>
      <c r="DM40" s="227"/>
      <c r="DN40" s="227"/>
      <c r="DO40" s="227"/>
      <c r="DP40" s="227"/>
      <c r="DQ40" s="227"/>
      <c r="DR40" s="234"/>
      <c r="DS40" s="226"/>
      <c r="DT40" s="227"/>
      <c r="DU40" s="234"/>
    </row>
    <row r="41" spans="1:125">
      <c r="A41" s="271"/>
      <c r="B41" s="272" t="str">
        <f>IFERROR(VLOOKUP($A41,Riesgos!$A$7:$H$84,2,FALSE),"")</f>
        <v/>
      </c>
      <c r="C41" s="272" t="str">
        <f>IFERROR(VLOOKUP($A41,Riesgos!$A$7:$H$84,7,FALSE),"")</f>
        <v/>
      </c>
      <c r="D41" s="272" t="str">
        <f>IFERROR(VLOOKUP($A41,Riesgos!$A$7:$H$84,8,FALSE),"")</f>
        <v/>
      </c>
      <c r="E41" s="273"/>
      <c r="F41" s="274"/>
      <c r="G41" s="137" t="str">
        <f>IF(ISNUMBER(F41),VLOOKUP(F41,'Listas y tablas'!$AC$2:$AF$7,2,FALSE),"")</f>
        <v/>
      </c>
      <c r="H41" s="274"/>
      <c r="I41" s="274"/>
      <c r="J41" s="274"/>
      <c r="K41" s="274"/>
      <c r="L41" s="274"/>
      <c r="M41" s="274"/>
      <c r="N41" s="274"/>
      <c r="O41" s="274"/>
      <c r="P41" s="274"/>
      <c r="Q41" s="274"/>
      <c r="R41" s="274"/>
      <c r="S41" s="274"/>
      <c r="T41" s="274"/>
      <c r="U41" s="274"/>
      <c r="V41" s="274"/>
      <c r="W41" s="274"/>
      <c r="X41" s="274"/>
      <c r="Y41" s="274"/>
      <c r="Z41" s="274"/>
      <c r="AA41" s="137">
        <f t="shared" si="1"/>
        <v>0</v>
      </c>
      <c r="AB41" s="279" t="str">
        <f t="shared" si="2"/>
        <v/>
      </c>
      <c r="AC41" s="280" t="str">
        <f t="shared" si="3"/>
        <v/>
      </c>
      <c r="AD41" s="281" t="str">
        <f>IFERROR(VLOOKUP(AC41,'Listas y tablas'!$AH$3:$AI$17,2,FALSE),"")</f>
        <v/>
      </c>
      <c r="AE41" s="280" t="str">
        <f t="shared" si="4"/>
        <v>C</v>
      </c>
      <c r="AF41" s="282">
        <f t="shared" ref="AF41:AF67" si="23">IF(ISTEXT(D41),1+AF40,"")</f>
        <v>34</v>
      </c>
      <c r="AG41" s="282" t="str">
        <f t="shared" si="6"/>
        <v>C34</v>
      </c>
      <c r="AH41" s="286"/>
      <c r="AI41" s="282" t="str">
        <f t="shared" ref="AI41:AI46" si="24">IF(OR(AJ41="Preventivo",AJ41="Detectivo"),"Probabilidad",IF(AJ41="Correctivo","Impacto",""))</f>
        <v/>
      </c>
      <c r="AJ41" s="284"/>
      <c r="AK41" s="284"/>
      <c r="AL41" s="285">
        <f t="shared" si="7"/>
        <v>0</v>
      </c>
      <c r="AM41" s="284"/>
      <c r="AN41" s="285">
        <f t="shared" si="8"/>
        <v>0</v>
      </c>
      <c r="AO41" s="284"/>
      <c r="AP41" s="285">
        <f t="shared" si="9"/>
        <v>0</v>
      </c>
      <c r="AQ41" s="284"/>
      <c r="AR41" s="285">
        <f t="shared" si="10"/>
        <v>0</v>
      </c>
      <c r="AS41" s="284"/>
      <c r="AT41" s="285">
        <f t="shared" si="11"/>
        <v>0</v>
      </c>
      <c r="AU41" s="284"/>
      <c r="AV41" s="285">
        <f t="shared" si="12"/>
        <v>0</v>
      </c>
      <c r="AW41" s="284"/>
      <c r="AX41" s="282">
        <f t="shared" si="13"/>
        <v>0</v>
      </c>
      <c r="AY41" s="282">
        <f t="shared" si="14"/>
        <v>0</v>
      </c>
      <c r="AZ41" s="282">
        <f t="shared" si="15"/>
        <v>0</v>
      </c>
      <c r="BA41" s="282" t="str">
        <f t="shared" si="16"/>
        <v/>
      </c>
      <c r="BB41" s="282" t="str">
        <f>IFERROR(IF(ISNUMBER(BA41),VLOOKUP(BA41,'Listas y tablas'!$AC$2:$AF$7,2,FALSE),""),"")</f>
        <v/>
      </c>
      <c r="BC41" s="282" t="str">
        <f t="shared" si="22"/>
        <v/>
      </c>
      <c r="BD41" s="291" t="str">
        <f>IFERROR(VLOOKUP(BC41,'Listas y tablas'!$AH$3:$AI$17,2,FALSE),"")</f>
        <v/>
      </c>
      <c r="BE41" s="299"/>
      <c r="BF41" s="311"/>
      <c r="BG41" s="306"/>
      <c r="BH41" s="306"/>
      <c r="BI41" s="306"/>
      <c r="BJ41" s="306"/>
      <c r="BK41" s="306"/>
      <c r="BL41" s="306"/>
      <c r="BM41" s="306"/>
      <c r="BN41" s="306"/>
      <c r="BO41" s="306"/>
      <c r="BP41" s="306"/>
      <c r="BQ41" s="150"/>
      <c r="BR41" s="163"/>
      <c r="BS41" s="163"/>
      <c r="BT41" s="163"/>
      <c r="BU41" s="326"/>
      <c r="BV41" s="326"/>
      <c r="BW41" s="163"/>
      <c r="BX41" s="163"/>
      <c r="BY41" s="171"/>
      <c r="BZ41" s="323"/>
      <c r="CA41" s="324"/>
      <c r="CB41" s="181"/>
      <c r="CC41" s="182"/>
      <c r="CD41" s="181"/>
      <c r="CE41" s="181"/>
      <c r="CF41" s="183"/>
      <c r="CG41" s="323"/>
      <c r="CH41" s="327"/>
      <c r="CI41" s="192"/>
      <c r="CJ41" s="193"/>
      <c r="CK41" s="194"/>
      <c r="CL41" s="194"/>
      <c r="CM41" s="194"/>
      <c r="CN41" s="194"/>
      <c r="CO41" s="194"/>
      <c r="CP41" s="194"/>
      <c r="CQ41" s="194"/>
      <c r="CR41" s="204"/>
      <c r="CS41" s="205"/>
      <c r="CT41" s="206"/>
      <c r="CU41" s="206"/>
      <c r="CV41" s="206"/>
      <c r="CW41" s="206"/>
      <c r="CX41" s="206"/>
      <c r="CY41" s="213"/>
      <c r="CZ41" s="214"/>
      <c r="DA41" s="206"/>
      <c r="DB41" s="213"/>
      <c r="DC41" s="215"/>
      <c r="DD41" s="216"/>
      <c r="DE41" s="216"/>
      <c r="DF41" s="216"/>
      <c r="DG41" s="216"/>
      <c r="DH41" s="216"/>
      <c r="DI41" s="216"/>
      <c r="DJ41" s="216"/>
      <c r="DK41" s="225"/>
      <c r="DL41" s="226"/>
      <c r="DM41" s="227"/>
      <c r="DN41" s="227"/>
      <c r="DO41" s="227"/>
      <c r="DP41" s="227"/>
      <c r="DQ41" s="227"/>
      <c r="DR41" s="234"/>
      <c r="DS41" s="226"/>
      <c r="DT41" s="227"/>
      <c r="DU41" s="234"/>
    </row>
    <row r="42" spans="1:125">
      <c r="A42" s="271"/>
      <c r="B42" s="272" t="str">
        <f>IFERROR(VLOOKUP($A42,Riesgos!$A$7:$H$84,2,FALSE),"")</f>
        <v/>
      </c>
      <c r="C42" s="272" t="str">
        <f>IFERROR(VLOOKUP($A42,Riesgos!$A$7:$H$84,7,FALSE),"")</f>
        <v/>
      </c>
      <c r="D42" s="272" t="str">
        <f>IFERROR(VLOOKUP($A42,Riesgos!$A$7:$H$84,8,FALSE),"")</f>
        <v/>
      </c>
      <c r="E42" s="273"/>
      <c r="F42" s="274"/>
      <c r="G42" s="137" t="str">
        <f>IF(ISNUMBER(F42),VLOOKUP(F42,'Listas y tablas'!$AC$2:$AF$7,2,FALSE),"")</f>
        <v/>
      </c>
      <c r="H42" s="274"/>
      <c r="I42" s="274"/>
      <c r="J42" s="274"/>
      <c r="K42" s="274"/>
      <c r="L42" s="274"/>
      <c r="M42" s="274"/>
      <c r="N42" s="274"/>
      <c r="O42" s="274"/>
      <c r="P42" s="274"/>
      <c r="Q42" s="274"/>
      <c r="R42" s="274"/>
      <c r="S42" s="274"/>
      <c r="T42" s="274"/>
      <c r="U42" s="274"/>
      <c r="V42" s="274"/>
      <c r="W42" s="274"/>
      <c r="X42" s="274"/>
      <c r="Y42" s="274"/>
      <c r="Z42" s="274"/>
      <c r="AA42" s="137">
        <f t="shared" si="1"/>
        <v>0</v>
      </c>
      <c r="AB42" s="279" t="str">
        <f t="shared" si="2"/>
        <v/>
      </c>
      <c r="AC42" s="280" t="str">
        <f t="shared" si="3"/>
        <v/>
      </c>
      <c r="AD42" s="281" t="str">
        <f>IFERROR(VLOOKUP(AC42,'Listas y tablas'!$AH$3:$AI$17,2,FALSE),"")</f>
        <v/>
      </c>
      <c r="AE42" s="280" t="str">
        <f t="shared" si="4"/>
        <v>C</v>
      </c>
      <c r="AF42" s="282">
        <f t="shared" si="23"/>
        <v>35</v>
      </c>
      <c r="AG42" s="282" t="str">
        <f t="shared" si="6"/>
        <v>C35</v>
      </c>
      <c r="AH42" s="286"/>
      <c r="AI42" s="282" t="str">
        <f t="shared" si="24"/>
        <v/>
      </c>
      <c r="AJ42" s="284"/>
      <c r="AK42" s="284"/>
      <c r="AL42" s="285">
        <f t="shared" si="7"/>
        <v>0</v>
      </c>
      <c r="AM42" s="284"/>
      <c r="AN42" s="285">
        <f t="shared" si="8"/>
        <v>0</v>
      </c>
      <c r="AO42" s="284"/>
      <c r="AP42" s="285">
        <f t="shared" si="9"/>
        <v>0</v>
      </c>
      <c r="AQ42" s="284"/>
      <c r="AR42" s="285">
        <f t="shared" si="10"/>
        <v>0</v>
      </c>
      <c r="AS42" s="284"/>
      <c r="AT42" s="285">
        <f t="shared" si="11"/>
        <v>0</v>
      </c>
      <c r="AU42" s="284"/>
      <c r="AV42" s="285">
        <f t="shared" si="12"/>
        <v>0</v>
      </c>
      <c r="AW42" s="284"/>
      <c r="AX42" s="282">
        <f t="shared" si="13"/>
        <v>0</v>
      </c>
      <c r="AY42" s="282">
        <f t="shared" si="14"/>
        <v>0</v>
      </c>
      <c r="AZ42" s="282">
        <f t="shared" si="15"/>
        <v>0</v>
      </c>
      <c r="BA42" s="282" t="str">
        <f t="shared" si="16"/>
        <v/>
      </c>
      <c r="BB42" s="282" t="str">
        <f>IFERROR(IF(ISNUMBER(BA42),VLOOKUP(BA42,'Listas y tablas'!$AC$2:$AF$7,2,FALSE),""),"")</f>
        <v/>
      </c>
      <c r="BC42" s="282" t="str">
        <f t="shared" si="22"/>
        <v/>
      </c>
      <c r="BD42" s="291" t="str">
        <f>IFERROR(VLOOKUP(BC42,'Listas y tablas'!$AH$3:$AI$17,2,FALSE),"")</f>
        <v/>
      </c>
      <c r="BE42" s="299"/>
      <c r="BF42" s="311"/>
      <c r="BG42" s="306"/>
      <c r="BH42" s="306"/>
      <c r="BI42" s="306"/>
      <c r="BJ42" s="306"/>
      <c r="BK42" s="306"/>
      <c r="BL42" s="306"/>
      <c r="BM42" s="306"/>
      <c r="BN42" s="306"/>
      <c r="BO42" s="306"/>
      <c r="BP42" s="306"/>
      <c r="BQ42" s="150"/>
      <c r="BR42" s="163"/>
      <c r="BS42" s="163"/>
      <c r="BT42" s="163"/>
      <c r="BU42" s="326"/>
      <c r="BV42" s="326"/>
      <c r="BW42" s="163"/>
      <c r="BX42" s="163"/>
      <c r="BY42" s="171"/>
      <c r="BZ42" s="323"/>
      <c r="CA42" s="324"/>
      <c r="CB42" s="181"/>
      <c r="CC42" s="182"/>
      <c r="CD42" s="181"/>
      <c r="CE42" s="181"/>
      <c r="CF42" s="183"/>
      <c r="CG42" s="323"/>
      <c r="CH42" s="327"/>
      <c r="CI42" s="192"/>
      <c r="CJ42" s="193"/>
      <c r="CK42" s="194"/>
      <c r="CL42" s="194"/>
      <c r="CM42" s="194"/>
      <c r="CN42" s="194"/>
      <c r="CO42" s="194"/>
      <c r="CP42" s="194"/>
      <c r="CQ42" s="194"/>
      <c r="CR42" s="204"/>
      <c r="CS42" s="205"/>
      <c r="CT42" s="206"/>
      <c r="CU42" s="206"/>
      <c r="CV42" s="206"/>
      <c r="CW42" s="206"/>
      <c r="CX42" s="206"/>
      <c r="CY42" s="213"/>
      <c r="CZ42" s="214"/>
      <c r="DA42" s="206"/>
      <c r="DB42" s="213"/>
      <c r="DC42" s="215"/>
      <c r="DD42" s="216"/>
      <c r="DE42" s="216"/>
      <c r="DF42" s="216"/>
      <c r="DG42" s="216"/>
      <c r="DH42" s="216"/>
      <c r="DI42" s="216"/>
      <c r="DJ42" s="216"/>
      <c r="DK42" s="225"/>
      <c r="DL42" s="226"/>
      <c r="DM42" s="227"/>
      <c r="DN42" s="227"/>
      <c r="DO42" s="227"/>
      <c r="DP42" s="227"/>
      <c r="DQ42" s="227"/>
      <c r="DR42" s="234"/>
      <c r="DS42" s="226"/>
      <c r="DT42" s="227"/>
      <c r="DU42" s="234"/>
    </row>
    <row r="43" spans="1:125">
      <c r="A43" s="271"/>
      <c r="B43" s="272" t="str">
        <f>IFERROR(VLOOKUP($A43,Riesgos!$A$7:$H$84,2,FALSE),"")</f>
        <v/>
      </c>
      <c r="C43" s="272" t="str">
        <f>IFERROR(VLOOKUP($A43,Riesgos!$A$7:$H$84,7,FALSE),"")</f>
        <v/>
      </c>
      <c r="D43" s="272" t="str">
        <f>IFERROR(VLOOKUP($A43,Riesgos!$A$7:$H$84,8,FALSE),"")</f>
        <v/>
      </c>
      <c r="E43" s="273"/>
      <c r="F43" s="274"/>
      <c r="G43" s="137" t="str">
        <f>IF(ISNUMBER(F43),VLOOKUP(F43,'Listas y tablas'!$AC$2:$AF$7,2,FALSE),"")</f>
        <v/>
      </c>
      <c r="H43" s="274"/>
      <c r="I43" s="274"/>
      <c r="J43" s="274"/>
      <c r="K43" s="274"/>
      <c r="L43" s="274"/>
      <c r="M43" s="274"/>
      <c r="N43" s="274"/>
      <c r="O43" s="274"/>
      <c r="P43" s="274"/>
      <c r="Q43" s="274"/>
      <c r="R43" s="274"/>
      <c r="S43" s="274"/>
      <c r="T43" s="274"/>
      <c r="U43" s="274"/>
      <c r="V43" s="274"/>
      <c r="W43" s="274"/>
      <c r="X43" s="274"/>
      <c r="Y43" s="274"/>
      <c r="Z43" s="274"/>
      <c r="AA43" s="137">
        <f t="shared" si="1"/>
        <v>0</v>
      </c>
      <c r="AB43" s="279" t="str">
        <f t="shared" si="2"/>
        <v/>
      </c>
      <c r="AC43" s="280" t="str">
        <f t="shared" si="3"/>
        <v/>
      </c>
      <c r="AD43" s="281" t="str">
        <f>IFERROR(VLOOKUP(AC43,'Listas y tablas'!$AH$3:$AI$17,2,FALSE),"")</f>
        <v/>
      </c>
      <c r="AE43" s="280" t="str">
        <f t="shared" si="4"/>
        <v>C</v>
      </c>
      <c r="AF43" s="282">
        <f t="shared" si="23"/>
        <v>36</v>
      </c>
      <c r="AG43" s="282" t="str">
        <f t="shared" si="6"/>
        <v>C36</v>
      </c>
      <c r="AH43" s="286"/>
      <c r="AI43" s="282" t="str">
        <f t="shared" si="24"/>
        <v/>
      </c>
      <c r="AJ43" s="284"/>
      <c r="AK43" s="284"/>
      <c r="AL43" s="285">
        <f t="shared" si="7"/>
        <v>0</v>
      </c>
      <c r="AM43" s="284"/>
      <c r="AN43" s="285">
        <f t="shared" si="8"/>
        <v>0</v>
      </c>
      <c r="AO43" s="284"/>
      <c r="AP43" s="285">
        <f t="shared" si="9"/>
        <v>0</v>
      </c>
      <c r="AQ43" s="284"/>
      <c r="AR43" s="285">
        <f t="shared" si="10"/>
        <v>0</v>
      </c>
      <c r="AS43" s="284"/>
      <c r="AT43" s="285">
        <f t="shared" si="11"/>
        <v>0</v>
      </c>
      <c r="AU43" s="284"/>
      <c r="AV43" s="285">
        <f t="shared" si="12"/>
        <v>0</v>
      </c>
      <c r="AW43" s="284"/>
      <c r="AX43" s="282">
        <f t="shared" si="13"/>
        <v>0</v>
      </c>
      <c r="AY43" s="282">
        <f t="shared" si="14"/>
        <v>0</v>
      </c>
      <c r="AZ43" s="282">
        <f t="shared" si="15"/>
        <v>0</v>
      </c>
      <c r="BA43" s="282" t="str">
        <f t="shared" si="16"/>
        <v/>
      </c>
      <c r="BB43" s="282" t="str">
        <f>IFERROR(IF(ISNUMBER(BA43),VLOOKUP(BA43,'Listas y tablas'!$AC$2:$AF$7,2,FALSE),""),"")</f>
        <v/>
      </c>
      <c r="BC43" s="282" t="str">
        <f t="shared" si="22"/>
        <v/>
      </c>
      <c r="BD43" s="291" t="str">
        <f>IFERROR(VLOOKUP(BC43,'Listas y tablas'!$AH$3:$AI$17,2,FALSE),"")</f>
        <v/>
      </c>
      <c r="BE43" s="299"/>
      <c r="BF43" s="311"/>
      <c r="BG43" s="306"/>
      <c r="BH43" s="306"/>
      <c r="BI43" s="306"/>
      <c r="BJ43" s="306"/>
      <c r="BK43" s="306"/>
      <c r="BL43" s="306"/>
      <c r="BM43" s="306"/>
      <c r="BN43" s="306"/>
      <c r="BO43" s="306"/>
      <c r="BP43" s="306"/>
      <c r="BQ43" s="150"/>
      <c r="BR43" s="163"/>
      <c r="BS43" s="163"/>
      <c r="BT43" s="163"/>
      <c r="BU43" s="326"/>
      <c r="BV43" s="326"/>
      <c r="BW43" s="163"/>
      <c r="BX43" s="163"/>
      <c r="BY43" s="171"/>
      <c r="BZ43" s="323"/>
      <c r="CA43" s="324"/>
      <c r="CB43" s="181"/>
      <c r="CC43" s="182"/>
      <c r="CD43" s="181"/>
      <c r="CE43" s="181"/>
      <c r="CF43" s="183"/>
      <c r="CG43" s="323"/>
      <c r="CH43" s="327"/>
      <c r="CI43" s="192"/>
      <c r="CJ43" s="193"/>
      <c r="CK43" s="194"/>
      <c r="CL43" s="194"/>
      <c r="CM43" s="194"/>
      <c r="CN43" s="194"/>
      <c r="CO43" s="194"/>
      <c r="CP43" s="194"/>
      <c r="CQ43" s="194"/>
      <c r="CR43" s="204"/>
      <c r="CS43" s="205"/>
      <c r="CT43" s="206"/>
      <c r="CU43" s="206"/>
      <c r="CV43" s="206"/>
      <c r="CW43" s="206"/>
      <c r="CX43" s="206"/>
      <c r="CY43" s="213"/>
      <c r="CZ43" s="214"/>
      <c r="DA43" s="206"/>
      <c r="DB43" s="213"/>
      <c r="DC43" s="215"/>
      <c r="DD43" s="216"/>
      <c r="DE43" s="216"/>
      <c r="DF43" s="216"/>
      <c r="DG43" s="216"/>
      <c r="DH43" s="216"/>
      <c r="DI43" s="216"/>
      <c r="DJ43" s="216"/>
      <c r="DK43" s="225"/>
      <c r="DL43" s="226"/>
      <c r="DM43" s="227"/>
      <c r="DN43" s="227"/>
      <c r="DO43" s="227"/>
      <c r="DP43" s="227"/>
      <c r="DQ43" s="227"/>
      <c r="DR43" s="234"/>
      <c r="DS43" s="226"/>
      <c r="DT43" s="227"/>
      <c r="DU43" s="234"/>
    </row>
    <row r="44" spans="1:125">
      <c r="A44" s="271"/>
      <c r="B44" s="272" t="str">
        <f>IFERROR(VLOOKUP($A44,Riesgos!$A$7:$H$84,2,FALSE),"")</f>
        <v/>
      </c>
      <c r="C44" s="272" t="str">
        <f>IFERROR(VLOOKUP($A44,Riesgos!$A$7:$H$84,7,FALSE),"")</f>
        <v/>
      </c>
      <c r="D44" s="272" t="str">
        <f>IFERROR(VLOOKUP($A44,Riesgos!$A$7:$H$84,8,FALSE),"")</f>
        <v/>
      </c>
      <c r="E44" s="273"/>
      <c r="F44" s="274"/>
      <c r="G44" s="137" t="str">
        <f>IF(ISNUMBER(F44),VLOOKUP(F44,'Listas y tablas'!$AC$2:$AF$7,2,FALSE),"")</f>
        <v/>
      </c>
      <c r="H44" s="274"/>
      <c r="I44" s="274"/>
      <c r="J44" s="274"/>
      <c r="K44" s="274"/>
      <c r="L44" s="274"/>
      <c r="M44" s="274"/>
      <c r="N44" s="274"/>
      <c r="O44" s="274"/>
      <c r="P44" s="274"/>
      <c r="Q44" s="274"/>
      <c r="R44" s="274"/>
      <c r="S44" s="274"/>
      <c r="T44" s="274"/>
      <c r="U44" s="274"/>
      <c r="V44" s="274"/>
      <c r="W44" s="274"/>
      <c r="X44" s="274"/>
      <c r="Y44" s="274"/>
      <c r="Z44" s="274"/>
      <c r="AA44" s="137">
        <f t="shared" si="1"/>
        <v>0</v>
      </c>
      <c r="AB44" s="279" t="str">
        <f t="shared" si="2"/>
        <v/>
      </c>
      <c r="AC44" s="280" t="str">
        <f t="shared" si="3"/>
        <v/>
      </c>
      <c r="AD44" s="281" t="str">
        <f>IFERROR(VLOOKUP(AC44,'Listas y tablas'!$AH$3:$AI$17,2,FALSE),"")</f>
        <v/>
      </c>
      <c r="AE44" s="280" t="str">
        <f t="shared" si="4"/>
        <v>C</v>
      </c>
      <c r="AF44" s="282">
        <f t="shared" si="23"/>
        <v>37</v>
      </c>
      <c r="AG44" s="282" t="str">
        <f t="shared" si="6"/>
        <v>C37</v>
      </c>
      <c r="AH44" s="286"/>
      <c r="AI44" s="282" t="str">
        <f t="shared" si="24"/>
        <v/>
      </c>
      <c r="AJ44" s="284"/>
      <c r="AK44" s="284"/>
      <c r="AL44" s="285">
        <f t="shared" si="7"/>
        <v>0</v>
      </c>
      <c r="AM44" s="284"/>
      <c r="AN44" s="285">
        <f t="shared" si="8"/>
        <v>0</v>
      </c>
      <c r="AO44" s="284"/>
      <c r="AP44" s="285">
        <f t="shared" si="9"/>
        <v>0</v>
      </c>
      <c r="AQ44" s="284"/>
      <c r="AR44" s="285">
        <f t="shared" si="10"/>
        <v>0</v>
      </c>
      <c r="AS44" s="284"/>
      <c r="AT44" s="285">
        <f t="shared" si="11"/>
        <v>0</v>
      </c>
      <c r="AU44" s="284"/>
      <c r="AV44" s="285">
        <f t="shared" si="12"/>
        <v>0</v>
      </c>
      <c r="AW44" s="284"/>
      <c r="AX44" s="282">
        <f t="shared" si="13"/>
        <v>0</v>
      </c>
      <c r="AY44" s="282">
        <f t="shared" si="14"/>
        <v>0</v>
      </c>
      <c r="AZ44" s="282">
        <f t="shared" si="15"/>
        <v>0</v>
      </c>
      <c r="BA44" s="282" t="str">
        <f t="shared" si="16"/>
        <v/>
      </c>
      <c r="BB44" s="282" t="str">
        <f>IFERROR(IF(ISNUMBER(BA44),VLOOKUP(BA44,'Listas y tablas'!$AC$2:$AF$7,2,FALSE),""),"")</f>
        <v/>
      </c>
      <c r="BC44" s="282" t="str">
        <f t="shared" si="22"/>
        <v/>
      </c>
      <c r="BD44" s="291" t="str">
        <f>IFERROR(VLOOKUP(BC44,'Listas y tablas'!$AH$3:$AI$17,2,FALSE),"")</f>
        <v/>
      </c>
      <c r="BE44" s="299"/>
      <c r="BF44" s="311"/>
      <c r="BG44" s="306"/>
      <c r="BH44" s="306"/>
      <c r="BI44" s="306"/>
      <c r="BJ44" s="306"/>
      <c r="BK44" s="306"/>
      <c r="BL44" s="306"/>
      <c r="BM44" s="306"/>
      <c r="BN44" s="306"/>
      <c r="BO44" s="306"/>
      <c r="BP44" s="306"/>
      <c r="BQ44" s="150"/>
      <c r="BR44" s="163"/>
      <c r="BS44" s="163"/>
      <c r="BT44" s="163"/>
      <c r="BU44" s="326"/>
      <c r="BV44" s="326"/>
      <c r="BW44" s="163"/>
      <c r="BX44" s="163"/>
      <c r="BY44" s="171"/>
      <c r="BZ44" s="323"/>
      <c r="CA44" s="324"/>
      <c r="CB44" s="181"/>
      <c r="CC44" s="182"/>
      <c r="CD44" s="181"/>
      <c r="CE44" s="181"/>
      <c r="CF44" s="183"/>
      <c r="CG44" s="323"/>
      <c r="CH44" s="327"/>
      <c r="CI44" s="192"/>
      <c r="CJ44" s="193"/>
      <c r="CK44" s="194"/>
      <c r="CL44" s="194"/>
      <c r="CM44" s="194"/>
      <c r="CN44" s="194"/>
      <c r="CO44" s="194"/>
      <c r="CP44" s="194"/>
      <c r="CQ44" s="194"/>
      <c r="CR44" s="204"/>
      <c r="CS44" s="205"/>
      <c r="CT44" s="206"/>
      <c r="CU44" s="206"/>
      <c r="CV44" s="206"/>
      <c r="CW44" s="206"/>
      <c r="CX44" s="206"/>
      <c r="CY44" s="213"/>
      <c r="CZ44" s="214"/>
      <c r="DA44" s="206"/>
      <c r="DB44" s="213"/>
      <c r="DC44" s="215"/>
      <c r="DD44" s="216"/>
      <c r="DE44" s="216"/>
      <c r="DF44" s="216"/>
      <c r="DG44" s="216"/>
      <c r="DH44" s="216"/>
      <c r="DI44" s="216"/>
      <c r="DJ44" s="216"/>
      <c r="DK44" s="225"/>
      <c r="DL44" s="226"/>
      <c r="DM44" s="227"/>
      <c r="DN44" s="227"/>
      <c r="DO44" s="227"/>
      <c r="DP44" s="227"/>
      <c r="DQ44" s="227"/>
      <c r="DR44" s="234"/>
      <c r="DS44" s="226"/>
      <c r="DT44" s="227"/>
      <c r="DU44" s="234"/>
    </row>
    <row r="45" spans="1:125">
      <c r="A45" s="271"/>
      <c r="B45" s="272" t="str">
        <f>IFERROR(VLOOKUP($A45,Riesgos!$A$7:$H$84,2,FALSE),"")</f>
        <v/>
      </c>
      <c r="C45" s="272" t="str">
        <f>IFERROR(VLOOKUP($A45,Riesgos!$A$7:$H$84,7,FALSE),"")</f>
        <v/>
      </c>
      <c r="D45" s="272" t="str">
        <f>IFERROR(VLOOKUP($A45,Riesgos!$A$7:$H$84,8,FALSE),"")</f>
        <v/>
      </c>
      <c r="E45" s="273"/>
      <c r="F45" s="274"/>
      <c r="G45" s="137" t="str">
        <f>IF(ISNUMBER(F45),VLOOKUP(F45,'Listas y tablas'!$AC$2:$AF$7,2,FALSE),"")</f>
        <v/>
      </c>
      <c r="H45" s="274"/>
      <c r="I45" s="274"/>
      <c r="J45" s="274"/>
      <c r="K45" s="274"/>
      <c r="L45" s="274"/>
      <c r="M45" s="274"/>
      <c r="N45" s="274"/>
      <c r="O45" s="274"/>
      <c r="P45" s="274"/>
      <c r="Q45" s="274"/>
      <c r="R45" s="274"/>
      <c r="S45" s="274"/>
      <c r="T45" s="274"/>
      <c r="U45" s="274"/>
      <c r="V45" s="274"/>
      <c r="W45" s="274"/>
      <c r="X45" s="274"/>
      <c r="Y45" s="274"/>
      <c r="Z45" s="274"/>
      <c r="AA45" s="137">
        <f t="shared" si="1"/>
        <v>0</v>
      </c>
      <c r="AB45" s="279" t="str">
        <f t="shared" si="2"/>
        <v/>
      </c>
      <c r="AC45" s="280" t="str">
        <f t="shared" si="3"/>
        <v/>
      </c>
      <c r="AD45" s="281" t="str">
        <f>IFERROR(VLOOKUP(AC45,'Listas y tablas'!$AH$3:$AI$17,2,FALSE),"")</f>
        <v/>
      </c>
      <c r="AE45" s="280" t="str">
        <f t="shared" si="4"/>
        <v>C</v>
      </c>
      <c r="AF45" s="282">
        <f t="shared" si="23"/>
        <v>38</v>
      </c>
      <c r="AG45" s="282" t="str">
        <f t="shared" si="6"/>
        <v>C38</v>
      </c>
      <c r="AH45" s="286"/>
      <c r="AI45" s="282" t="str">
        <f t="shared" si="24"/>
        <v/>
      </c>
      <c r="AJ45" s="284"/>
      <c r="AK45" s="284"/>
      <c r="AL45" s="285">
        <f t="shared" si="7"/>
        <v>0</v>
      </c>
      <c r="AM45" s="284"/>
      <c r="AN45" s="285">
        <f t="shared" si="8"/>
        <v>0</v>
      </c>
      <c r="AO45" s="284"/>
      <c r="AP45" s="285">
        <f t="shared" si="9"/>
        <v>0</v>
      </c>
      <c r="AQ45" s="284"/>
      <c r="AR45" s="285">
        <f t="shared" si="10"/>
        <v>0</v>
      </c>
      <c r="AS45" s="284"/>
      <c r="AT45" s="285">
        <f t="shared" si="11"/>
        <v>0</v>
      </c>
      <c r="AU45" s="284"/>
      <c r="AV45" s="285">
        <f t="shared" si="12"/>
        <v>0</v>
      </c>
      <c r="AW45" s="284"/>
      <c r="AX45" s="282">
        <f t="shared" si="13"/>
        <v>0</v>
      </c>
      <c r="AY45" s="282">
        <f t="shared" si="14"/>
        <v>0</v>
      </c>
      <c r="AZ45" s="282">
        <f t="shared" si="15"/>
        <v>0</v>
      </c>
      <c r="BA45" s="282" t="str">
        <f t="shared" si="16"/>
        <v/>
      </c>
      <c r="BB45" s="282" t="str">
        <f>IFERROR(IF(ISNUMBER(BA45),VLOOKUP(BA45,'Listas y tablas'!$AC$2:$AF$7,2,FALSE),""),"")</f>
        <v/>
      </c>
      <c r="BC45" s="282" t="str">
        <f t="shared" si="22"/>
        <v/>
      </c>
      <c r="BD45" s="291" t="str">
        <f>IFERROR(VLOOKUP(BC45,'Listas y tablas'!$AH$3:$AI$17,2,FALSE),"")</f>
        <v/>
      </c>
      <c r="BE45" s="299"/>
      <c r="BF45" s="311"/>
      <c r="BG45" s="306"/>
      <c r="BH45" s="306"/>
      <c r="BI45" s="306"/>
      <c r="BJ45" s="306"/>
      <c r="BK45" s="306"/>
      <c r="BL45" s="306"/>
      <c r="BM45" s="306"/>
      <c r="BN45" s="306"/>
      <c r="BO45" s="306"/>
      <c r="BP45" s="306"/>
      <c r="BQ45" s="150"/>
      <c r="BR45" s="163"/>
      <c r="BS45" s="163"/>
      <c r="BT45" s="163"/>
      <c r="BU45" s="326"/>
      <c r="BV45" s="326"/>
      <c r="BW45" s="163"/>
      <c r="BX45" s="163"/>
      <c r="BY45" s="171"/>
      <c r="BZ45" s="323"/>
      <c r="CA45" s="324"/>
      <c r="CB45" s="181"/>
      <c r="CC45" s="182"/>
      <c r="CD45" s="181"/>
      <c r="CE45" s="181"/>
      <c r="CF45" s="183"/>
      <c r="CG45" s="323"/>
      <c r="CH45" s="327"/>
      <c r="CI45" s="192"/>
      <c r="CJ45" s="193"/>
      <c r="CK45" s="194"/>
      <c r="CL45" s="194"/>
      <c r="CM45" s="194"/>
      <c r="CN45" s="194"/>
      <c r="CO45" s="194"/>
      <c r="CP45" s="194"/>
      <c r="CQ45" s="194"/>
      <c r="CR45" s="204"/>
      <c r="CS45" s="205"/>
      <c r="CT45" s="206"/>
      <c r="CU45" s="206"/>
      <c r="CV45" s="206"/>
      <c r="CW45" s="206"/>
      <c r="CX45" s="206"/>
      <c r="CY45" s="213"/>
      <c r="CZ45" s="214"/>
      <c r="DA45" s="206"/>
      <c r="DB45" s="213"/>
      <c r="DC45" s="215"/>
      <c r="DD45" s="216"/>
      <c r="DE45" s="216"/>
      <c r="DF45" s="216"/>
      <c r="DG45" s="216"/>
      <c r="DH45" s="216"/>
      <c r="DI45" s="216"/>
      <c r="DJ45" s="216"/>
      <c r="DK45" s="225"/>
      <c r="DL45" s="226"/>
      <c r="DM45" s="227"/>
      <c r="DN45" s="227"/>
      <c r="DO45" s="227"/>
      <c r="DP45" s="227"/>
      <c r="DQ45" s="227"/>
      <c r="DR45" s="234"/>
      <c r="DS45" s="226"/>
      <c r="DT45" s="227"/>
      <c r="DU45" s="234"/>
    </row>
    <row r="46" spans="1:125">
      <c r="A46" s="271"/>
      <c r="B46" s="272" t="str">
        <f>IFERROR(VLOOKUP($A46,Riesgos!$A$7:$H$84,2,FALSE),"")</f>
        <v/>
      </c>
      <c r="C46" s="272" t="str">
        <f>IFERROR(VLOOKUP($A46,Riesgos!$A$7:$H$84,7,FALSE),"")</f>
        <v/>
      </c>
      <c r="D46" s="272" t="str">
        <f>IFERROR(VLOOKUP($A46,Riesgos!$A$7:$H$84,8,FALSE),"")</f>
        <v/>
      </c>
      <c r="E46" s="273"/>
      <c r="F46" s="274"/>
      <c r="G46" s="137" t="str">
        <f>IF(ISNUMBER(F46),VLOOKUP(F46,'Listas y tablas'!$AC$2:$AF$7,2,FALSE),"")</f>
        <v/>
      </c>
      <c r="H46" s="274"/>
      <c r="I46" s="274"/>
      <c r="J46" s="274"/>
      <c r="K46" s="274"/>
      <c r="L46" s="274"/>
      <c r="M46" s="274"/>
      <c r="N46" s="274"/>
      <c r="O46" s="274"/>
      <c r="P46" s="274"/>
      <c r="Q46" s="274"/>
      <c r="R46" s="274"/>
      <c r="S46" s="274"/>
      <c r="T46" s="274"/>
      <c r="U46" s="274"/>
      <c r="V46" s="274"/>
      <c r="W46" s="274"/>
      <c r="X46" s="274"/>
      <c r="Y46" s="274"/>
      <c r="Z46" s="274"/>
      <c r="AA46" s="137">
        <f t="shared" si="1"/>
        <v>0</v>
      </c>
      <c r="AB46" s="279" t="str">
        <f t="shared" si="2"/>
        <v/>
      </c>
      <c r="AC46" s="280" t="str">
        <f t="shared" si="3"/>
        <v/>
      </c>
      <c r="AD46" s="281" t="str">
        <f>IFERROR(VLOOKUP(AC46,'Listas y tablas'!$AH$3:$AI$17,2,FALSE),"")</f>
        <v/>
      </c>
      <c r="AE46" s="280" t="str">
        <f t="shared" si="4"/>
        <v>C</v>
      </c>
      <c r="AF46" s="282">
        <f t="shared" si="23"/>
        <v>39</v>
      </c>
      <c r="AG46" s="282" t="str">
        <f t="shared" si="6"/>
        <v>C39</v>
      </c>
      <c r="AH46" s="287"/>
      <c r="AI46" s="282" t="str">
        <f t="shared" si="24"/>
        <v/>
      </c>
      <c r="AJ46" s="284"/>
      <c r="AK46" s="284"/>
      <c r="AL46" s="285">
        <f t="shared" si="7"/>
        <v>0</v>
      </c>
      <c r="AM46" s="284"/>
      <c r="AN46" s="285">
        <f t="shared" si="8"/>
        <v>0</v>
      </c>
      <c r="AO46" s="284"/>
      <c r="AP46" s="285">
        <f t="shared" si="9"/>
        <v>0</v>
      </c>
      <c r="AQ46" s="284"/>
      <c r="AR46" s="285">
        <f t="shared" si="10"/>
        <v>0</v>
      </c>
      <c r="AS46" s="284"/>
      <c r="AT46" s="285">
        <f t="shared" si="11"/>
        <v>0</v>
      </c>
      <c r="AU46" s="284"/>
      <c r="AV46" s="285">
        <f t="shared" si="12"/>
        <v>0</v>
      </c>
      <c r="AW46" s="284"/>
      <c r="AX46" s="282">
        <f t="shared" si="13"/>
        <v>0</v>
      </c>
      <c r="AY46" s="282">
        <f t="shared" si="14"/>
        <v>0</v>
      </c>
      <c r="AZ46" s="282">
        <f t="shared" si="15"/>
        <v>0</v>
      </c>
      <c r="BA46" s="282" t="str">
        <f t="shared" si="16"/>
        <v/>
      </c>
      <c r="BB46" s="282" t="str">
        <f>IFERROR(IF(ISNUMBER(BA46),VLOOKUP(BA46,'Listas y tablas'!$AC$2:$AF$7,2,FALSE),""),"")</f>
        <v/>
      </c>
      <c r="BC46" s="282" t="str">
        <f t="shared" si="22"/>
        <v/>
      </c>
      <c r="BD46" s="291" t="str">
        <f>IFERROR(VLOOKUP(BC46,'Listas y tablas'!$AH$3:$AI$17,2,FALSE),"")</f>
        <v/>
      </c>
      <c r="BE46" s="299"/>
      <c r="BF46" s="311"/>
      <c r="BG46" s="306"/>
      <c r="BH46" s="306"/>
      <c r="BI46" s="306"/>
      <c r="BJ46" s="306"/>
      <c r="BK46" s="306"/>
      <c r="BL46" s="306"/>
      <c r="BM46" s="306"/>
      <c r="BN46" s="306"/>
      <c r="BO46" s="306"/>
      <c r="BP46" s="306"/>
      <c r="BQ46" s="150"/>
      <c r="BR46" s="163"/>
      <c r="BS46" s="163"/>
      <c r="BT46" s="163"/>
      <c r="BU46" s="326"/>
      <c r="BV46" s="326"/>
      <c r="BW46" s="163"/>
      <c r="BX46" s="163"/>
      <c r="BY46" s="171"/>
      <c r="BZ46" s="323"/>
      <c r="CA46" s="324"/>
      <c r="CB46" s="181"/>
      <c r="CC46" s="182"/>
      <c r="CD46" s="181"/>
      <c r="CE46" s="181"/>
      <c r="CF46" s="183"/>
      <c r="CG46" s="323"/>
      <c r="CH46" s="327"/>
      <c r="CI46" s="192"/>
      <c r="CJ46" s="193"/>
      <c r="CK46" s="194"/>
      <c r="CL46" s="194"/>
      <c r="CM46" s="194"/>
      <c r="CN46" s="194"/>
      <c r="CO46" s="194"/>
      <c r="CP46" s="194"/>
      <c r="CQ46" s="194"/>
      <c r="CR46" s="204"/>
      <c r="CS46" s="205"/>
      <c r="CT46" s="206"/>
      <c r="CU46" s="206"/>
      <c r="CV46" s="206"/>
      <c r="CW46" s="206"/>
      <c r="CX46" s="206"/>
      <c r="CY46" s="213"/>
      <c r="CZ46" s="214"/>
      <c r="DA46" s="206"/>
      <c r="DB46" s="213"/>
      <c r="DC46" s="215"/>
      <c r="DD46" s="216"/>
      <c r="DE46" s="216"/>
      <c r="DF46" s="216"/>
      <c r="DG46" s="216"/>
      <c r="DH46" s="216"/>
      <c r="DI46" s="216"/>
      <c r="DJ46" s="216"/>
      <c r="DK46" s="225"/>
      <c r="DL46" s="226"/>
      <c r="DM46" s="227"/>
      <c r="DN46" s="227"/>
      <c r="DO46" s="227"/>
      <c r="DP46" s="227"/>
      <c r="DQ46" s="227"/>
      <c r="DR46" s="234"/>
      <c r="DS46" s="226"/>
      <c r="DT46" s="227"/>
      <c r="DU46" s="234"/>
    </row>
    <row r="47" spans="1:125">
      <c r="A47" s="271"/>
      <c r="B47" s="272" t="str">
        <f>IFERROR(VLOOKUP($A47,Riesgos!$A$7:$H$84,2,FALSE),"")</f>
        <v/>
      </c>
      <c r="C47" s="272" t="str">
        <f>IFERROR(VLOOKUP($A47,Riesgos!$A$7:$H$84,7,FALSE),"")</f>
        <v/>
      </c>
      <c r="D47" s="272" t="str">
        <f>IFERROR(VLOOKUP($A47,Riesgos!$A$7:$H$84,8,FALSE),"")</f>
        <v/>
      </c>
      <c r="E47" s="273"/>
      <c r="F47" s="274"/>
      <c r="G47" s="137" t="str">
        <f>IF(ISNUMBER(F47),VLOOKUP(F47,'Listas y tablas'!$AC$2:$AF$7,2,FALSE),"")</f>
        <v/>
      </c>
      <c r="H47" s="274"/>
      <c r="I47" s="274"/>
      <c r="J47" s="274"/>
      <c r="K47" s="274"/>
      <c r="L47" s="274"/>
      <c r="M47" s="274"/>
      <c r="N47" s="274"/>
      <c r="O47" s="274"/>
      <c r="P47" s="274"/>
      <c r="Q47" s="274"/>
      <c r="R47" s="274"/>
      <c r="S47" s="274"/>
      <c r="T47" s="274"/>
      <c r="U47" s="274"/>
      <c r="V47" s="274"/>
      <c r="W47" s="274"/>
      <c r="X47" s="274"/>
      <c r="Y47" s="274"/>
      <c r="Z47" s="274"/>
      <c r="AA47" s="137">
        <f t="shared" si="1"/>
        <v>0</v>
      </c>
      <c r="AB47" s="279" t="str">
        <f t="shared" si="2"/>
        <v/>
      </c>
      <c r="AC47" s="280" t="str">
        <f t="shared" si="3"/>
        <v/>
      </c>
      <c r="AD47" s="281" t="str">
        <f>IFERROR(VLOOKUP(AC47,'Listas y tablas'!$AH$3:$AI$17,2,FALSE),"")</f>
        <v/>
      </c>
      <c r="AE47" s="280" t="str">
        <f t="shared" si="4"/>
        <v>C</v>
      </c>
      <c r="AF47" s="282">
        <f t="shared" si="23"/>
        <v>40</v>
      </c>
      <c r="AG47" s="282" t="str">
        <f t="shared" si="6"/>
        <v>C40</v>
      </c>
      <c r="AH47" s="286"/>
      <c r="AI47" s="282" t="str">
        <f t="shared" ref="AI47:AI52" si="25">IF(OR(AJ47="Preventivo",AJ47="Detectivo"),"Probabilidad",IF(AJ47="Correctivo","Impacto",""))</f>
        <v/>
      </c>
      <c r="AJ47" s="284"/>
      <c r="AK47" s="284"/>
      <c r="AL47" s="285">
        <f t="shared" si="7"/>
        <v>0</v>
      </c>
      <c r="AM47" s="284"/>
      <c r="AN47" s="285">
        <f t="shared" si="8"/>
        <v>0</v>
      </c>
      <c r="AO47" s="284"/>
      <c r="AP47" s="285">
        <f t="shared" si="9"/>
        <v>0</v>
      </c>
      <c r="AQ47" s="284"/>
      <c r="AR47" s="285">
        <f t="shared" si="10"/>
        <v>0</v>
      </c>
      <c r="AS47" s="284"/>
      <c r="AT47" s="285">
        <f t="shared" si="11"/>
        <v>0</v>
      </c>
      <c r="AU47" s="284"/>
      <c r="AV47" s="285">
        <f t="shared" si="12"/>
        <v>0</v>
      </c>
      <c r="AW47" s="284"/>
      <c r="AX47" s="282">
        <f t="shared" si="13"/>
        <v>0</v>
      </c>
      <c r="AY47" s="282">
        <f t="shared" si="14"/>
        <v>0</v>
      </c>
      <c r="AZ47" s="282">
        <f t="shared" si="15"/>
        <v>0</v>
      </c>
      <c r="BA47" s="282" t="str">
        <f t="shared" si="16"/>
        <v/>
      </c>
      <c r="BB47" s="282" t="str">
        <f>IFERROR(IF(ISNUMBER(BA47),VLOOKUP(BA47,'Listas y tablas'!$AC$2:$AF$7,2,FALSE),""),"")</f>
        <v/>
      </c>
      <c r="BC47" s="282" t="str">
        <f t="shared" si="22"/>
        <v/>
      </c>
      <c r="BD47" s="291" t="str">
        <f>IFERROR(VLOOKUP(BC47,'Listas y tablas'!$AH$3:$AI$17,2,FALSE),"")</f>
        <v/>
      </c>
      <c r="BE47" s="299"/>
      <c r="BF47" s="311"/>
      <c r="BG47" s="306"/>
      <c r="BH47" s="306"/>
      <c r="BI47" s="306"/>
      <c r="BJ47" s="306"/>
      <c r="BK47" s="306"/>
      <c r="BL47" s="306"/>
      <c r="BM47" s="306"/>
      <c r="BN47" s="306"/>
      <c r="BO47" s="306"/>
      <c r="BP47" s="306"/>
      <c r="BQ47" s="150"/>
      <c r="BR47" s="163"/>
      <c r="BS47" s="163"/>
      <c r="BT47" s="163"/>
      <c r="BU47" s="326"/>
      <c r="BV47" s="326"/>
      <c r="BW47" s="163"/>
      <c r="BX47" s="163"/>
      <c r="BY47" s="171"/>
      <c r="BZ47" s="323"/>
      <c r="CA47" s="324"/>
      <c r="CB47" s="181"/>
      <c r="CC47" s="182"/>
      <c r="CD47" s="181"/>
      <c r="CE47" s="181"/>
      <c r="CF47" s="183"/>
      <c r="CG47" s="323"/>
      <c r="CH47" s="327"/>
      <c r="CI47" s="192"/>
      <c r="CJ47" s="193"/>
      <c r="CK47" s="194"/>
      <c r="CL47" s="194"/>
      <c r="CM47" s="194"/>
      <c r="CN47" s="194"/>
      <c r="CO47" s="194"/>
      <c r="CP47" s="194"/>
      <c r="CQ47" s="194"/>
      <c r="CR47" s="204"/>
      <c r="CS47" s="205"/>
      <c r="CT47" s="206"/>
      <c r="CU47" s="206"/>
      <c r="CV47" s="206"/>
      <c r="CW47" s="206"/>
      <c r="CX47" s="206"/>
      <c r="CY47" s="213"/>
      <c r="CZ47" s="214"/>
      <c r="DA47" s="206"/>
      <c r="DB47" s="213"/>
      <c r="DC47" s="215"/>
      <c r="DD47" s="216"/>
      <c r="DE47" s="216"/>
      <c r="DF47" s="216"/>
      <c r="DG47" s="216"/>
      <c r="DH47" s="216"/>
      <c r="DI47" s="216"/>
      <c r="DJ47" s="216"/>
      <c r="DK47" s="225"/>
      <c r="DL47" s="226"/>
      <c r="DM47" s="227"/>
      <c r="DN47" s="227"/>
      <c r="DO47" s="227"/>
      <c r="DP47" s="227"/>
      <c r="DQ47" s="227"/>
      <c r="DR47" s="234"/>
      <c r="DS47" s="226"/>
      <c r="DT47" s="227"/>
      <c r="DU47" s="234"/>
    </row>
    <row r="48" spans="1:125">
      <c r="A48" s="271"/>
      <c r="B48" s="272" t="str">
        <f>IFERROR(VLOOKUP($A48,Riesgos!$A$7:$H$84,2,FALSE),"")</f>
        <v/>
      </c>
      <c r="C48" s="272" t="str">
        <f>IFERROR(VLOOKUP($A48,Riesgos!$A$7:$H$84,7,FALSE),"")</f>
        <v/>
      </c>
      <c r="D48" s="272" t="str">
        <f>IFERROR(VLOOKUP($A48,Riesgos!$A$7:$H$84,8,FALSE),"")</f>
        <v/>
      </c>
      <c r="E48" s="273"/>
      <c r="F48" s="274"/>
      <c r="G48" s="137" t="str">
        <f>IF(ISNUMBER(F48),VLOOKUP(F48,'Listas y tablas'!$AC$2:$AF$7,2,FALSE),"")</f>
        <v/>
      </c>
      <c r="H48" s="274"/>
      <c r="I48" s="274"/>
      <c r="J48" s="274"/>
      <c r="K48" s="274"/>
      <c r="L48" s="274"/>
      <c r="M48" s="274"/>
      <c r="N48" s="274"/>
      <c r="O48" s="274"/>
      <c r="P48" s="274"/>
      <c r="Q48" s="274"/>
      <c r="R48" s="274"/>
      <c r="S48" s="274"/>
      <c r="T48" s="274"/>
      <c r="U48" s="274"/>
      <c r="V48" s="274"/>
      <c r="W48" s="274"/>
      <c r="X48" s="274"/>
      <c r="Y48" s="274"/>
      <c r="Z48" s="274"/>
      <c r="AA48" s="137">
        <f t="shared" si="1"/>
        <v>0</v>
      </c>
      <c r="AB48" s="279" t="str">
        <f t="shared" si="2"/>
        <v/>
      </c>
      <c r="AC48" s="280" t="str">
        <f t="shared" si="3"/>
        <v/>
      </c>
      <c r="AD48" s="281" t="str">
        <f>IFERROR(VLOOKUP(AC48,'Listas y tablas'!$AH$3:$AI$17,2,FALSE),"")</f>
        <v/>
      </c>
      <c r="AE48" s="280" t="str">
        <f t="shared" si="4"/>
        <v>C</v>
      </c>
      <c r="AF48" s="282">
        <f t="shared" si="23"/>
        <v>41</v>
      </c>
      <c r="AG48" s="282" t="str">
        <f t="shared" si="6"/>
        <v>C41</v>
      </c>
      <c r="AH48" s="286"/>
      <c r="AI48" s="282" t="str">
        <f t="shared" si="25"/>
        <v/>
      </c>
      <c r="AJ48" s="284"/>
      <c r="AK48" s="284"/>
      <c r="AL48" s="285">
        <f t="shared" si="7"/>
        <v>0</v>
      </c>
      <c r="AM48" s="284"/>
      <c r="AN48" s="285">
        <f t="shared" si="8"/>
        <v>0</v>
      </c>
      <c r="AO48" s="284"/>
      <c r="AP48" s="285">
        <f t="shared" si="9"/>
        <v>0</v>
      </c>
      <c r="AQ48" s="284"/>
      <c r="AR48" s="285">
        <f t="shared" si="10"/>
        <v>0</v>
      </c>
      <c r="AS48" s="284"/>
      <c r="AT48" s="285">
        <f t="shared" si="11"/>
        <v>0</v>
      </c>
      <c r="AU48" s="284"/>
      <c r="AV48" s="285">
        <f t="shared" si="12"/>
        <v>0</v>
      </c>
      <c r="AW48" s="284"/>
      <c r="AX48" s="282">
        <f t="shared" si="13"/>
        <v>0</v>
      </c>
      <c r="AY48" s="282">
        <f t="shared" si="14"/>
        <v>0</v>
      </c>
      <c r="AZ48" s="282">
        <f t="shared" si="15"/>
        <v>0</v>
      </c>
      <c r="BA48" s="282" t="str">
        <f t="shared" si="16"/>
        <v/>
      </c>
      <c r="BB48" s="282" t="str">
        <f>IFERROR(IF(ISNUMBER(BA48),VLOOKUP(BA48,'Listas y tablas'!$AC$2:$AF$7,2,FALSE),""),"")</f>
        <v/>
      </c>
      <c r="BC48" s="282" t="str">
        <f t="shared" si="22"/>
        <v/>
      </c>
      <c r="BD48" s="291" t="str">
        <f>IFERROR(VLOOKUP(BC48,'Listas y tablas'!$AH$3:$AI$17,2,FALSE),"")</f>
        <v/>
      </c>
      <c r="BE48" s="299"/>
      <c r="BF48" s="311"/>
      <c r="BG48" s="306"/>
      <c r="BH48" s="306"/>
      <c r="BI48" s="306"/>
      <c r="BJ48" s="306"/>
      <c r="BK48" s="306"/>
      <c r="BL48" s="306"/>
      <c r="BM48" s="306"/>
      <c r="BN48" s="306"/>
      <c r="BO48" s="306"/>
      <c r="BP48" s="306"/>
      <c r="BQ48" s="150"/>
      <c r="BR48" s="163"/>
      <c r="BS48" s="163"/>
      <c r="BT48" s="163"/>
      <c r="BU48" s="326"/>
      <c r="BV48" s="326"/>
      <c r="BW48" s="163"/>
      <c r="BX48" s="163"/>
      <c r="BY48" s="171"/>
      <c r="BZ48" s="323"/>
      <c r="CA48" s="324"/>
      <c r="CB48" s="181"/>
      <c r="CC48" s="182"/>
      <c r="CD48" s="181"/>
      <c r="CE48" s="181"/>
      <c r="CF48" s="183"/>
      <c r="CG48" s="323"/>
      <c r="CH48" s="327"/>
      <c r="CI48" s="192"/>
      <c r="CJ48" s="193"/>
      <c r="CK48" s="194"/>
      <c r="CL48" s="194"/>
      <c r="CM48" s="194"/>
      <c r="CN48" s="194"/>
      <c r="CO48" s="194"/>
      <c r="CP48" s="194"/>
      <c r="CQ48" s="194"/>
      <c r="CR48" s="204"/>
      <c r="CS48" s="205"/>
      <c r="CT48" s="206"/>
      <c r="CU48" s="206"/>
      <c r="CV48" s="206"/>
      <c r="CW48" s="206"/>
      <c r="CX48" s="206"/>
      <c r="CY48" s="213"/>
      <c r="CZ48" s="214"/>
      <c r="DA48" s="206"/>
      <c r="DB48" s="213"/>
      <c r="DC48" s="215"/>
      <c r="DD48" s="216"/>
      <c r="DE48" s="216"/>
      <c r="DF48" s="216"/>
      <c r="DG48" s="216"/>
      <c r="DH48" s="216"/>
      <c r="DI48" s="216"/>
      <c r="DJ48" s="216"/>
      <c r="DK48" s="225"/>
      <c r="DL48" s="226"/>
      <c r="DM48" s="227"/>
      <c r="DN48" s="227"/>
      <c r="DO48" s="227"/>
      <c r="DP48" s="227"/>
      <c r="DQ48" s="227"/>
      <c r="DR48" s="234"/>
      <c r="DS48" s="226"/>
      <c r="DT48" s="227"/>
      <c r="DU48" s="234"/>
    </row>
    <row r="49" spans="1:125">
      <c r="A49" s="271"/>
      <c r="B49" s="272" t="str">
        <f>IFERROR(VLOOKUP($A49,Riesgos!$A$7:$H$84,2,FALSE),"")</f>
        <v/>
      </c>
      <c r="C49" s="272" t="str">
        <f>IFERROR(VLOOKUP($A49,Riesgos!$A$7:$H$84,7,FALSE),"")</f>
        <v/>
      </c>
      <c r="D49" s="272" t="str">
        <f>IFERROR(VLOOKUP($A49,Riesgos!$A$7:$H$84,8,FALSE),"")</f>
        <v/>
      </c>
      <c r="E49" s="273"/>
      <c r="F49" s="274"/>
      <c r="G49" s="137" t="str">
        <f>IF(ISNUMBER(F49),VLOOKUP(F49,'Listas y tablas'!$AC$2:$AF$7,2,FALSE),"")</f>
        <v/>
      </c>
      <c r="H49" s="274"/>
      <c r="I49" s="274"/>
      <c r="J49" s="274"/>
      <c r="K49" s="274"/>
      <c r="L49" s="274"/>
      <c r="M49" s="274"/>
      <c r="N49" s="274"/>
      <c r="O49" s="274"/>
      <c r="P49" s="274"/>
      <c r="Q49" s="274"/>
      <c r="R49" s="274"/>
      <c r="S49" s="274"/>
      <c r="T49" s="274"/>
      <c r="U49" s="274"/>
      <c r="V49" s="274"/>
      <c r="W49" s="274"/>
      <c r="X49" s="274"/>
      <c r="Y49" s="274"/>
      <c r="Z49" s="274"/>
      <c r="AA49" s="137">
        <f t="shared" si="1"/>
        <v>0</v>
      </c>
      <c r="AB49" s="279" t="str">
        <f t="shared" si="2"/>
        <v/>
      </c>
      <c r="AC49" s="280" t="str">
        <f t="shared" si="3"/>
        <v/>
      </c>
      <c r="AD49" s="281" t="str">
        <f>IFERROR(VLOOKUP(AC49,'Listas y tablas'!$AH$3:$AI$17,2,FALSE),"")</f>
        <v/>
      </c>
      <c r="AE49" s="280" t="str">
        <f t="shared" si="4"/>
        <v>C</v>
      </c>
      <c r="AF49" s="282">
        <f t="shared" si="23"/>
        <v>42</v>
      </c>
      <c r="AG49" s="282" t="str">
        <f t="shared" si="6"/>
        <v>C42</v>
      </c>
      <c r="AH49" s="286"/>
      <c r="AI49" s="282" t="str">
        <f t="shared" si="25"/>
        <v/>
      </c>
      <c r="AJ49" s="284"/>
      <c r="AK49" s="284"/>
      <c r="AL49" s="285">
        <f t="shared" si="7"/>
        <v>0</v>
      </c>
      <c r="AM49" s="284"/>
      <c r="AN49" s="285">
        <f t="shared" si="8"/>
        <v>0</v>
      </c>
      <c r="AO49" s="284"/>
      <c r="AP49" s="285">
        <f t="shared" si="9"/>
        <v>0</v>
      </c>
      <c r="AQ49" s="284"/>
      <c r="AR49" s="285">
        <f t="shared" si="10"/>
        <v>0</v>
      </c>
      <c r="AS49" s="284"/>
      <c r="AT49" s="285">
        <f t="shared" si="11"/>
        <v>0</v>
      </c>
      <c r="AU49" s="284"/>
      <c r="AV49" s="285">
        <f t="shared" si="12"/>
        <v>0</v>
      </c>
      <c r="AW49" s="284"/>
      <c r="AX49" s="282">
        <f t="shared" si="13"/>
        <v>0</v>
      </c>
      <c r="AY49" s="282">
        <f t="shared" si="14"/>
        <v>0</v>
      </c>
      <c r="AZ49" s="282">
        <f t="shared" si="15"/>
        <v>0</v>
      </c>
      <c r="BA49" s="282" t="str">
        <f t="shared" si="16"/>
        <v/>
      </c>
      <c r="BB49" s="282" t="str">
        <f>IFERROR(IF(ISNUMBER(BA49),VLOOKUP(BA49,'Listas y tablas'!$AC$2:$AF$7,2,FALSE),""),"")</f>
        <v/>
      </c>
      <c r="BC49" s="282" t="str">
        <f t="shared" si="22"/>
        <v/>
      </c>
      <c r="BD49" s="291" t="str">
        <f>IFERROR(VLOOKUP(BC49,'Listas y tablas'!$AH$3:$AI$17,2,FALSE),"")</f>
        <v/>
      </c>
      <c r="BE49" s="299"/>
      <c r="BF49" s="311"/>
      <c r="BG49" s="306"/>
      <c r="BH49" s="306"/>
      <c r="BI49" s="306"/>
      <c r="BJ49" s="306"/>
      <c r="BK49" s="306"/>
      <c r="BL49" s="306"/>
      <c r="BM49" s="306"/>
      <c r="BN49" s="306"/>
      <c r="BO49" s="306"/>
      <c r="BP49" s="306"/>
      <c r="BQ49" s="150"/>
      <c r="BR49" s="163"/>
      <c r="BS49" s="163"/>
      <c r="BT49" s="163"/>
      <c r="BU49" s="326"/>
      <c r="BV49" s="326"/>
      <c r="BW49" s="163"/>
      <c r="BX49" s="163"/>
      <c r="BY49" s="171"/>
      <c r="BZ49" s="323"/>
      <c r="CA49" s="324"/>
      <c r="CB49" s="181"/>
      <c r="CC49" s="182"/>
      <c r="CD49" s="181"/>
      <c r="CE49" s="181"/>
      <c r="CF49" s="183"/>
      <c r="CG49" s="323"/>
      <c r="CH49" s="327"/>
      <c r="CI49" s="192"/>
      <c r="CJ49" s="193"/>
      <c r="CK49" s="194"/>
      <c r="CL49" s="194"/>
      <c r="CM49" s="194"/>
      <c r="CN49" s="194"/>
      <c r="CO49" s="194"/>
      <c r="CP49" s="194"/>
      <c r="CQ49" s="194"/>
      <c r="CR49" s="204"/>
      <c r="CS49" s="205"/>
      <c r="CT49" s="206"/>
      <c r="CU49" s="206"/>
      <c r="CV49" s="206"/>
      <c r="CW49" s="206"/>
      <c r="CX49" s="206"/>
      <c r="CY49" s="213"/>
      <c r="CZ49" s="214"/>
      <c r="DA49" s="206"/>
      <c r="DB49" s="213"/>
      <c r="DC49" s="215"/>
      <c r="DD49" s="216"/>
      <c r="DE49" s="216"/>
      <c r="DF49" s="216"/>
      <c r="DG49" s="216"/>
      <c r="DH49" s="216"/>
      <c r="DI49" s="216"/>
      <c r="DJ49" s="216"/>
      <c r="DK49" s="225"/>
      <c r="DL49" s="226"/>
      <c r="DM49" s="227"/>
      <c r="DN49" s="227"/>
      <c r="DO49" s="227"/>
      <c r="DP49" s="227"/>
      <c r="DQ49" s="227"/>
      <c r="DR49" s="234"/>
      <c r="DS49" s="226"/>
      <c r="DT49" s="227"/>
      <c r="DU49" s="234"/>
    </row>
    <row r="50" spans="1:125">
      <c r="A50" s="271"/>
      <c r="B50" s="272" t="str">
        <f>IFERROR(VLOOKUP($A50,Riesgos!$A$7:$H$84,2,FALSE),"")</f>
        <v/>
      </c>
      <c r="C50" s="272" t="str">
        <f>IFERROR(VLOOKUP($A50,Riesgos!$A$7:$H$84,7,FALSE),"")</f>
        <v/>
      </c>
      <c r="D50" s="272" t="str">
        <f>IFERROR(VLOOKUP($A50,Riesgos!$A$7:$H$84,8,FALSE),"")</f>
        <v/>
      </c>
      <c r="E50" s="273"/>
      <c r="F50" s="274"/>
      <c r="G50" s="137" t="str">
        <f>IF(ISNUMBER(F50),VLOOKUP(F50,'Listas y tablas'!$AC$2:$AF$7,2,FALSE),"")</f>
        <v/>
      </c>
      <c r="H50" s="274"/>
      <c r="I50" s="274"/>
      <c r="J50" s="274"/>
      <c r="K50" s="274"/>
      <c r="L50" s="274"/>
      <c r="M50" s="274"/>
      <c r="N50" s="274"/>
      <c r="O50" s="274"/>
      <c r="P50" s="274"/>
      <c r="Q50" s="274"/>
      <c r="R50" s="274"/>
      <c r="S50" s="274"/>
      <c r="T50" s="274"/>
      <c r="U50" s="274"/>
      <c r="V50" s="274"/>
      <c r="W50" s="274"/>
      <c r="X50" s="274"/>
      <c r="Y50" s="274"/>
      <c r="Z50" s="274"/>
      <c r="AA50" s="137">
        <f t="shared" si="1"/>
        <v>0</v>
      </c>
      <c r="AB50" s="279" t="str">
        <f t="shared" si="2"/>
        <v/>
      </c>
      <c r="AC50" s="280" t="str">
        <f t="shared" si="3"/>
        <v/>
      </c>
      <c r="AD50" s="281" t="str">
        <f>IFERROR(VLOOKUP(AC50,'Listas y tablas'!$AH$3:$AI$17,2,FALSE),"")</f>
        <v/>
      </c>
      <c r="AE50" s="280" t="str">
        <f t="shared" si="4"/>
        <v>C</v>
      </c>
      <c r="AF50" s="282">
        <f t="shared" si="23"/>
        <v>43</v>
      </c>
      <c r="AG50" s="282" t="str">
        <f t="shared" si="6"/>
        <v>C43</v>
      </c>
      <c r="AH50" s="286"/>
      <c r="AI50" s="282" t="str">
        <f t="shared" si="25"/>
        <v/>
      </c>
      <c r="AJ50" s="284"/>
      <c r="AK50" s="284"/>
      <c r="AL50" s="285">
        <f t="shared" si="7"/>
        <v>0</v>
      </c>
      <c r="AM50" s="284"/>
      <c r="AN50" s="285">
        <f t="shared" si="8"/>
        <v>0</v>
      </c>
      <c r="AO50" s="284"/>
      <c r="AP50" s="285">
        <f t="shared" si="9"/>
        <v>0</v>
      </c>
      <c r="AQ50" s="284"/>
      <c r="AR50" s="285">
        <f t="shared" si="10"/>
        <v>0</v>
      </c>
      <c r="AS50" s="284"/>
      <c r="AT50" s="285">
        <f t="shared" si="11"/>
        <v>0</v>
      </c>
      <c r="AU50" s="284"/>
      <c r="AV50" s="285">
        <f t="shared" si="12"/>
        <v>0</v>
      </c>
      <c r="AW50" s="284"/>
      <c r="AX50" s="282">
        <f t="shared" si="13"/>
        <v>0</v>
      </c>
      <c r="AY50" s="282">
        <f t="shared" si="14"/>
        <v>0</v>
      </c>
      <c r="AZ50" s="282">
        <f t="shared" si="15"/>
        <v>0</v>
      </c>
      <c r="BA50" s="282" t="str">
        <f t="shared" si="16"/>
        <v/>
      </c>
      <c r="BB50" s="282" t="str">
        <f>IFERROR(IF(ISNUMBER(BA50),VLOOKUP(BA50,'Listas y tablas'!$AC$2:$AF$7,2,FALSE),""),"")</f>
        <v/>
      </c>
      <c r="BC50" s="282" t="str">
        <f t="shared" si="22"/>
        <v/>
      </c>
      <c r="BD50" s="291" t="str">
        <f>IFERROR(VLOOKUP(BC50,'Listas y tablas'!$AH$3:$AI$17,2,FALSE),"")</f>
        <v/>
      </c>
      <c r="BE50" s="299"/>
      <c r="BF50" s="311"/>
      <c r="BG50" s="306"/>
      <c r="BH50" s="306"/>
      <c r="BI50" s="306"/>
      <c r="BJ50" s="306"/>
      <c r="BK50" s="306"/>
      <c r="BL50" s="306"/>
      <c r="BM50" s="306"/>
      <c r="BN50" s="306"/>
      <c r="BO50" s="306"/>
      <c r="BP50" s="306"/>
      <c r="BQ50" s="150"/>
      <c r="BR50" s="163"/>
      <c r="BS50" s="163"/>
      <c r="BT50" s="163"/>
      <c r="BU50" s="326"/>
      <c r="BV50" s="326"/>
      <c r="BW50" s="163"/>
      <c r="BX50" s="163"/>
      <c r="BY50" s="171"/>
      <c r="BZ50" s="323"/>
      <c r="CA50" s="324"/>
      <c r="CB50" s="181"/>
      <c r="CC50" s="182"/>
      <c r="CD50" s="181"/>
      <c r="CE50" s="181"/>
      <c r="CF50" s="183"/>
      <c r="CG50" s="323"/>
      <c r="CH50" s="327"/>
      <c r="CI50" s="192"/>
      <c r="CJ50" s="193"/>
      <c r="CK50" s="194"/>
      <c r="CL50" s="194"/>
      <c r="CM50" s="194"/>
      <c r="CN50" s="194"/>
      <c r="CO50" s="194"/>
      <c r="CP50" s="194"/>
      <c r="CQ50" s="194"/>
      <c r="CR50" s="204"/>
      <c r="CS50" s="205"/>
      <c r="CT50" s="206"/>
      <c r="CU50" s="206"/>
      <c r="CV50" s="206"/>
      <c r="CW50" s="206"/>
      <c r="CX50" s="206"/>
      <c r="CY50" s="213"/>
      <c r="CZ50" s="214"/>
      <c r="DA50" s="206"/>
      <c r="DB50" s="213"/>
      <c r="DC50" s="215"/>
      <c r="DD50" s="216"/>
      <c r="DE50" s="216"/>
      <c r="DF50" s="216"/>
      <c r="DG50" s="216"/>
      <c r="DH50" s="216"/>
      <c r="DI50" s="216"/>
      <c r="DJ50" s="216"/>
      <c r="DK50" s="225"/>
      <c r="DL50" s="226"/>
      <c r="DM50" s="227"/>
      <c r="DN50" s="227"/>
      <c r="DO50" s="227"/>
      <c r="DP50" s="227"/>
      <c r="DQ50" s="227"/>
      <c r="DR50" s="234"/>
      <c r="DS50" s="226"/>
      <c r="DT50" s="227"/>
      <c r="DU50" s="234"/>
    </row>
    <row r="51" spans="1:125">
      <c r="A51" s="271"/>
      <c r="B51" s="272" t="str">
        <f>IFERROR(VLOOKUP($A51,Riesgos!$A$7:$H$84,2,FALSE),"")</f>
        <v/>
      </c>
      <c r="C51" s="272" t="str">
        <f>IFERROR(VLOOKUP($A51,Riesgos!$A$7:$H$84,7,FALSE),"")</f>
        <v/>
      </c>
      <c r="D51" s="272" t="str">
        <f>IFERROR(VLOOKUP($A51,Riesgos!$A$7:$H$84,8,FALSE),"")</f>
        <v/>
      </c>
      <c r="E51" s="273"/>
      <c r="F51" s="274"/>
      <c r="G51" s="137" t="str">
        <f>IF(ISNUMBER(F51),VLOOKUP(F51,'Listas y tablas'!$AC$2:$AF$7,2,FALSE),"")</f>
        <v/>
      </c>
      <c r="H51" s="274"/>
      <c r="I51" s="274"/>
      <c r="J51" s="274"/>
      <c r="K51" s="274"/>
      <c r="L51" s="274"/>
      <c r="M51" s="274"/>
      <c r="N51" s="274"/>
      <c r="O51" s="274"/>
      <c r="P51" s="274"/>
      <c r="Q51" s="274"/>
      <c r="R51" s="274"/>
      <c r="S51" s="274"/>
      <c r="T51" s="274"/>
      <c r="U51" s="274"/>
      <c r="V51" s="274"/>
      <c r="W51" s="274"/>
      <c r="X51" s="274"/>
      <c r="Y51" s="274"/>
      <c r="Z51" s="274"/>
      <c r="AA51" s="137">
        <f t="shared" si="1"/>
        <v>0</v>
      </c>
      <c r="AB51" s="279" t="str">
        <f t="shared" si="2"/>
        <v/>
      </c>
      <c r="AC51" s="280" t="str">
        <f t="shared" si="3"/>
        <v/>
      </c>
      <c r="AD51" s="281" t="str">
        <f>IFERROR(VLOOKUP(AC51,'Listas y tablas'!$AH$3:$AI$17,2,FALSE),"")</f>
        <v/>
      </c>
      <c r="AE51" s="280" t="str">
        <f t="shared" si="4"/>
        <v>C</v>
      </c>
      <c r="AF51" s="282">
        <f t="shared" si="23"/>
        <v>44</v>
      </c>
      <c r="AG51" s="282" t="str">
        <f t="shared" si="6"/>
        <v>C44</v>
      </c>
      <c r="AH51" s="286"/>
      <c r="AI51" s="282" t="str">
        <f t="shared" si="25"/>
        <v/>
      </c>
      <c r="AJ51" s="284"/>
      <c r="AK51" s="284"/>
      <c r="AL51" s="285">
        <f t="shared" si="7"/>
        <v>0</v>
      </c>
      <c r="AM51" s="284"/>
      <c r="AN51" s="285">
        <f t="shared" si="8"/>
        <v>0</v>
      </c>
      <c r="AO51" s="284"/>
      <c r="AP51" s="285">
        <f t="shared" si="9"/>
        <v>0</v>
      </c>
      <c r="AQ51" s="284"/>
      <c r="AR51" s="285">
        <f t="shared" si="10"/>
        <v>0</v>
      </c>
      <c r="AS51" s="284"/>
      <c r="AT51" s="285">
        <f t="shared" si="11"/>
        <v>0</v>
      </c>
      <c r="AU51" s="284"/>
      <c r="AV51" s="285">
        <f t="shared" si="12"/>
        <v>0</v>
      </c>
      <c r="AW51" s="284"/>
      <c r="AX51" s="282">
        <f t="shared" si="13"/>
        <v>0</v>
      </c>
      <c r="AY51" s="282">
        <f t="shared" si="14"/>
        <v>0</v>
      </c>
      <c r="AZ51" s="282">
        <f t="shared" si="15"/>
        <v>0</v>
      </c>
      <c r="BA51" s="282" t="str">
        <f t="shared" si="16"/>
        <v/>
      </c>
      <c r="BB51" s="282" t="str">
        <f>IFERROR(IF(ISNUMBER(BA51),VLOOKUP(BA51,'Listas y tablas'!$AC$2:$AF$7,2,FALSE),""),"")</f>
        <v/>
      </c>
      <c r="BC51" s="282" t="str">
        <f t="shared" si="22"/>
        <v/>
      </c>
      <c r="BD51" s="291" t="str">
        <f>IFERROR(VLOOKUP(BC51,'Listas y tablas'!$AH$3:$AI$17,2,FALSE),"")</f>
        <v/>
      </c>
      <c r="BE51" s="299"/>
      <c r="BF51" s="311"/>
      <c r="BG51" s="306"/>
      <c r="BH51" s="306"/>
      <c r="BI51" s="306"/>
      <c r="BJ51" s="306"/>
      <c r="BK51" s="306"/>
      <c r="BL51" s="306"/>
      <c r="BM51" s="306"/>
      <c r="BN51" s="306"/>
      <c r="BO51" s="306"/>
      <c r="BP51" s="306"/>
      <c r="BQ51" s="150"/>
      <c r="BR51" s="163"/>
      <c r="BS51" s="163"/>
      <c r="BT51" s="163"/>
      <c r="BU51" s="326"/>
      <c r="BV51" s="326"/>
      <c r="BW51" s="163"/>
      <c r="BX51" s="163"/>
      <c r="BY51" s="171"/>
      <c r="BZ51" s="323"/>
      <c r="CA51" s="324"/>
      <c r="CB51" s="181"/>
      <c r="CC51" s="182"/>
      <c r="CD51" s="181"/>
      <c r="CE51" s="181"/>
      <c r="CF51" s="183"/>
      <c r="CG51" s="323"/>
      <c r="CH51" s="327"/>
      <c r="CI51" s="192"/>
      <c r="CJ51" s="193"/>
      <c r="CK51" s="194"/>
      <c r="CL51" s="194"/>
      <c r="CM51" s="194"/>
      <c r="CN51" s="194"/>
      <c r="CO51" s="194"/>
      <c r="CP51" s="194"/>
      <c r="CQ51" s="194"/>
      <c r="CR51" s="204"/>
      <c r="CS51" s="205"/>
      <c r="CT51" s="206"/>
      <c r="CU51" s="206"/>
      <c r="CV51" s="206"/>
      <c r="CW51" s="206"/>
      <c r="CX51" s="206"/>
      <c r="CY51" s="213"/>
      <c r="CZ51" s="214"/>
      <c r="DA51" s="206"/>
      <c r="DB51" s="213"/>
      <c r="DC51" s="215"/>
      <c r="DD51" s="216"/>
      <c r="DE51" s="216"/>
      <c r="DF51" s="216"/>
      <c r="DG51" s="216"/>
      <c r="DH51" s="216"/>
      <c r="DI51" s="216"/>
      <c r="DJ51" s="216"/>
      <c r="DK51" s="225"/>
      <c r="DL51" s="226"/>
      <c r="DM51" s="227"/>
      <c r="DN51" s="227"/>
      <c r="DO51" s="227"/>
      <c r="DP51" s="227"/>
      <c r="DQ51" s="227"/>
      <c r="DR51" s="234"/>
      <c r="DS51" s="226"/>
      <c r="DT51" s="227"/>
      <c r="DU51" s="234"/>
    </row>
    <row r="52" spans="1:125">
      <c r="A52" s="271"/>
      <c r="B52" s="272" t="str">
        <f>IFERROR(VLOOKUP($A52,Riesgos!$A$7:$H$84,2,FALSE),"")</f>
        <v/>
      </c>
      <c r="C52" s="272" t="str">
        <f>IFERROR(VLOOKUP($A52,Riesgos!$A$7:$H$84,7,FALSE),"")</f>
        <v/>
      </c>
      <c r="D52" s="272" t="str">
        <f>IFERROR(VLOOKUP($A52,Riesgos!$A$7:$H$84,8,FALSE),"")</f>
        <v/>
      </c>
      <c r="E52" s="273"/>
      <c r="F52" s="274"/>
      <c r="G52" s="137" t="str">
        <f>IF(ISNUMBER(F52),VLOOKUP(F52,'Listas y tablas'!$AC$2:$AF$7,2,FALSE),"")</f>
        <v/>
      </c>
      <c r="H52" s="274"/>
      <c r="I52" s="274"/>
      <c r="J52" s="274"/>
      <c r="K52" s="274"/>
      <c r="L52" s="274"/>
      <c r="M52" s="274"/>
      <c r="N52" s="274"/>
      <c r="O52" s="274"/>
      <c r="P52" s="274"/>
      <c r="Q52" s="274"/>
      <c r="R52" s="274"/>
      <c r="S52" s="274"/>
      <c r="T52" s="274"/>
      <c r="U52" s="274"/>
      <c r="V52" s="274"/>
      <c r="W52" s="274"/>
      <c r="X52" s="274"/>
      <c r="Y52" s="274"/>
      <c r="Z52" s="274"/>
      <c r="AA52" s="137">
        <f t="shared" si="1"/>
        <v>0</v>
      </c>
      <c r="AB52" s="279" t="str">
        <f t="shared" si="2"/>
        <v/>
      </c>
      <c r="AC52" s="280" t="str">
        <f t="shared" si="3"/>
        <v/>
      </c>
      <c r="AD52" s="281" t="str">
        <f>IFERROR(VLOOKUP(AC52,'Listas y tablas'!$AH$3:$AI$17,2,FALSE),"")</f>
        <v/>
      </c>
      <c r="AE52" s="280" t="str">
        <f t="shared" si="4"/>
        <v>C</v>
      </c>
      <c r="AF52" s="282">
        <f t="shared" si="23"/>
        <v>45</v>
      </c>
      <c r="AG52" s="282" t="str">
        <f t="shared" si="6"/>
        <v>C45</v>
      </c>
      <c r="AH52" s="287"/>
      <c r="AI52" s="282" t="str">
        <f t="shared" si="25"/>
        <v/>
      </c>
      <c r="AJ52" s="284"/>
      <c r="AK52" s="284"/>
      <c r="AL52" s="285">
        <f t="shared" si="7"/>
        <v>0</v>
      </c>
      <c r="AM52" s="284"/>
      <c r="AN52" s="285">
        <f t="shared" si="8"/>
        <v>0</v>
      </c>
      <c r="AO52" s="284"/>
      <c r="AP52" s="285">
        <f t="shared" si="9"/>
        <v>0</v>
      </c>
      <c r="AQ52" s="284"/>
      <c r="AR52" s="285">
        <f t="shared" si="10"/>
        <v>0</v>
      </c>
      <c r="AS52" s="284"/>
      <c r="AT52" s="285">
        <f t="shared" si="11"/>
        <v>0</v>
      </c>
      <c r="AU52" s="284"/>
      <c r="AV52" s="285">
        <f t="shared" si="12"/>
        <v>0</v>
      </c>
      <c r="AW52" s="284"/>
      <c r="AX52" s="282">
        <f t="shared" si="13"/>
        <v>0</v>
      </c>
      <c r="AY52" s="282">
        <f t="shared" si="14"/>
        <v>0</v>
      </c>
      <c r="AZ52" s="282">
        <f t="shared" si="15"/>
        <v>0</v>
      </c>
      <c r="BA52" s="282" t="str">
        <f t="shared" si="16"/>
        <v/>
      </c>
      <c r="BB52" s="282" t="str">
        <f>IFERROR(IF(ISNUMBER(BA52),VLOOKUP(BA52,'Listas y tablas'!$AC$2:$AF$7,2,FALSE),""),"")</f>
        <v/>
      </c>
      <c r="BC52" s="282" t="str">
        <f t="shared" si="22"/>
        <v/>
      </c>
      <c r="BD52" s="291" t="str">
        <f>IFERROR(VLOOKUP(BC52,'Listas y tablas'!$AH$3:$AI$17,2,FALSE),"")</f>
        <v/>
      </c>
      <c r="BE52" s="299"/>
      <c r="BF52" s="311"/>
      <c r="BG52" s="306"/>
      <c r="BH52" s="306"/>
      <c r="BI52" s="306"/>
      <c r="BJ52" s="306"/>
      <c r="BK52" s="306"/>
      <c r="BL52" s="306"/>
      <c r="BM52" s="306"/>
      <c r="BN52" s="306"/>
      <c r="BO52" s="306"/>
      <c r="BP52" s="306"/>
      <c r="BQ52" s="150"/>
      <c r="BR52" s="163"/>
      <c r="BS52" s="163"/>
      <c r="BT52" s="163"/>
      <c r="BU52" s="326"/>
      <c r="BV52" s="326"/>
      <c r="BW52" s="163"/>
      <c r="BX52" s="163"/>
      <c r="BY52" s="171"/>
      <c r="BZ52" s="323"/>
      <c r="CA52" s="324"/>
      <c r="CB52" s="181"/>
      <c r="CC52" s="182"/>
      <c r="CD52" s="181"/>
      <c r="CE52" s="181"/>
      <c r="CF52" s="183"/>
      <c r="CG52" s="323"/>
      <c r="CH52" s="327"/>
      <c r="CI52" s="192"/>
      <c r="CJ52" s="193"/>
      <c r="CK52" s="194"/>
      <c r="CL52" s="194"/>
      <c r="CM52" s="194"/>
      <c r="CN52" s="194"/>
      <c r="CO52" s="194"/>
      <c r="CP52" s="194"/>
      <c r="CQ52" s="194"/>
      <c r="CR52" s="204"/>
      <c r="CS52" s="205"/>
      <c r="CT52" s="206"/>
      <c r="CU52" s="206"/>
      <c r="CV52" s="206"/>
      <c r="CW52" s="206"/>
      <c r="CX52" s="206"/>
      <c r="CY52" s="213"/>
      <c r="CZ52" s="214"/>
      <c r="DA52" s="206"/>
      <c r="DB52" s="213"/>
      <c r="DC52" s="215"/>
      <c r="DD52" s="216"/>
      <c r="DE52" s="216"/>
      <c r="DF52" s="216"/>
      <c r="DG52" s="216"/>
      <c r="DH52" s="216"/>
      <c r="DI52" s="216"/>
      <c r="DJ52" s="216"/>
      <c r="DK52" s="225"/>
      <c r="DL52" s="226"/>
      <c r="DM52" s="227"/>
      <c r="DN52" s="227"/>
      <c r="DO52" s="227"/>
      <c r="DP52" s="227"/>
      <c r="DQ52" s="227"/>
      <c r="DR52" s="234"/>
      <c r="DS52" s="226"/>
      <c r="DT52" s="227"/>
      <c r="DU52" s="234"/>
    </row>
    <row r="53" spans="1:125">
      <c r="A53" s="271"/>
      <c r="B53" s="272" t="str">
        <f>IFERROR(VLOOKUP($A53,Riesgos!$A$7:$H$84,2,FALSE),"")</f>
        <v/>
      </c>
      <c r="C53" s="272" t="str">
        <f>IFERROR(VLOOKUP($A53,Riesgos!$A$7:$H$84,7,FALSE),"")</f>
        <v/>
      </c>
      <c r="D53" s="272" t="str">
        <f>IFERROR(VLOOKUP($A53,Riesgos!$A$7:$H$84,8,FALSE),"")</f>
        <v/>
      </c>
      <c r="E53" s="273"/>
      <c r="F53" s="274"/>
      <c r="G53" s="137" t="str">
        <f>IF(ISNUMBER(F53),VLOOKUP(F53,'Listas y tablas'!$AC$2:$AF$7,2,FALSE),"")</f>
        <v/>
      </c>
      <c r="H53" s="274"/>
      <c r="I53" s="274"/>
      <c r="J53" s="274"/>
      <c r="K53" s="274"/>
      <c r="L53" s="274"/>
      <c r="M53" s="274"/>
      <c r="N53" s="274"/>
      <c r="O53" s="274"/>
      <c r="P53" s="274"/>
      <c r="Q53" s="274"/>
      <c r="R53" s="274"/>
      <c r="S53" s="274"/>
      <c r="T53" s="274"/>
      <c r="U53" s="274"/>
      <c r="V53" s="274"/>
      <c r="W53" s="274"/>
      <c r="X53" s="274"/>
      <c r="Y53" s="274"/>
      <c r="Z53" s="274"/>
      <c r="AA53" s="137">
        <f t="shared" si="1"/>
        <v>0</v>
      </c>
      <c r="AB53" s="279" t="str">
        <f t="shared" si="2"/>
        <v/>
      </c>
      <c r="AC53" s="280" t="str">
        <f t="shared" si="3"/>
        <v/>
      </c>
      <c r="AD53" s="281" t="str">
        <f>IFERROR(VLOOKUP(AC53,'Listas y tablas'!$AH$3:$AI$17,2,FALSE),"")</f>
        <v/>
      </c>
      <c r="AE53" s="280" t="str">
        <f t="shared" si="4"/>
        <v>C</v>
      </c>
      <c r="AF53" s="282">
        <f t="shared" si="23"/>
        <v>46</v>
      </c>
      <c r="AG53" s="282" t="str">
        <f t="shared" si="6"/>
        <v>C46</v>
      </c>
      <c r="AH53" s="286"/>
      <c r="AI53" s="282" t="str">
        <f t="shared" ref="AI53:AI58" si="26">IF(OR(AJ53="Preventivo",AJ53="Detectivo"),"Probabilidad",IF(AJ53="Correctivo","Impacto",""))</f>
        <v/>
      </c>
      <c r="AJ53" s="284"/>
      <c r="AK53" s="284"/>
      <c r="AL53" s="285">
        <f t="shared" si="7"/>
        <v>0</v>
      </c>
      <c r="AM53" s="284"/>
      <c r="AN53" s="285">
        <f t="shared" si="8"/>
        <v>0</v>
      </c>
      <c r="AO53" s="284"/>
      <c r="AP53" s="285">
        <f t="shared" si="9"/>
        <v>0</v>
      </c>
      <c r="AQ53" s="284"/>
      <c r="AR53" s="285">
        <f t="shared" si="10"/>
        <v>0</v>
      </c>
      <c r="AS53" s="284"/>
      <c r="AT53" s="285">
        <f t="shared" si="11"/>
        <v>0</v>
      </c>
      <c r="AU53" s="284"/>
      <c r="AV53" s="285">
        <f t="shared" si="12"/>
        <v>0</v>
      </c>
      <c r="AW53" s="284"/>
      <c r="AX53" s="282">
        <f t="shared" si="13"/>
        <v>0</v>
      </c>
      <c r="AY53" s="282">
        <f t="shared" si="14"/>
        <v>0</v>
      </c>
      <c r="AZ53" s="282">
        <f t="shared" si="15"/>
        <v>0</v>
      </c>
      <c r="BA53" s="282" t="str">
        <f t="shared" si="16"/>
        <v/>
      </c>
      <c r="BB53" s="282" t="str">
        <f>IFERROR(IF(ISNUMBER(BA53),VLOOKUP(BA53,'Listas y tablas'!$AC$2:$AF$7,2,FALSE),""),"")</f>
        <v/>
      </c>
      <c r="BC53" s="282" t="str">
        <f t="shared" si="22"/>
        <v/>
      </c>
      <c r="BD53" s="291" t="str">
        <f>IFERROR(VLOOKUP(BC53,'Listas y tablas'!$AH$3:$AI$17,2,FALSE),"")</f>
        <v/>
      </c>
      <c r="BE53" s="299"/>
      <c r="BF53" s="311"/>
      <c r="BG53" s="306"/>
      <c r="BH53" s="306"/>
      <c r="BI53" s="306"/>
      <c r="BJ53" s="306"/>
      <c r="BK53" s="306"/>
      <c r="BL53" s="306"/>
      <c r="BM53" s="306"/>
      <c r="BN53" s="306"/>
      <c r="BO53" s="306"/>
      <c r="BP53" s="306"/>
      <c r="BQ53" s="150"/>
      <c r="BR53" s="163"/>
      <c r="BS53" s="163"/>
      <c r="BT53" s="163"/>
      <c r="BU53" s="326"/>
      <c r="BV53" s="326"/>
      <c r="BW53" s="163"/>
      <c r="BX53" s="163"/>
      <c r="BY53" s="171"/>
      <c r="BZ53" s="323"/>
      <c r="CA53" s="324"/>
      <c r="CB53" s="181"/>
      <c r="CC53" s="182"/>
      <c r="CD53" s="181"/>
      <c r="CE53" s="181"/>
      <c r="CF53" s="183"/>
      <c r="CG53" s="323"/>
      <c r="CH53" s="327"/>
      <c r="CI53" s="192"/>
      <c r="CJ53" s="193"/>
      <c r="CK53" s="194"/>
      <c r="CL53" s="194"/>
      <c r="CM53" s="194"/>
      <c r="CN53" s="194"/>
      <c r="CO53" s="194"/>
      <c r="CP53" s="194"/>
      <c r="CQ53" s="194"/>
      <c r="CR53" s="204"/>
      <c r="CS53" s="205"/>
      <c r="CT53" s="206"/>
      <c r="CU53" s="206"/>
      <c r="CV53" s="206"/>
      <c r="CW53" s="206"/>
      <c r="CX53" s="206"/>
      <c r="CY53" s="213"/>
      <c r="CZ53" s="214"/>
      <c r="DA53" s="206"/>
      <c r="DB53" s="213"/>
      <c r="DC53" s="215"/>
      <c r="DD53" s="216"/>
      <c r="DE53" s="216"/>
      <c r="DF53" s="216"/>
      <c r="DG53" s="216"/>
      <c r="DH53" s="216"/>
      <c r="DI53" s="216"/>
      <c r="DJ53" s="216"/>
      <c r="DK53" s="225"/>
      <c r="DL53" s="226"/>
      <c r="DM53" s="227"/>
      <c r="DN53" s="227"/>
      <c r="DO53" s="227"/>
      <c r="DP53" s="227"/>
      <c r="DQ53" s="227"/>
      <c r="DR53" s="234"/>
      <c r="DS53" s="226"/>
      <c r="DT53" s="227"/>
      <c r="DU53" s="234"/>
    </row>
    <row r="54" spans="1:125">
      <c r="A54" s="271"/>
      <c r="B54" s="272" t="str">
        <f>IFERROR(VLOOKUP($A54,Riesgos!$A$7:$H$84,2,FALSE),"")</f>
        <v/>
      </c>
      <c r="C54" s="272" t="str">
        <f>IFERROR(VLOOKUP($A54,Riesgos!$A$7:$H$84,7,FALSE),"")</f>
        <v/>
      </c>
      <c r="D54" s="272" t="str">
        <f>IFERROR(VLOOKUP($A54,Riesgos!$A$7:$H$84,8,FALSE),"")</f>
        <v/>
      </c>
      <c r="E54" s="273"/>
      <c r="F54" s="274"/>
      <c r="G54" s="137" t="str">
        <f>IF(ISNUMBER(F54),VLOOKUP(F54,'Listas y tablas'!$AC$2:$AF$7,2,FALSE),"")</f>
        <v/>
      </c>
      <c r="H54" s="274"/>
      <c r="I54" s="274"/>
      <c r="J54" s="274"/>
      <c r="K54" s="274"/>
      <c r="L54" s="274"/>
      <c r="M54" s="274"/>
      <c r="N54" s="274"/>
      <c r="O54" s="274"/>
      <c r="P54" s="274"/>
      <c r="Q54" s="274"/>
      <c r="R54" s="274"/>
      <c r="S54" s="274"/>
      <c r="T54" s="274"/>
      <c r="U54" s="274"/>
      <c r="V54" s="274"/>
      <c r="W54" s="274"/>
      <c r="X54" s="274"/>
      <c r="Y54" s="274"/>
      <c r="Z54" s="274"/>
      <c r="AA54" s="137">
        <f t="shared" si="1"/>
        <v>0</v>
      </c>
      <c r="AB54" s="279" t="str">
        <f t="shared" si="2"/>
        <v/>
      </c>
      <c r="AC54" s="280" t="str">
        <f t="shared" si="3"/>
        <v/>
      </c>
      <c r="AD54" s="281" t="str">
        <f>IFERROR(VLOOKUP(AC54,'Listas y tablas'!$AH$3:$AI$17,2,FALSE),"")</f>
        <v/>
      </c>
      <c r="AE54" s="280" t="str">
        <f t="shared" si="4"/>
        <v>C</v>
      </c>
      <c r="AF54" s="282">
        <f t="shared" si="23"/>
        <v>47</v>
      </c>
      <c r="AG54" s="282" t="str">
        <f t="shared" si="6"/>
        <v>C47</v>
      </c>
      <c r="AH54" s="286"/>
      <c r="AI54" s="282" t="str">
        <f t="shared" si="26"/>
        <v/>
      </c>
      <c r="AJ54" s="284"/>
      <c r="AK54" s="284"/>
      <c r="AL54" s="285">
        <f t="shared" si="7"/>
        <v>0</v>
      </c>
      <c r="AM54" s="284"/>
      <c r="AN54" s="285">
        <f t="shared" si="8"/>
        <v>0</v>
      </c>
      <c r="AO54" s="284"/>
      <c r="AP54" s="285">
        <f t="shared" si="9"/>
        <v>0</v>
      </c>
      <c r="AQ54" s="284"/>
      <c r="AR54" s="285">
        <f t="shared" si="10"/>
        <v>0</v>
      </c>
      <c r="AS54" s="284"/>
      <c r="AT54" s="285">
        <f t="shared" si="11"/>
        <v>0</v>
      </c>
      <c r="AU54" s="284"/>
      <c r="AV54" s="285">
        <f t="shared" si="12"/>
        <v>0</v>
      </c>
      <c r="AW54" s="284"/>
      <c r="AX54" s="282">
        <f t="shared" si="13"/>
        <v>0</v>
      </c>
      <c r="AY54" s="282">
        <f t="shared" si="14"/>
        <v>0</v>
      </c>
      <c r="AZ54" s="282">
        <f t="shared" si="15"/>
        <v>0</v>
      </c>
      <c r="BA54" s="282" t="str">
        <f t="shared" si="16"/>
        <v/>
      </c>
      <c r="BB54" s="282" t="str">
        <f>IFERROR(IF(ISNUMBER(BA54),VLOOKUP(BA54,'Listas y tablas'!$AC$2:$AF$7,2,FALSE),""),"")</f>
        <v/>
      </c>
      <c r="BC54" s="282" t="str">
        <f t="shared" si="22"/>
        <v/>
      </c>
      <c r="BD54" s="291" t="str">
        <f>IFERROR(VLOOKUP(BC54,'Listas y tablas'!$AH$3:$AI$17,2,FALSE),"")</f>
        <v/>
      </c>
      <c r="BE54" s="299"/>
      <c r="BF54" s="311"/>
      <c r="BG54" s="306"/>
      <c r="BH54" s="306"/>
      <c r="BI54" s="306"/>
      <c r="BJ54" s="306"/>
      <c r="BK54" s="306"/>
      <c r="BL54" s="306"/>
      <c r="BM54" s="306"/>
      <c r="BN54" s="306"/>
      <c r="BO54" s="306"/>
      <c r="BP54" s="306"/>
      <c r="BQ54" s="150"/>
      <c r="BR54" s="163"/>
      <c r="BS54" s="163"/>
      <c r="BT54" s="163"/>
      <c r="BU54" s="326"/>
      <c r="BV54" s="326"/>
      <c r="BW54" s="163"/>
      <c r="BX54" s="163"/>
      <c r="BY54" s="171"/>
      <c r="BZ54" s="323"/>
      <c r="CA54" s="324"/>
      <c r="CB54" s="181"/>
      <c r="CC54" s="182"/>
      <c r="CD54" s="181"/>
      <c r="CE54" s="181"/>
      <c r="CF54" s="183"/>
      <c r="CG54" s="323"/>
      <c r="CH54" s="327"/>
      <c r="CI54" s="192"/>
      <c r="CJ54" s="193"/>
      <c r="CK54" s="194"/>
      <c r="CL54" s="194"/>
      <c r="CM54" s="194"/>
      <c r="CN54" s="194"/>
      <c r="CO54" s="194"/>
      <c r="CP54" s="194"/>
      <c r="CQ54" s="194"/>
      <c r="CR54" s="204"/>
      <c r="CS54" s="205"/>
      <c r="CT54" s="206"/>
      <c r="CU54" s="206"/>
      <c r="CV54" s="206"/>
      <c r="CW54" s="206"/>
      <c r="CX54" s="206"/>
      <c r="CY54" s="213"/>
      <c r="CZ54" s="214"/>
      <c r="DA54" s="206"/>
      <c r="DB54" s="213"/>
      <c r="DC54" s="215"/>
      <c r="DD54" s="216"/>
      <c r="DE54" s="216"/>
      <c r="DF54" s="216"/>
      <c r="DG54" s="216"/>
      <c r="DH54" s="216"/>
      <c r="DI54" s="216"/>
      <c r="DJ54" s="216"/>
      <c r="DK54" s="225"/>
      <c r="DL54" s="226"/>
      <c r="DM54" s="227"/>
      <c r="DN54" s="227"/>
      <c r="DO54" s="227"/>
      <c r="DP54" s="227"/>
      <c r="DQ54" s="227"/>
      <c r="DR54" s="234"/>
      <c r="DS54" s="226"/>
      <c r="DT54" s="227"/>
      <c r="DU54" s="234"/>
    </row>
    <row r="55" spans="1:125">
      <c r="A55" s="271"/>
      <c r="B55" s="272" t="str">
        <f>IFERROR(VLOOKUP($A55,Riesgos!$A$7:$H$84,2,FALSE),"")</f>
        <v/>
      </c>
      <c r="C55" s="272" t="str">
        <f>IFERROR(VLOOKUP($A55,Riesgos!$A$7:$H$84,7,FALSE),"")</f>
        <v/>
      </c>
      <c r="D55" s="272" t="str">
        <f>IFERROR(VLOOKUP($A55,Riesgos!$A$7:$H$84,8,FALSE),"")</f>
        <v/>
      </c>
      <c r="E55" s="273"/>
      <c r="F55" s="274"/>
      <c r="G55" s="137" t="str">
        <f>IF(ISNUMBER(F55),VLOOKUP(F55,'Listas y tablas'!$AC$2:$AF$7,2,FALSE),"")</f>
        <v/>
      </c>
      <c r="H55" s="274"/>
      <c r="I55" s="274"/>
      <c r="J55" s="274"/>
      <c r="K55" s="274"/>
      <c r="L55" s="274"/>
      <c r="M55" s="274"/>
      <c r="N55" s="274"/>
      <c r="O55" s="274"/>
      <c r="P55" s="274"/>
      <c r="Q55" s="274"/>
      <c r="R55" s="274"/>
      <c r="S55" s="274"/>
      <c r="T55" s="274"/>
      <c r="U55" s="274"/>
      <c r="V55" s="274"/>
      <c r="W55" s="274"/>
      <c r="X55" s="274"/>
      <c r="Y55" s="274"/>
      <c r="Z55" s="274"/>
      <c r="AA55" s="137">
        <f t="shared" si="1"/>
        <v>0</v>
      </c>
      <c r="AB55" s="279" t="str">
        <f t="shared" si="2"/>
        <v/>
      </c>
      <c r="AC55" s="280" t="str">
        <f t="shared" si="3"/>
        <v/>
      </c>
      <c r="AD55" s="281" t="str">
        <f>IFERROR(VLOOKUP(AC55,'Listas y tablas'!$AH$3:$AI$17,2,FALSE),"")</f>
        <v/>
      </c>
      <c r="AE55" s="280" t="str">
        <f t="shared" si="4"/>
        <v>C</v>
      </c>
      <c r="AF55" s="282">
        <f t="shared" si="23"/>
        <v>48</v>
      </c>
      <c r="AG55" s="282" t="str">
        <f t="shared" si="6"/>
        <v>C48</v>
      </c>
      <c r="AH55" s="286"/>
      <c r="AI55" s="282" t="str">
        <f t="shared" si="26"/>
        <v/>
      </c>
      <c r="AJ55" s="284"/>
      <c r="AK55" s="284"/>
      <c r="AL55" s="285">
        <f t="shared" si="7"/>
        <v>0</v>
      </c>
      <c r="AM55" s="284"/>
      <c r="AN55" s="285">
        <f t="shared" si="8"/>
        <v>0</v>
      </c>
      <c r="AO55" s="284"/>
      <c r="AP55" s="285">
        <f t="shared" si="9"/>
        <v>0</v>
      </c>
      <c r="AQ55" s="284"/>
      <c r="AR55" s="285">
        <f t="shared" si="10"/>
        <v>0</v>
      </c>
      <c r="AS55" s="284"/>
      <c r="AT55" s="285">
        <f t="shared" si="11"/>
        <v>0</v>
      </c>
      <c r="AU55" s="284"/>
      <c r="AV55" s="285">
        <f t="shared" si="12"/>
        <v>0</v>
      </c>
      <c r="AW55" s="284"/>
      <c r="AX55" s="282">
        <f t="shared" si="13"/>
        <v>0</v>
      </c>
      <c r="AY55" s="282">
        <f t="shared" si="14"/>
        <v>0</v>
      </c>
      <c r="AZ55" s="282">
        <f t="shared" si="15"/>
        <v>0</v>
      </c>
      <c r="BA55" s="282" t="str">
        <f t="shared" si="16"/>
        <v/>
      </c>
      <c r="BB55" s="282" t="str">
        <f>IFERROR(IF(ISNUMBER(BA55),VLOOKUP(BA55,'Listas y tablas'!$AC$2:$AF$7,2,FALSE),""),"")</f>
        <v/>
      </c>
      <c r="BC55" s="282" t="str">
        <f t="shared" si="22"/>
        <v/>
      </c>
      <c r="BD55" s="291" t="str">
        <f>IFERROR(VLOOKUP(BC55,'Listas y tablas'!$AH$3:$AI$17,2,FALSE),"")</f>
        <v/>
      </c>
      <c r="BE55" s="299"/>
      <c r="BF55" s="311"/>
      <c r="BG55" s="306"/>
      <c r="BH55" s="306"/>
      <c r="BI55" s="306"/>
      <c r="BJ55" s="306"/>
      <c r="BK55" s="306"/>
      <c r="BL55" s="306"/>
      <c r="BM55" s="306"/>
      <c r="BN55" s="306"/>
      <c r="BO55" s="306"/>
      <c r="BP55" s="306"/>
      <c r="BQ55" s="150"/>
      <c r="BR55" s="163"/>
      <c r="BS55" s="163"/>
      <c r="BT55" s="163"/>
      <c r="BU55" s="326"/>
      <c r="BV55" s="326"/>
      <c r="BW55" s="163"/>
      <c r="BX55" s="163"/>
      <c r="BY55" s="171"/>
      <c r="BZ55" s="323"/>
      <c r="CA55" s="324"/>
      <c r="CB55" s="181"/>
      <c r="CC55" s="182"/>
      <c r="CD55" s="181"/>
      <c r="CE55" s="181"/>
      <c r="CF55" s="183"/>
      <c r="CG55" s="323"/>
      <c r="CH55" s="327"/>
      <c r="CI55" s="192"/>
      <c r="CJ55" s="193"/>
      <c r="CK55" s="194"/>
      <c r="CL55" s="194"/>
      <c r="CM55" s="194"/>
      <c r="CN55" s="194"/>
      <c r="CO55" s="194"/>
      <c r="CP55" s="194"/>
      <c r="CQ55" s="194"/>
      <c r="CR55" s="204"/>
      <c r="CS55" s="205"/>
      <c r="CT55" s="206"/>
      <c r="CU55" s="206"/>
      <c r="CV55" s="206"/>
      <c r="CW55" s="206"/>
      <c r="CX55" s="206"/>
      <c r="CY55" s="213"/>
      <c r="CZ55" s="214"/>
      <c r="DA55" s="206"/>
      <c r="DB55" s="213"/>
      <c r="DC55" s="215"/>
      <c r="DD55" s="216"/>
      <c r="DE55" s="216"/>
      <c r="DF55" s="216"/>
      <c r="DG55" s="216"/>
      <c r="DH55" s="216"/>
      <c r="DI55" s="216"/>
      <c r="DJ55" s="216"/>
      <c r="DK55" s="225"/>
      <c r="DL55" s="226"/>
      <c r="DM55" s="227"/>
      <c r="DN55" s="227"/>
      <c r="DO55" s="227"/>
      <c r="DP55" s="227"/>
      <c r="DQ55" s="227"/>
      <c r="DR55" s="234"/>
      <c r="DS55" s="226"/>
      <c r="DT55" s="227"/>
      <c r="DU55" s="234"/>
    </row>
    <row r="56" spans="1:125">
      <c r="A56" s="271"/>
      <c r="B56" s="272" t="str">
        <f>IFERROR(VLOOKUP($A56,Riesgos!$A$7:$H$84,2,FALSE),"")</f>
        <v/>
      </c>
      <c r="C56" s="272" t="str">
        <f>IFERROR(VLOOKUP($A56,Riesgos!$A$7:$H$84,7,FALSE),"")</f>
        <v/>
      </c>
      <c r="D56" s="272" t="str">
        <f>IFERROR(VLOOKUP($A56,Riesgos!$A$7:$H$84,8,FALSE),"")</f>
        <v/>
      </c>
      <c r="E56" s="273"/>
      <c r="F56" s="274"/>
      <c r="G56" s="137" t="str">
        <f>IF(ISNUMBER(F56),VLOOKUP(F56,'Listas y tablas'!$AC$2:$AF$7,2,FALSE),"")</f>
        <v/>
      </c>
      <c r="H56" s="274"/>
      <c r="I56" s="274"/>
      <c r="J56" s="274"/>
      <c r="K56" s="274"/>
      <c r="L56" s="274"/>
      <c r="M56" s="274"/>
      <c r="N56" s="274"/>
      <c r="O56" s="274"/>
      <c r="P56" s="274"/>
      <c r="Q56" s="274"/>
      <c r="R56" s="274"/>
      <c r="S56" s="274"/>
      <c r="T56" s="274"/>
      <c r="U56" s="274"/>
      <c r="V56" s="274"/>
      <c r="W56" s="274"/>
      <c r="X56" s="274"/>
      <c r="Y56" s="274"/>
      <c r="Z56" s="274"/>
      <c r="AA56" s="137">
        <f t="shared" si="1"/>
        <v>0</v>
      </c>
      <c r="AB56" s="279" t="str">
        <f t="shared" si="2"/>
        <v/>
      </c>
      <c r="AC56" s="280" t="str">
        <f t="shared" si="3"/>
        <v/>
      </c>
      <c r="AD56" s="281" t="str">
        <f>IFERROR(VLOOKUP(AC56,'Listas y tablas'!$AH$3:$AI$17,2,FALSE),"")</f>
        <v/>
      </c>
      <c r="AE56" s="280" t="str">
        <f t="shared" si="4"/>
        <v>C</v>
      </c>
      <c r="AF56" s="282">
        <f t="shared" si="23"/>
        <v>49</v>
      </c>
      <c r="AG56" s="282" t="str">
        <f t="shared" si="6"/>
        <v>C49</v>
      </c>
      <c r="AH56" s="286"/>
      <c r="AI56" s="282" t="str">
        <f t="shared" si="26"/>
        <v/>
      </c>
      <c r="AJ56" s="284"/>
      <c r="AK56" s="284"/>
      <c r="AL56" s="285">
        <f t="shared" si="7"/>
        <v>0</v>
      </c>
      <c r="AM56" s="284"/>
      <c r="AN56" s="285">
        <f t="shared" si="8"/>
        <v>0</v>
      </c>
      <c r="AO56" s="284"/>
      <c r="AP56" s="285">
        <f t="shared" si="9"/>
        <v>0</v>
      </c>
      <c r="AQ56" s="284"/>
      <c r="AR56" s="285">
        <f t="shared" si="10"/>
        <v>0</v>
      </c>
      <c r="AS56" s="284"/>
      <c r="AT56" s="285">
        <f t="shared" si="11"/>
        <v>0</v>
      </c>
      <c r="AU56" s="284"/>
      <c r="AV56" s="285">
        <f t="shared" si="12"/>
        <v>0</v>
      </c>
      <c r="AW56" s="284"/>
      <c r="AX56" s="282">
        <f t="shared" si="13"/>
        <v>0</v>
      </c>
      <c r="AY56" s="282">
        <f t="shared" si="14"/>
        <v>0</v>
      </c>
      <c r="AZ56" s="282">
        <f t="shared" si="15"/>
        <v>0</v>
      </c>
      <c r="BA56" s="282" t="str">
        <f t="shared" si="16"/>
        <v/>
      </c>
      <c r="BB56" s="282" t="str">
        <f>IFERROR(IF(ISNUMBER(BA56),VLOOKUP(BA56,'Listas y tablas'!$AC$2:$AF$7,2,FALSE),""),"")</f>
        <v/>
      </c>
      <c r="BC56" s="282" t="str">
        <f t="shared" si="22"/>
        <v/>
      </c>
      <c r="BD56" s="291" t="str">
        <f>IFERROR(VLOOKUP(BC56,'Listas y tablas'!$AH$3:$AI$17,2,FALSE),"")</f>
        <v/>
      </c>
      <c r="BE56" s="299"/>
      <c r="BF56" s="311"/>
      <c r="BG56" s="306"/>
      <c r="BH56" s="306"/>
      <c r="BI56" s="306"/>
      <c r="BJ56" s="306"/>
      <c r="BK56" s="306"/>
      <c r="BL56" s="306"/>
      <c r="BM56" s="306"/>
      <c r="BN56" s="306"/>
      <c r="BO56" s="306"/>
      <c r="BP56" s="306"/>
      <c r="BQ56" s="150"/>
      <c r="BR56" s="163"/>
      <c r="BS56" s="163"/>
      <c r="BT56" s="163"/>
      <c r="BU56" s="326"/>
      <c r="BV56" s="326"/>
      <c r="BW56" s="163"/>
      <c r="BX56" s="163"/>
      <c r="BY56" s="171"/>
      <c r="BZ56" s="323"/>
      <c r="CA56" s="324"/>
      <c r="CB56" s="181"/>
      <c r="CC56" s="182"/>
      <c r="CD56" s="181"/>
      <c r="CE56" s="181"/>
      <c r="CF56" s="183"/>
      <c r="CG56" s="323"/>
      <c r="CH56" s="327"/>
      <c r="CI56" s="192"/>
      <c r="CJ56" s="193"/>
      <c r="CK56" s="194"/>
      <c r="CL56" s="194"/>
      <c r="CM56" s="194"/>
      <c r="CN56" s="194"/>
      <c r="CO56" s="194"/>
      <c r="CP56" s="194"/>
      <c r="CQ56" s="194"/>
      <c r="CR56" s="204"/>
      <c r="CS56" s="205"/>
      <c r="CT56" s="206"/>
      <c r="CU56" s="206"/>
      <c r="CV56" s="206"/>
      <c r="CW56" s="206"/>
      <c r="CX56" s="206"/>
      <c r="CY56" s="213"/>
      <c r="CZ56" s="214"/>
      <c r="DA56" s="206"/>
      <c r="DB56" s="213"/>
      <c r="DC56" s="215"/>
      <c r="DD56" s="216"/>
      <c r="DE56" s="216"/>
      <c r="DF56" s="216"/>
      <c r="DG56" s="216"/>
      <c r="DH56" s="216"/>
      <c r="DI56" s="216"/>
      <c r="DJ56" s="216"/>
      <c r="DK56" s="225"/>
      <c r="DL56" s="226"/>
      <c r="DM56" s="227"/>
      <c r="DN56" s="227"/>
      <c r="DO56" s="227"/>
      <c r="DP56" s="227"/>
      <c r="DQ56" s="227"/>
      <c r="DR56" s="234"/>
      <c r="DS56" s="226"/>
      <c r="DT56" s="227"/>
      <c r="DU56" s="234"/>
    </row>
    <row r="57" spans="1:125">
      <c r="A57" s="271"/>
      <c r="B57" s="272" t="str">
        <f>IFERROR(VLOOKUP($A57,Riesgos!$A$7:$H$84,2,FALSE),"")</f>
        <v/>
      </c>
      <c r="C57" s="272" t="str">
        <f>IFERROR(VLOOKUP($A57,Riesgos!$A$7:$H$84,7,FALSE),"")</f>
        <v/>
      </c>
      <c r="D57" s="272" t="str">
        <f>IFERROR(VLOOKUP($A57,Riesgos!$A$7:$H$84,8,FALSE),"")</f>
        <v/>
      </c>
      <c r="E57" s="273"/>
      <c r="F57" s="274"/>
      <c r="G57" s="137" t="str">
        <f>IF(ISNUMBER(F57),VLOOKUP(F57,'Listas y tablas'!$AC$2:$AF$7,2,FALSE),"")</f>
        <v/>
      </c>
      <c r="H57" s="274"/>
      <c r="I57" s="274"/>
      <c r="J57" s="274"/>
      <c r="K57" s="274"/>
      <c r="L57" s="274"/>
      <c r="M57" s="274"/>
      <c r="N57" s="274"/>
      <c r="O57" s="274"/>
      <c r="P57" s="274"/>
      <c r="Q57" s="274"/>
      <c r="R57" s="274"/>
      <c r="S57" s="274"/>
      <c r="T57" s="274"/>
      <c r="U57" s="274"/>
      <c r="V57" s="274"/>
      <c r="W57" s="274"/>
      <c r="X57" s="274"/>
      <c r="Y57" s="274"/>
      <c r="Z57" s="274"/>
      <c r="AA57" s="137">
        <f t="shared" si="1"/>
        <v>0</v>
      </c>
      <c r="AB57" s="279" t="str">
        <f t="shared" si="2"/>
        <v/>
      </c>
      <c r="AC57" s="280" t="str">
        <f t="shared" si="3"/>
        <v/>
      </c>
      <c r="AD57" s="281" t="str">
        <f>IFERROR(VLOOKUP(AC57,'Listas y tablas'!$AH$3:$AI$17,2,FALSE),"")</f>
        <v/>
      </c>
      <c r="AE57" s="280" t="str">
        <f t="shared" si="4"/>
        <v>C</v>
      </c>
      <c r="AF57" s="282">
        <f t="shared" si="23"/>
        <v>50</v>
      </c>
      <c r="AG57" s="282" t="str">
        <f t="shared" si="6"/>
        <v>C50</v>
      </c>
      <c r="AH57" s="286"/>
      <c r="AI57" s="282" t="str">
        <f t="shared" si="26"/>
        <v/>
      </c>
      <c r="AJ57" s="284"/>
      <c r="AK57" s="284"/>
      <c r="AL57" s="285">
        <f t="shared" si="7"/>
        <v>0</v>
      </c>
      <c r="AM57" s="284"/>
      <c r="AN57" s="285">
        <f t="shared" si="8"/>
        <v>0</v>
      </c>
      <c r="AO57" s="284"/>
      <c r="AP57" s="285">
        <f t="shared" si="9"/>
        <v>0</v>
      </c>
      <c r="AQ57" s="284"/>
      <c r="AR57" s="285">
        <f t="shared" si="10"/>
        <v>0</v>
      </c>
      <c r="AS57" s="284"/>
      <c r="AT57" s="285">
        <f t="shared" si="11"/>
        <v>0</v>
      </c>
      <c r="AU57" s="284"/>
      <c r="AV57" s="285">
        <f t="shared" si="12"/>
        <v>0</v>
      </c>
      <c r="AW57" s="284"/>
      <c r="AX57" s="282">
        <f t="shared" si="13"/>
        <v>0</v>
      </c>
      <c r="AY57" s="282">
        <f t="shared" si="14"/>
        <v>0</v>
      </c>
      <c r="AZ57" s="282">
        <f t="shared" si="15"/>
        <v>0</v>
      </c>
      <c r="BA57" s="282" t="str">
        <f t="shared" si="16"/>
        <v/>
      </c>
      <c r="BB57" s="282" t="str">
        <f>IFERROR(IF(ISNUMBER(BA57),VLOOKUP(BA57,'Listas y tablas'!$AC$2:$AF$7,2,FALSE),""),"")</f>
        <v/>
      </c>
      <c r="BC57" s="282" t="str">
        <f t="shared" si="22"/>
        <v/>
      </c>
      <c r="BD57" s="291" t="str">
        <f>IFERROR(VLOOKUP(BC57,'Listas y tablas'!$AH$3:$AI$17,2,FALSE),"")</f>
        <v/>
      </c>
      <c r="BE57" s="299"/>
      <c r="BF57" s="311"/>
      <c r="BG57" s="306"/>
      <c r="BH57" s="306"/>
      <c r="BI57" s="306"/>
      <c r="BJ57" s="306"/>
      <c r="BK57" s="306"/>
      <c r="BL57" s="306"/>
      <c r="BM57" s="306"/>
      <c r="BN57" s="306"/>
      <c r="BO57" s="306"/>
      <c r="BP57" s="306"/>
      <c r="BQ57" s="150"/>
      <c r="BR57" s="163"/>
      <c r="BS57" s="163"/>
      <c r="BT57" s="163"/>
      <c r="BU57" s="326"/>
      <c r="BV57" s="326"/>
      <c r="BW57" s="163"/>
      <c r="BX57" s="163"/>
      <c r="BY57" s="171"/>
      <c r="BZ57" s="323"/>
      <c r="CA57" s="324"/>
      <c r="CB57" s="181"/>
      <c r="CC57" s="182"/>
      <c r="CD57" s="181"/>
      <c r="CE57" s="181"/>
      <c r="CF57" s="183"/>
      <c r="CG57" s="323"/>
      <c r="CH57" s="327"/>
      <c r="CI57" s="192"/>
      <c r="CJ57" s="193"/>
      <c r="CK57" s="194"/>
      <c r="CL57" s="194"/>
      <c r="CM57" s="194"/>
      <c r="CN57" s="194"/>
      <c r="CO57" s="194"/>
      <c r="CP57" s="194"/>
      <c r="CQ57" s="194"/>
      <c r="CR57" s="204"/>
      <c r="CS57" s="205"/>
      <c r="CT57" s="206"/>
      <c r="CU57" s="206"/>
      <c r="CV57" s="206"/>
      <c r="CW57" s="206"/>
      <c r="CX57" s="206"/>
      <c r="CY57" s="213"/>
      <c r="CZ57" s="214"/>
      <c r="DA57" s="206"/>
      <c r="DB57" s="213"/>
      <c r="DC57" s="215"/>
      <c r="DD57" s="216"/>
      <c r="DE57" s="216"/>
      <c r="DF57" s="216"/>
      <c r="DG57" s="216"/>
      <c r="DH57" s="216"/>
      <c r="DI57" s="216"/>
      <c r="DJ57" s="216"/>
      <c r="DK57" s="225"/>
      <c r="DL57" s="226"/>
      <c r="DM57" s="227"/>
      <c r="DN57" s="227"/>
      <c r="DO57" s="227"/>
      <c r="DP57" s="227"/>
      <c r="DQ57" s="227"/>
      <c r="DR57" s="234"/>
      <c r="DS57" s="226"/>
      <c r="DT57" s="227"/>
      <c r="DU57" s="234"/>
    </row>
    <row r="58" spans="1:125">
      <c r="A58" s="271"/>
      <c r="B58" s="272" t="str">
        <f>IFERROR(VLOOKUP($A58,Riesgos!$A$7:$H$84,2,FALSE),"")</f>
        <v/>
      </c>
      <c r="C58" s="272" t="str">
        <f>IFERROR(VLOOKUP($A58,Riesgos!$A$7:$H$84,7,FALSE),"")</f>
        <v/>
      </c>
      <c r="D58" s="272" t="str">
        <f>IFERROR(VLOOKUP($A58,Riesgos!$A$7:$H$84,8,FALSE),"")</f>
        <v/>
      </c>
      <c r="E58" s="273"/>
      <c r="F58" s="274"/>
      <c r="G58" s="137" t="str">
        <f>IF(ISNUMBER(F58),VLOOKUP(F58,'Listas y tablas'!$AC$2:$AF$7,2,FALSE),"")</f>
        <v/>
      </c>
      <c r="H58" s="274"/>
      <c r="I58" s="274"/>
      <c r="J58" s="274"/>
      <c r="K58" s="274"/>
      <c r="L58" s="274"/>
      <c r="M58" s="274"/>
      <c r="N58" s="274"/>
      <c r="O58" s="274"/>
      <c r="P58" s="274"/>
      <c r="Q58" s="274"/>
      <c r="R58" s="274"/>
      <c r="S58" s="274"/>
      <c r="T58" s="274"/>
      <c r="U58" s="274"/>
      <c r="V58" s="274"/>
      <c r="W58" s="274"/>
      <c r="X58" s="274"/>
      <c r="Y58" s="274"/>
      <c r="Z58" s="274"/>
      <c r="AA58" s="137">
        <f t="shared" si="1"/>
        <v>0</v>
      </c>
      <c r="AB58" s="279" t="str">
        <f t="shared" si="2"/>
        <v/>
      </c>
      <c r="AC58" s="280" t="str">
        <f t="shared" si="3"/>
        <v/>
      </c>
      <c r="AD58" s="281" t="str">
        <f>IFERROR(VLOOKUP(AC58,'Listas y tablas'!$AH$3:$AI$17,2,FALSE),"")</f>
        <v/>
      </c>
      <c r="AE58" s="280" t="str">
        <f t="shared" si="4"/>
        <v>C</v>
      </c>
      <c r="AF58" s="282">
        <f t="shared" si="23"/>
        <v>51</v>
      </c>
      <c r="AG58" s="282" t="str">
        <f t="shared" si="6"/>
        <v>C51</v>
      </c>
      <c r="AH58" s="287"/>
      <c r="AI58" s="282" t="str">
        <f t="shared" si="26"/>
        <v/>
      </c>
      <c r="AJ58" s="284"/>
      <c r="AK58" s="284"/>
      <c r="AL58" s="285">
        <f t="shared" si="7"/>
        <v>0</v>
      </c>
      <c r="AM58" s="284"/>
      <c r="AN58" s="285">
        <f t="shared" si="8"/>
        <v>0</v>
      </c>
      <c r="AO58" s="284"/>
      <c r="AP58" s="285">
        <f t="shared" si="9"/>
        <v>0</v>
      </c>
      <c r="AQ58" s="284"/>
      <c r="AR58" s="285">
        <f t="shared" si="10"/>
        <v>0</v>
      </c>
      <c r="AS58" s="284"/>
      <c r="AT58" s="285">
        <f t="shared" si="11"/>
        <v>0</v>
      </c>
      <c r="AU58" s="284"/>
      <c r="AV58" s="285">
        <f t="shared" si="12"/>
        <v>0</v>
      </c>
      <c r="AW58" s="284"/>
      <c r="AX58" s="282">
        <f t="shared" si="13"/>
        <v>0</v>
      </c>
      <c r="AY58" s="282">
        <f t="shared" si="14"/>
        <v>0</v>
      </c>
      <c r="AZ58" s="282">
        <f t="shared" si="15"/>
        <v>0</v>
      </c>
      <c r="BA58" s="282" t="str">
        <f t="shared" si="16"/>
        <v/>
      </c>
      <c r="BB58" s="282" t="str">
        <f>IFERROR(IF(ISNUMBER(BA58),VLOOKUP(BA58,'Listas y tablas'!$AC$2:$AF$7,2,FALSE),""),"")</f>
        <v/>
      </c>
      <c r="BC58" s="282" t="str">
        <f t="shared" si="22"/>
        <v/>
      </c>
      <c r="BD58" s="291" t="str">
        <f>IFERROR(VLOOKUP(BC58,'Listas y tablas'!$AH$3:$AI$17,2,FALSE),"")</f>
        <v/>
      </c>
      <c r="BE58" s="299"/>
      <c r="BF58" s="311"/>
      <c r="BG58" s="306"/>
      <c r="BH58" s="306"/>
      <c r="BI58" s="306"/>
      <c r="BJ58" s="306"/>
      <c r="BK58" s="306"/>
      <c r="BL58" s="306"/>
      <c r="BM58" s="306"/>
      <c r="BN58" s="306"/>
      <c r="BO58" s="306"/>
      <c r="BP58" s="306"/>
      <c r="BQ58" s="150"/>
      <c r="BR58" s="163"/>
      <c r="BS58" s="163"/>
      <c r="BT58" s="163"/>
      <c r="BU58" s="326"/>
      <c r="BV58" s="326"/>
      <c r="BW58" s="163"/>
      <c r="BX58" s="163"/>
      <c r="BY58" s="171"/>
      <c r="BZ58" s="323"/>
      <c r="CA58" s="324"/>
      <c r="CB58" s="181"/>
      <c r="CC58" s="182"/>
      <c r="CD58" s="181"/>
      <c r="CE58" s="181"/>
      <c r="CF58" s="183"/>
      <c r="CG58" s="323"/>
      <c r="CH58" s="327"/>
      <c r="CI58" s="192"/>
      <c r="CJ58" s="193"/>
      <c r="CK58" s="194"/>
      <c r="CL58" s="194"/>
      <c r="CM58" s="194"/>
      <c r="CN58" s="194"/>
      <c r="CO58" s="194"/>
      <c r="CP58" s="194"/>
      <c r="CQ58" s="194"/>
      <c r="CR58" s="204"/>
      <c r="CS58" s="205"/>
      <c r="CT58" s="206"/>
      <c r="CU58" s="206"/>
      <c r="CV58" s="206"/>
      <c r="CW58" s="206"/>
      <c r="CX58" s="206"/>
      <c r="CY58" s="213"/>
      <c r="CZ58" s="214"/>
      <c r="DA58" s="206"/>
      <c r="DB58" s="213"/>
      <c r="DC58" s="215"/>
      <c r="DD58" s="216"/>
      <c r="DE58" s="216"/>
      <c r="DF58" s="216"/>
      <c r="DG58" s="216"/>
      <c r="DH58" s="216"/>
      <c r="DI58" s="216"/>
      <c r="DJ58" s="216"/>
      <c r="DK58" s="225"/>
      <c r="DL58" s="226"/>
      <c r="DM58" s="227"/>
      <c r="DN58" s="227"/>
      <c r="DO58" s="227"/>
      <c r="DP58" s="227"/>
      <c r="DQ58" s="227"/>
      <c r="DR58" s="234"/>
      <c r="DS58" s="226"/>
      <c r="DT58" s="227"/>
      <c r="DU58" s="234"/>
    </row>
    <row r="59" spans="1:125">
      <c r="A59" s="271"/>
      <c r="B59" s="272" t="str">
        <f>IFERROR(VLOOKUP($A59,Riesgos!$A$7:$H$84,2,FALSE),"")</f>
        <v/>
      </c>
      <c r="C59" s="272" t="str">
        <f>IFERROR(VLOOKUP($A59,Riesgos!$A$7:$H$84,7,FALSE),"")</f>
        <v/>
      </c>
      <c r="D59" s="272" t="str">
        <f>IFERROR(VLOOKUP($A59,Riesgos!$A$7:$H$84,8,FALSE),"")</f>
        <v/>
      </c>
      <c r="E59" s="273"/>
      <c r="F59" s="274"/>
      <c r="G59" s="137" t="str">
        <f>IF(ISNUMBER(F59),VLOOKUP(F59,'Listas y tablas'!$AC$2:$AF$7,2,FALSE),"")</f>
        <v/>
      </c>
      <c r="H59" s="274"/>
      <c r="I59" s="274"/>
      <c r="J59" s="274"/>
      <c r="K59" s="274"/>
      <c r="L59" s="274"/>
      <c r="M59" s="274"/>
      <c r="N59" s="274"/>
      <c r="O59" s="274"/>
      <c r="P59" s="274"/>
      <c r="Q59" s="274"/>
      <c r="R59" s="274"/>
      <c r="S59" s="274"/>
      <c r="T59" s="274"/>
      <c r="U59" s="274"/>
      <c r="V59" s="274"/>
      <c r="W59" s="274"/>
      <c r="X59" s="274"/>
      <c r="Y59" s="274"/>
      <c r="Z59" s="274"/>
      <c r="AA59" s="137">
        <f t="shared" si="1"/>
        <v>0</v>
      </c>
      <c r="AB59" s="279" t="str">
        <f t="shared" si="2"/>
        <v/>
      </c>
      <c r="AC59" s="280" t="str">
        <f t="shared" si="3"/>
        <v/>
      </c>
      <c r="AD59" s="281" t="str">
        <f>IFERROR(VLOOKUP(AC59,'Listas y tablas'!$AH$3:$AI$17,2,FALSE),"")</f>
        <v/>
      </c>
      <c r="AE59" s="280" t="str">
        <f t="shared" si="4"/>
        <v>C</v>
      </c>
      <c r="AF59" s="282">
        <f t="shared" si="23"/>
        <v>52</v>
      </c>
      <c r="AG59" s="282" t="str">
        <f t="shared" si="6"/>
        <v>C52</v>
      </c>
      <c r="AH59" s="286"/>
      <c r="AI59" s="282" t="str">
        <f t="shared" ref="AI59:AI64" si="27">IF(OR(AJ59="Preventivo",AJ59="Detectivo"),"Probabilidad",IF(AJ59="Correctivo","Impacto",""))</f>
        <v/>
      </c>
      <c r="AJ59" s="284"/>
      <c r="AK59" s="284"/>
      <c r="AL59" s="285">
        <f t="shared" si="7"/>
        <v>0</v>
      </c>
      <c r="AM59" s="284"/>
      <c r="AN59" s="285">
        <f t="shared" si="8"/>
        <v>0</v>
      </c>
      <c r="AO59" s="284"/>
      <c r="AP59" s="285">
        <f t="shared" si="9"/>
        <v>0</v>
      </c>
      <c r="AQ59" s="284"/>
      <c r="AR59" s="285">
        <f t="shared" si="10"/>
        <v>0</v>
      </c>
      <c r="AS59" s="284"/>
      <c r="AT59" s="285">
        <f t="shared" si="11"/>
        <v>0</v>
      </c>
      <c r="AU59" s="284"/>
      <c r="AV59" s="285">
        <f t="shared" si="12"/>
        <v>0</v>
      </c>
      <c r="AW59" s="284"/>
      <c r="AX59" s="282">
        <f t="shared" si="13"/>
        <v>0</v>
      </c>
      <c r="AY59" s="282">
        <f t="shared" si="14"/>
        <v>0</v>
      </c>
      <c r="AZ59" s="282">
        <f t="shared" si="15"/>
        <v>0</v>
      </c>
      <c r="BA59" s="282" t="str">
        <f t="shared" si="16"/>
        <v/>
      </c>
      <c r="BB59" s="282" t="str">
        <f>IFERROR(IF(ISNUMBER(BA59),VLOOKUP(BA59,'Listas y tablas'!$AC$2:$AF$7,2,FALSE),""),"")</f>
        <v/>
      </c>
      <c r="BC59" s="282" t="str">
        <f t="shared" si="22"/>
        <v/>
      </c>
      <c r="BD59" s="291" t="str">
        <f>IFERROR(VLOOKUP(BC59,'Listas y tablas'!$AH$3:$AI$17,2,FALSE),"")</f>
        <v/>
      </c>
      <c r="BE59" s="299"/>
      <c r="BF59" s="311"/>
      <c r="BG59" s="306"/>
      <c r="BH59" s="306"/>
      <c r="BI59" s="306"/>
      <c r="BJ59" s="306"/>
      <c r="BK59" s="306"/>
      <c r="BL59" s="306"/>
      <c r="BM59" s="306"/>
      <c r="BN59" s="306"/>
      <c r="BO59" s="306"/>
      <c r="BP59" s="306"/>
      <c r="BQ59" s="150"/>
      <c r="BR59" s="163"/>
      <c r="BS59" s="163"/>
      <c r="BT59" s="163"/>
      <c r="BU59" s="326"/>
      <c r="BV59" s="326"/>
      <c r="BW59" s="163"/>
      <c r="BX59" s="163"/>
      <c r="BY59" s="171"/>
      <c r="BZ59" s="323"/>
      <c r="CA59" s="324"/>
      <c r="CB59" s="181"/>
      <c r="CC59" s="182"/>
      <c r="CD59" s="181"/>
      <c r="CE59" s="181"/>
      <c r="CF59" s="183"/>
      <c r="CG59" s="323"/>
      <c r="CH59" s="327"/>
      <c r="CI59" s="192"/>
      <c r="CJ59" s="193"/>
      <c r="CK59" s="194"/>
      <c r="CL59" s="194"/>
      <c r="CM59" s="194"/>
      <c r="CN59" s="194"/>
      <c r="CO59" s="194"/>
      <c r="CP59" s="194"/>
      <c r="CQ59" s="194"/>
      <c r="CR59" s="204"/>
      <c r="CS59" s="205"/>
      <c r="CT59" s="206"/>
      <c r="CU59" s="206"/>
      <c r="CV59" s="206"/>
      <c r="CW59" s="206"/>
      <c r="CX59" s="206"/>
      <c r="CY59" s="213"/>
      <c r="CZ59" s="214"/>
      <c r="DA59" s="206"/>
      <c r="DB59" s="213"/>
      <c r="DC59" s="215"/>
      <c r="DD59" s="216"/>
      <c r="DE59" s="216"/>
      <c r="DF59" s="216"/>
      <c r="DG59" s="216"/>
      <c r="DH59" s="216"/>
      <c r="DI59" s="216"/>
      <c r="DJ59" s="216"/>
      <c r="DK59" s="225"/>
      <c r="DL59" s="226"/>
      <c r="DM59" s="227"/>
      <c r="DN59" s="227"/>
      <c r="DO59" s="227"/>
      <c r="DP59" s="227"/>
      <c r="DQ59" s="227"/>
      <c r="DR59" s="234"/>
      <c r="DS59" s="226"/>
      <c r="DT59" s="227"/>
      <c r="DU59" s="234"/>
    </row>
    <row r="60" spans="1:125">
      <c r="A60" s="271"/>
      <c r="B60" s="272" t="str">
        <f>IFERROR(VLOOKUP($A60,Riesgos!$A$7:$H$84,2,FALSE),"")</f>
        <v/>
      </c>
      <c r="C60" s="272" t="str">
        <f>IFERROR(VLOOKUP($A60,Riesgos!$A$7:$H$84,7,FALSE),"")</f>
        <v/>
      </c>
      <c r="D60" s="272" t="str">
        <f>IFERROR(VLOOKUP($A60,Riesgos!$A$7:$H$84,8,FALSE),"")</f>
        <v/>
      </c>
      <c r="E60" s="273"/>
      <c r="F60" s="274"/>
      <c r="G60" s="137" t="str">
        <f>IF(ISNUMBER(F60),VLOOKUP(F60,'Listas y tablas'!$AC$2:$AF$7,2,FALSE),"")</f>
        <v/>
      </c>
      <c r="H60" s="274"/>
      <c r="I60" s="274"/>
      <c r="J60" s="274"/>
      <c r="K60" s="274"/>
      <c r="L60" s="274"/>
      <c r="M60" s="274"/>
      <c r="N60" s="274"/>
      <c r="O60" s="274"/>
      <c r="P60" s="274"/>
      <c r="Q60" s="274"/>
      <c r="R60" s="274"/>
      <c r="S60" s="274"/>
      <c r="T60" s="274"/>
      <c r="U60" s="274"/>
      <c r="V60" s="274"/>
      <c r="W60" s="274"/>
      <c r="X60" s="274"/>
      <c r="Y60" s="274"/>
      <c r="Z60" s="274"/>
      <c r="AA60" s="137">
        <f t="shared" si="1"/>
        <v>0</v>
      </c>
      <c r="AB60" s="279" t="str">
        <f t="shared" si="2"/>
        <v/>
      </c>
      <c r="AC60" s="280" t="str">
        <f t="shared" si="3"/>
        <v/>
      </c>
      <c r="AD60" s="281" t="str">
        <f>IFERROR(VLOOKUP(AC60,'Listas y tablas'!$AH$3:$AI$17,2,FALSE),"")</f>
        <v/>
      </c>
      <c r="AE60" s="280" t="str">
        <f t="shared" si="4"/>
        <v>C</v>
      </c>
      <c r="AF60" s="282">
        <f t="shared" si="23"/>
        <v>53</v>
      </c>
      <c r="AG60" s="282" t="str">
        <f t="shared" si="6"/>
        <v>C53</v>
      </c>
      <c r="AH60" s="286"/>
      <c r="AI60" s="282" t="str">
        <f t="shared" si="27"/>
        <v/>
      </c>
      <c r="AJ60" s="284"/>
      <c r="AK60" s="284"/>
      <c r="AL60" s="285">
        <f t="shared" si="7"/>
        <v>0</v>
      </c>
      <c r="AM60" s="284"/>
      <c r="AN60" s="285">
        <f t="shared" si="8"/>
        <v>0</v>
      </c>
      <c r="AO60" s="284"/>
      <c r="AP60" s="285">
        <f t="shared" si="9"/>
        <v>0</v>
      </c>
      <c r="AQ60" s="284"/>
      <c r="AR60" s="285">
        <f t="shared" si="10"/>
        <v>0</v>
      </c>
      <c r="AS60" s="284"/>
      <c r="AT60" s="285">
        <f t="shared" si="11"/>
        <v>0</v>
      </c>
      <c r="AU60" s="284"/>
      <c r="AV60" s="285">
        <f t="shared" si="12"/>
        <v>0</v>
      </c>
      <c r="AW60" s="284"/>
      <c r="AX60" s="282">
        <f t="shared" si="13"/>
        <v>0</v>
      </c>
      <c r="AY60" s="282">
        <f t="shared" si="14"/>
        <v>0</v>
      </c>
      <c r="AZ60" s="282">
        <f t="shared" si="15"/>
        <v>0</v>
      </c>
      <c r="BA60" s="282" t="str">
        <f t="shared" si="16"/>
        <v/>
      </c>
      <c r="BB60" s="282" t="str">
        <f>IFERROR(IF(ISNUMBER(BA60),VLOOKUP(BA60,'Listas y tablas'!$AC$2:$AF$7,2,FALSE),""),"")</f>
        <v/>
      </c>
      <c r="BC60" s="282" t="str">
        <f t="shared" si="22"/>
        <v/>
      </c>
      <c r="BD60" s="291" t="str">
        <f>IFERROR(VLOOKUP(BC60,'Listas y tablas'!$AH$3:$AI$17,2,FALSE),"")</f>
        <v/>
      </c>
      <c r="BE60" s="299"/>
      <c r="BF60" s="311"/>
      <c r="BG60" s="306"/>
      <c r="BH60" s="306"/>
      <c r="BI60" s="306"/>
      <c r="BJ60" s="306"/>
      <c r="BK60" s="306"/>
      <c r="BL60" s="306"/>
      <c r="BM60" s="306"/>
      <c r="BN60" s="306"/>
      <c r="BO60" s="306"/>
      <c r="BP60" s="306"/>
      <c r="BQ60" s="150"/>
      <c r="BR60" s="163"/>
      <c r="BS60" s="163"/>
      <c r="BT60" s="163"/>
      <c r="BU60" s="326"/>
      <c r="BV60" s="326"/>
      <c r="BW60" s="163"/>
      <c r="BX60" s="163"/>
      <c r="BY60" s="171"/>
      <c r="BZ60" s="323"/>
      <c r="CA60" s="324"/>
      <c r="CB60" s="181"/>
      <c r="CC60" s="182"/>
      <c r="CD60" s="181"/>
      <c r="CE60" s="181"/>
      <c r="CF60" s="183"/>
      <c r="CG60" s="323"/>
      <c r="CH60" s="327"/>
      <c r="CI60" s="192"/>
      <c r="CJ60" s="193"/>
      <c r="CK60" s="194"/>
      <c r="CL60" s="194"/>
      <c r="CM60" s="194"/>
      <c r="CN60" s="194"/>
      <c r="CO60" s="194"/>
      <c r="CP60" s="194"/>
      <c r="CQ60" s="194"/>
      <c r="CR60" s="204"/>
      <c r="CS60" s="205"/>
      <c r="CT60" s="206"/>
      <c r="CU60" s="206"/>
      <c r="CV60" s="206"/>
      <c r="CW60" s="206"/>
      <c r="CX60" s="206"/>
      <c r="CY60" s="213"/>
      <c r="CZ60" s="214"/>
      <c r="DA60" s="206"/>
      <c r="DB60" s="213"/>
      <c r="DC60" s="215"/>
      <c r="DD60" s="216"/>
      <c r="DE60" s="216"/>
      <c r="DF60" s="216"/>
      <c r="DG60" s="216"/>
      <c r="DH60" s="216"/>
      <c r="DI60" s="216"/>
      <c r="DJ60" s="216"/>
      <c r="DK60" s="225"/>
      <c r="DL60" s="226"/>
      <c r="DM60" s="227"/>
      <c r="DN60" s="227"/>
      <c r="DO60" s="227"/>
      <c r="DP60" s="227"/>
      <c r="DQ60" s="227"/>
      <c r="DR60" s="234"/>
      <c r="DS60" s="226"/>
      <c r="DT60" s="227"/>
      <c r="DU60" s="234"/>
    </row>
    <row r="61" spans="1:125">
      <c r="A61" s="271"/>
      <c r="B61" s="272" t="str">
        <f>IFERROR(VLOOKUP($A61,Riesgos!$A$7:$H$84,2,FALSE),"")</f>
        <v/>
      </c>
      <c r="C61" s="272" t="str">
        <f>IFERROR(VLOOKUP($A61,Riesgos!$A$7:$H$84,7,FALSE),"")</f>
        <v/>
      </c>
      <c r="D61" s="272" t="str">
        <f>IFERROR(VLOOKUP($A61,Riesgos!$A$7:$H$84,8,FALSE),"")</f>
        <v/>
      </c>
      <c r="E61" s="273"/>
      <c r="F61" s="274"/>
      <c r="G61" s="137" t="str">
        <f>IF(ISNUMBER(F61),VLOOKUP(F61,'Listas y tablas'!$AC$2:$AF$7,2,FALSE),"")</f>
        <v/>
      </c>
      <c r="H61" s="274"/>
      <c r="I61" s="274"/>
      <c r="J61" s="274"/>
      <c r="K61" s="274"/>
      <c r="L61" s="274"/>
      <c r="M61" s="274"/>
      <c r="N61" s="274"/>
      <c r="O61" s="274"/>
      <c r="P61" s="274"/>
      <c r="Q61" s="274"/>
      <c r="R61" s="274"/>
      <c r="S61" s="274"/>
      <c r="T61" s="274"/>
      <c r="U61" s="274"/>
      <c r="V61" s="274"/>
      <c r="W61" s="274"/>
      <c r="X61" s="274"/>
      <c r="Y61" s="274"/>
      <c r="Z61" s="274"/>
      <c r="AA61" s="137">
        <f t="shared" si="1"/>
        <v>0</v>
      </c>
      <c r="AB61" s="279" t="str">
        <f t="shared" si="2"/>
        <v/>
      </c>
      <c r="AC61" s="280" t="str">
        <f t="shared" si="3"/>
        <v/>
      </c>
      <c r="AD61" s="281" t="str">
        <f>IFERROR(VLOOKUP(AC61,'Listas y tablas'!$AH$3:$AI$17,2,FALSE),"")</f>
        <v/>
      </c>
      <c r="AE61" s="280" t="str">
        <f t="shared" si="4"/>
        <v>C</v>
      </c>
      <c r="AF61" s="282">
        <f t="shared" si="23"/>
        <v>54</v>
      </c>
      <c r="AG61" s="282" t="str">
        <f t="shared" si="6"/>
        <v>C54</v>
      </c>
      <c r="AH61" s="286"/>
      <c r="AI61" s="282" t="str">
        <f t="shared" si="27"/>
        <v/>
      </c>
      <c r="AJ61" s="284"/>
      <c r="AK61" s="284"/>
      <c r="AL61" s="285">
        <f t="shared" si="7"/>
        <v>0</v>
      </c>
      <c r="AM61" s="284"/>
      <c r="AN61" s="285">
        <f t="shared" si="8"/>
        <v>0</v>
      </c>
      <c r="AO61" s="284"/>
      <c r="AP61" s="285">
        <f t="shared" si="9"/>
        <v>0</v>
      </c>
      <c r="AQ61" s="284"/>
      <c r="AR61" s="285">
        <f t="shared" si="10"/>
        <v>0</v>
      </c>
      <c r="AS61" s="284"/>
      <c r="AT61" s="285">
        <f t="shared" si="11"/>
        <v>0</v>
      </c>
      <c r="AU61" s="284"/>
      <c r="AV61" s="285">
        <f t="shared" si="12"/>
        <v>0</v>
      </c>
      <c r="AW61" s="284"/>
      <c r="AX61" s="282">
        <f t="shared" si="13"/>
        <v>0</v>
      </c>
      <c r="AY61" s="282">
        <f t="shared" si="14"/>
        <v>0</v>
      </c>
      <c r="AZ61" s="282">
        <f t="shared" si="15"/>
        <v>0</v>
      </c>
      <c r="BA61" s="282" t="str">
        <f t="shared" si="16"/>
        <v/>
      </c>
      <c r="BB61" s="282" t="str">
        <f>IFERROR(IF(ISNUMBER(BA61),VLOOKUP(BA61,'Listas y tablas'!$AC$2:$AF$7,2,FALSE),""),"")</f>
        <v/>
      </c>
      <c r="BC61" s="282" t="str">
        <f t="shared" si="22"/>
        <v/>
      </c>
      <c r="BD61" s="291" t="str">
        <f>IFERROR(VLOOKUP(BC61,'Listas y tablas'!$AH$3:$AI$17,2,FALSE),"")</f>
        <v/>
      </c>
      <c r="BE61" s="299"/>
      <c r="BF61" s="311"/>
      <c r="BG61" s="306"/>
      <c r="BH61" s="306"/>
      <c r="BI61" s="306"/>
      <c r="BJ61" s="306"/>
      <c r="BK61" s="306"/>
      <c r="BL61" s="306"/>
      <c r="BM61" s="306"/>
      <c r="BN61" s="306"/>
      <c r="BO61" s="306"/>
      <c r="BP61" s="306"/>
      <c r="BQ61" s="150"/>
      <c r="BR61" s="163"/>
      <c r="BS61" s="163"/>
      <c r="BT61" s="163"/>
      <c r="BU61" s="326"/>
      <c r="BV61" s="326"/>
      <c r="BW61" s="163"/>
      <c r="BX61" s="163"/>
      <c r="BY61" s="171"/>
      <c r="BZ61" s="323"/>
      <c r="CA61" s="324"/>
      <c r="CB61" s="181"/>
      <c r="CC61" s="182"/>
      <c r="CD61" s="181"/>
      <c r="CE61" s="181"/>
      <c r="CF61" s="183"/>
      <c r="CG61" s="323"/>
      <c r="CH61" s="327"/>
      <c r="CI61" s="192"/>
      <c r="CJ61" s="193"/>
      <c r="CK61" s="194"/>
      <c r="CL61" s="194"/>
      <c r="CM61" s="194"/>
      <c r="CN61" s="194"/>
      <c r="CO61" s="194"/>
      <c r="CP61" s="194"/>
      <c r="CQ61" s="194"/>
      <c r="CR61" s="204"/>
      <c r="CS61" s="205"/>
      <c r="CT61" s="206"/>
      <c r="CU61" s="206"/>
      <c r="CV61" s="206"/>
      <c r="CW61" s="206"/>
      <c r="CX61" s="206"/>
      <c r="CY61" s="213"/>
      <c r="CZ61" s="214"/>
      <c r="DA61" s="206"/>
      <c r="DB61" s="213"/>
      <c r="DC61" s="215"/>
      <c r="DD61" s="216"/>
      <c r="DE61" s="216"/>
      <c r="DF61" s="216"/>
      <c r="DG61" s="216"/>
      <c r="DH61" s="216"/>
      <c r="DI61" s="216"/>
      <c r="DJ61" s="216"/>
      <c r="DK61" s="225"/>
      <c r="DL61" s="226"/>
      <c r="DM61" s="227"/>
      <c r="DN61" s="227"/>
      <c r="DO61" s="227"/>
      <c r="DP61" s="227"/>
      <c r="DQ61" s="227"/>
      <c r="DR61" s="234"/>
      <c r="DS61" s="226"/>
      <c r="DT61" s="227"/>
      <c r="DU61" s="234"/>
    </row>
    <row r="62" spans="1:125">
      <c r="A62" s="271"/>
      <c r="B62" s="272" t="str">
        <f>IFERROR(VLOOKUP($A62,Riesgos!$A$7:$H$84,2,FALSE),"")</f>
        <v/>
      </c>
      <c r="C62" s="272" t="str">
        <f>IFERROR(VLOOKUP($A62,Riesgos!$A$7:$H$84,7,FALSE),"")</f>
        <v/>
      </c>
      <c r="D62" s="272" t="str">
        <f>IFERROR(VLOOKUP($A62,Riesgos!$A$7:$H$84,8,FALSE),"")</f>
        <v/>
      </c>
      <c r="E62" s="273"/>
      <c r="F62" s="274"/>
      <c r="G62" s="137" t="str">
        <f>IF(ISNUMBER(F62),VLOOKUP(F62,'Listas y tablas'!$AC$2:$AF$7,2,FALSE),"")</f>
        <v/>
      </c>
      <c r="H62" s="274"/>
      <c r="I62" s="274"/>
      <c r="J62" s="274"/>
      <c r="K62" s="274"/>
      <c r="L62" s="274"/>
      <c r="M62" s="274"/>
      <c r="N62" s="274"/>
      <c r="O62" s="274"/>
      <c r="P62" s="274"/>
      <c r="Q62" s="274"/>
      <c r="R62" s="274"/>
      <c r="S62" s="274"/>
      <c r="T62" s="274"/>
      <c r="U62" s="274"/>
      <c r="V62" s="274"/>
      <c r="W62" s="274"/>
      <c r="X62" s="274"/>
      <c r="Y62" s="274"/>
      <c r="Z62" s="274"/>
      <c r="AA62" s="137">
        <f t="shared" si="1"/>
        <v>0</v>
      </c>
      <c r="AB62" s="279" t="str">
        <f t="shared" si="2"/>
        <v/>
      </c>
      <c r="AC62" s="280" t="str">
        <f t="shared" si="3"/>
        <v/>
      </c>
      <c r="AD62" s="281" t="str">
        <f>IFERROR(VLOOKUP(AC62,'Listas y tablas'!$AH$3:$AI$17,2,FALSE),"")</f>
        <v/>
      </c>
      <c r="AE62" s="280" t="str">
        <f t="shared" si="4"/>
        <v>C</v>
      </c>
      <c r="AF62" s="282">
        <f t="shared" si="23"/>
        <v>55</v>
      </c>
      <c r="AG62" s="282" t="str">
        <f t="shared" si="6"/>
        <v>C55</v>
      </c>
      <c r="AH62" s="286"/>
      <c r="AI62" s="282" t="str">
        <f t="shared" si="27"/>
        <v/>
      </c>
      <c r="AJ62" s="284"/>
      <c r="AK62" s="284"/>
      <c r="AL62" s="285">
        <f t="shared" si="7"/>
        <v>0</v>
      </c>
      <c r="AM62" s="284"/>
      <c r="AN62" s="285">
        <f t="shared" si="8"/>
        <v>0</v>
      </c>
      <c r="AO62" s="284"/>
      <c r="AP62" s="285">
        <f t="shared" si="9"/>
        <v>0</v>
      </c>
      <c r="AQ62" s="284"/>
      <c r="AR62" s="285">
        <f t="shared" si="10"/>
        <v>0</v>
      </c>
      <c r="AS62" s="284"/>
      <c r="AT62" s="285">
        <f t="shared" si="11"/>
        <v>0</v>
      </c>
      <c r="AU62" s="284"/>
      <c r="AV62" s="285">
        <f t="shared" si="12"/>
        <v>0</v>
      </c>
      <c r="AW62" s="284"/>
      <c r="AX62" s="282">
        <f t="shared" si="13"/>
        <v>0</v>
      </c>
      <c r="AY62" s="282">
        <f t="shared" si="14"/>
        <v>0</v>
      </c>
      <c r="AZ62" s="282">
        <f t="shared" si="15"/>
        <v>0</v>
      </c>
      <c r="BA62" s="282" t="str">
        <f t="shared" si="16"/>
        <v/>
      </c>
      <c r="BB62" s="282" t="str">
        <f>IFERROR(IF(ISNUMBER(BA62),VLOOKUP(BA62,'Listas y tablas'!$AC$2:$AF$7,2,FALSE),""),"")</f>
        <v/>
      </c>
      <c r="BC62" s="282" t="str">
        <f t="shared" si="22"/>
        <v/>
      </c>
      <c r="BD62" s="291" t="str">
        <f>IFERROR(VLOOKUP(BC62,'Listas y tablas'!$AH$3:$AI$17,2,FALSE),"")</f>
        <v/>
      </c>
      <c r="BE62" s="299"/>
      <c r="BF62" s="311"/>
      <c r="BG62" s="306"/>
      <c r="BH62" s="306"/>
      <c r="BI62" s="306"/>
      <c r="BJ62" s="306"/>
      <c r="BK62" s="306"/>
      <c r="BL62" s="306"/>
      <c r="BM62" s="306"/>
      <c r="BN62" s="306"/>
      <c r="BO62" s="306"/>
      <c r="BP62" s="306"/>
      <c r="BQ62" s="150"/>
      <c r="BR62" s="163"/>
      <c r="BS62" s="163"/>
      <c r="BT62" s="163"/>
      <c r="BU62" s="326"/>
      <c r="BV62" s="326"/>
      <c r="BW62" s="163"/>
      <c r="BX62" s="163"/>
      <c r="BY62" s="171"/>
      <c r="BZ62" s="323"/>
      <c r="CA62" s="324"/>
      <c r="CB62" s="181"/>
      <c r="CC62" s="182"/>
      <c r="CD62" s="181"/>
      <c r="CE62" s="181"/>
      <c r="CF62" s="183"/>
      <c r="CG62" s="323"/>
      <c r="CH62" s="327"/>
      <c r="CI62" s="192"/>
      <c r="CJ62" s="193"/>
      <c r="CK62" s="194"/>
      <c r="CL62" s="194"/>
      <c r="CM62" s="194"/>
      <c r="CN62" s="194"/>
      <c r="CO62" s="194"/>
      <c r="CP62" s="194"/>
      <c r="CQ62" s="194"/>
      <c r="CR62" s="204"/>
      <c r="CS62" s="205"/>
      <c r="CT62" s="206"/>
      <c r="CU62" s="206"/>
      <c r="CV62" s="206"/>
      <c r="CW62" s="206"/>
      <c r="CX62" s="206"/>
      <c r="CY62" s="213"/>
      <c r="CZ62" s="214"/>
      <c r="DA62" s="206"/>
      <c r="DB62" s="213"/>
      <c r="DC62" s="215"/>
      <c r="DD62" s="216"/>
      <c r="DE62" s="216"/>
      <c r="DF62" s="216"/>
      <c r="DG62" s="216"/>
      <c r="DH62" s="216"/>
      <c r="DI62" s="216"/>
      <c r="DJ62" s="216"/>
      <c r="DK62" s="225"/>
      <c r="DL62" s="226"/>
      <c r="DM62" s="227"/>
      <c r="DN62" s="227"/>
      <c r="DO62" s="227"/>
      <c r="DP62" s="227"/>
      <c r="DQ62" s="227"/>
      <c r="DR62" s="234"/>
      <c r="DS62" s="226"/>
      <c r="DT62" s="227"/>
      <c r="DU62" s="234"/>
    </row>
    <row r="63" spans="1:125">
      <c r="A63" s="271"/>
      <c r="B63" s="272" t="str">
        <f>IFERROR(VLOOKUP($A63,Riesgos!$A$7:$H$84,2,FALSE),"")</f>
        <v/>
      </c>
      <c r="C63" s="272" t="str">
        <f>IFERROR(VLOOKUP($A63,Riesgos!$A$7:$H$84,7,FALSE),"")</f>
        <v/>
      </c>
      <c r="D63" s="272" t="str">
        <f>IFERROR(VLOOKUP($A63,Riesgos!$A$7:$H$84,8,FALSE),"")</f>
        <v/>
      </c>
      <c r="E63" s="273"/>
      <c r="F63" s="274"/>
      <c r="G63" s="137" t="str">
        <f>IF(ISNUMBER(F63),VLOOKUP(F63,'Listas y tablas'!$AC$2:$AF$7,2,FALSE),"")</f>
        <v/>
      </c>
      <c r="H63" s="274"/>
      <c r="I63" s="274"/>
      <c r="J63" s="274"/>
      <c r="K63" s="274"/>
      <c r="L63" s="274"/>
      <c r="M63" s="274"/>
      <c r="N63" s="274"/>
      <c r="O63" s="274"/>
      <c r="P63" s="274"/>
      <c r="Q63" s="274"/>
      <c r="R63" s="274"/>
      <c r="S63" s="274"/>
      <c r="T63" s="274"/>
      <c r="U63" s="274"/>
      <c r="V63" s="274"/>
      <c r="W63" s="274"/>
      <c r="X63" s="274"/>
      <c r="Y63" s="274"/>
      <c r="Z63" s="274"/>
      <c r="AA63" s="137">
        <f t="shared" si="1"/>
        <v>0</v>
      </c>
      <c r="AB63" s="279" t="str">
        <f t="shared" si="2"/>
        <v/>
      </c>
      <c r="AC63" s="280" t="str">
        <f t="shared" si="3"/>
        <v/>
      </c>
      <c r="AD63" s="281" t="str">
        <f>IFERROR(VLOOKUP(AC63,'Listas y tablas'!$AH$3:$AI$17,2,FALSE),"")</f>
        <v/>
      </c>
      <c r="AE63" s="280" t="str">
        <f t="shared" si="4"/>
        <v>C</v>
      </c>
      <c r="AF63" s="282">
        <f t="shared" si="23"/>
        <v>56</v>
      </c>
      <c r="AG63" s="282" t="str">
        <f t="shared" si="6"/>
        <v>C56</v>
      </c>
      <c r="AH63" s="286"/>
      <c r="AI63" s="282" t="str">
        <f t="shared" si="27"/>
        <v/>
      </c>
      <c r="AJ63" s="284"/>
      <c r="AK63" s="284"/>
      <c r="AL63" s="285">
        <f t="shared" si="7"/>
        <v>0</v>
      </c>
      <c r="AM63" s="284"/>
      <c r="AN63" s="285">
        <f t="shared" si="8"/>
        <v>0</v>
      </c>
      <c r="AO63" s="284"/>
      <c r="AP63" s="285">
        <f t="shared" si="9"/>
        <v>0</v>
      </c>
      <c r="AQ63" s="284"/>
      <c r="AR63" s="285">
        <f t="shared" si="10"/>
        <v>0</v>
      </c>
      <c r="AS63" s="284"/>
      <c r="AT63" s="285">
        <f t="shared" si="11"/>
        <v>0</v>
      </c>
      <c r="AU63" s="284"/>
      <c r="AV63" s="285">
        <f t="shared" si="12"/>
        <v>0</v>
      </c>
      <c r="AW63" s="284"/>
      <c r="AX63" s="282">
        <f t="shared" si="13"/>
        <v>0</v>
      </c>
      <c r="AY63" s="282">
        <f t="shared" si="14"/>
        <v>0</v>
      </c>
      <c r="AZ63" s="282">
        <f t="shared" si="15"/>
        <v>0</v>
      </c>
      <c r="BA63" s="282" t="str">
        <f t="shared" si="16"/>
        <v/>
      </c>
      <c r="BB63" s="282" t="str">
        <f>IFERROR(IF(ISNUMBER(BA63),VLOOKUP(BA63,'Listas y tablas'!$AC$2:$AF$7,2,FALSE),""),"")</f>
        <v/>
      </c>
      <c r="BC63" s="282" t="str">
        <f t="shared" si="22"/>
        <v/>
      </c>
      <c r="BD63" s="291" t="str">
        <f>IFERROR(VLOOKUP(BC63,'Listas y tablas'!$AH$3:$AI$17,2,FALSE),"")</f>
        <v/>
      </c>
      <c r="BE63" s="299"/>
      <c r="BF63" s="306"/>
      <c r="BG63" s="306"/>
      <c r="BH63" s="306"/>
      <c r="BI63" s="306"/>
      <c r="BJ63" s="306"/>
      <c r="BK63" s="306"/>
      <c r="BL63" s="306"/>
      <c r="BM63" s="306"/>
      <c r="BN63" s="306"/>
      <c r="BO63" s="306"/>
      <c r="BP63" s="306"/>
      <c r="BQ63" s="150"/>
      <c r="BR63" s="163"/>
      <c r="BS63" s="163"/>
      <c r="BT63" s="163"/>
      <c r="BU63" s="326"/>
      <c r="BV63" s="326"/>
      <c r="BW63" s="163"/>
      <c r="BX63" s="163"/>
      <c r="BY63" s="171"/>
      <c r="BZ63" s="323"/>
      <c r="CA63" s="324"/>
      <c r="CB63" s="181"/>
      <c r="CC63" s="182"/>
      <c r="CD63" s="181"/>
      <c r="CE63" s="181"/>
      <c r="CF63" s="183"/>
      <c r="CG63" s="323"/>
      <c r="CH63" s="327"/>
      <c r="CI63" s="192"/>
      <c r="CJ63" s="193"/>
      <c r="CK63" s="194"/>
      <c r="CL63" s="194"/>
      <c r="CM63" s="194"/>
      <c r="CN63" s="194"/>
      <c r="CO63" s="194"/>
      <c r="CP63" s="194"/>
      <c r="CQ63" s="194"/>
      <c r="CR63" s="204"/>
      <c r="CS63" s="205"/>
      <c r="CT63" s="206"/>
      <c r="CU63" s="206"/>
      <c r="CV63" s="206"/>
      <c r="CW63" s="206"/>
      <c r="CX63" s="206"/>
      <c r="CY63" s="213"/>
      <c r="CZ63" s="214"/>
      <c r="DA63" s="206"/>
      <c r="DB63" s="213"/>
      <c r="DC63" s="215"/>
      <c r="DD63" s="216"/>
      <c r="DE63" s="216"/>
      <c r="DF63" s="216"/>
      <c r="DG63" s="216"/>
      <c r="DH63" s="216"/>
      <c r="DI63" s="216"/>
      <c r="DJ63" s="216"/>
      <c r="DK63" s="225"/>
      <c r="DL63" s="226"/>
      <c r="DM63" s="227"/>
      <c r="DN63" s="227"/>
      <c r="DO63" s="227"/>
      <c r="DP63" s="227"/>
      <c r="DQ63" s="227"/>
      <c r="DR63" s="234"/>
      <c r="DS63" s="226"/>
      <c r="DT63" s="227"/>
      <c r="DU63" s="234"/>
    </row>
    <row r="64" spans="1:125">
      <c r="A64" s="271"/>
      <c r="B64" s="272" t="str">
        <f>IFERROR(VLOOKUP($A64,Riesgos!$A$7:$H$84,2,FALSE),"")</f>
        <v/>
      </c>
      <c r="C64" s="272" t="str">
        <f>IFERROR(VLOOKUP($A64,Riesgos!$A$7:$H$84,7,FALSE),"")</f>
        <v/>
      </c>
      <c r="D64" s="272" t="str">
        <f>IFERROR(VLOOKUP($A64,Riesgos!$A$7:$H$84,8,FALSE),"")</f>
        <v/>
      </c>
      <c r="E64" s="273"/>
      <c r="F64" s="274"/>
      <c r="G64" s="137" t="str">
        <f>IF(ISNUMBER(F64),VLOOKUP(F64,'Listas y tablas'!$AC$2:$AF$7,2,FALSE),"")</f>
        <v/>
      </c>
      <c r="H64" s="274"/>
      <c r="I64" s="274"/>
      <c r="J64" s="274"/>
      <c r="K64" s="274"/>
      <c r="L64" s="274"/>
      <c r="M64" s="274"/>
      <c r="N64" s="274"/>
      <c r="O64" s="274"/>
      <c r="P64" s="274"/>
      <c r="Q64" s="274"/>
      <c r="R64" s="274"/>
      <c r="S64" s="274"/>
      <c r="T64" s="274"/>
      <c r="U64" s="274"/>
      <c r="V64" s="274"/>
      <c r="W64" s="274"/>
      <c r="X64" s="274"/>
      <c r="Y64" s="274"/>
      <c r="Z64" s="274"/>
      <c r="AA64" s="137">
        <f t="shared" si="1"/>
        <v>0</v>
      </c>
      <c r="AB64" s="279" t="str">
        <f t="shared" si="2"/>
        <v/>
      </c>
      <c r="AC64" s="280" t="str">
        <f t="shared" si="3"/>
        <v/>
      </c>
      <c r="AD64" s="281" t="str">
        <f>IFERROR(VLOOKUP(AC64,'Listas y tablas'!$AH$3:$AI$17,2,FALSE),"")</f>
        <v/>
      </c>
      <c r="AE64" s="280" t="str">
        <f t="shared" si="4"/>
        <v>C</v>
      </c>
      <c r="AF64" s="282">
        <f t="shared" si="23"/>
        <v>57</v>
      </c>
      <c r="AG64" s="282" t="str">
        <f t="shared" si="6"/>
        <v>C57</v>
      </c>
      <c r="AH64" s="287"/>
      <c r="AI64" s="282" t="str">
        <f t="shared" si="27"/>
        <v/>
      </c>
      <c r="AJ64" s="284"/>
      <c r="AK64" s="284"/>
      <c r="AL64" s="285">
        <f t="shared" si="7"/>
        <v>0</v>
      </c>
      <c r="AM64" s="284"/>
      <c r="AN64" s="285">
        <f t="shared" si="8"/>
        <v>0</v>
      </c>
      <c r="AO64" s="284"/>
      <c r="AP64" s="285">
        <f t="shared" si="9"/>
        <v>0</v>
      </c>
      <c r="AQ64" s="284"/>
      <c r="AR64" s="285">
        <f t="shared" si="10"/>
        <v>0</v>
      </c>
      <c r="AS64" s="284"/>
      <c r="AT64" s="285">
        <f t="shared" si="11"/>
        <v>0</v>
      </c>
      <c r="AU64" s="284"/>
      <c r="AV64" s="285">
        <f t="shared" si="12"/>
        <v>0</v>
      </c>
      <c r="AW64" s="284"/>
      <c r="AX64" s="282">
        <f t="shared" si="13"/>
        <v>0</v>
      </c>
      <c r="AY64" s="282">
        <f t="shared" si="14"/>
        <v>0</v>
      </c>
      <c r="AZ64" s="282">
        <f t="shared" si="15"/>
        <v>0</v>
      </c>
      <c r="BA64" s="282" t="str">
        <f t="shared" si="16"/>
        <v/>
      </c>
      <c r="BB64" s="282" t="str">
        <f>IFERROR(IF(ISNUMBER(BA64),VLOOKUP(BA64,'Listas y tablas'!$AC$2:$AF$7,2,FALSE),""),"")</f>
        <v/>
      </c>
      <c r="BC64" s="282" t="str">
        <f t="shared" si="22"/>
        <v/>
      </c>
      <c r="BD64" s="291" t="str">
        <f>IFERROR(VLOOKUP(BC64,'Listas y tablas'!$AH$3:$AI$17,2,FALSE),"")</f>
        <v/>
      </c>
      <c r="BE64" s="299"/>
      <c r="BF64" s="306"/>
      <c r="BG64" s="306"/>
      <c r="BH64" s="306"/>
      <c r="BI64" s="306"/>
      <c r="BJ64" s="306"/>
      <c r="BK64" s="306"/>
      <c r="BL64" s="306"/>
      <c r="BM64" s="306"/>
      <c r="BN64" s="306"/>
      <c r="BO64" s="306"/>
      <c r="BP64" s="306"/>
      <c r="BQ64" s="150"/>
      <c r="BR64" s="163"/>
      <c r="BS64" s="163"/>
      <c r="BT64" s="163"/>
      <c r="BU64" s="326"/>
      <c r="BV64" s="326"/>
      <c r="BW64" s="163"/>
      <c r="BX64" s="163"/>
      <c r="BY64" s="171"/>
      <c r="BZ64" s="323"/>
      <c r="CA64" s="324"/>
      <c r="CB64" s="181"/>
      <c r="CC64" s="182"/>
      <c r="CD64" s="181"/>
      <c r="CE64" s="181"/>
      <c r="CF64" s="183"/>
      <c r="CG64" s="323"/>
      <c r="CH64" s="327"/>
      <c r="CI64" s="192"/>
      <c r="CJ64" s="193"/>
      <c r="CK64" s="194"/>
      <c r="CL64" s="194"/>
      <c r="CM64" s="194"/>
      <c r="CN64" s="194"/>
      <c r="CO64" s="194"/>
      <c r="CP64" s="194"/>
      <c r="CQ64" s="194"/>
      <c r="CR64" s="204"/>
      <c r="CS64" s="205"/>
      <c r="CT64" s="206"/>
      <c r="CU64" s="206"/>
      <c r="CV64" s="206"/>
      <c r="CW64" s="206"/>
      <c r="CX64" s="206"/>
      <c r="CY64" s="213"/>
      <c r="CZ64" s="214"/>
      <c r="DA64" s="206"/>
      <c r="DB64" s="213"/>
      <c r="DC64" s="215"/>
      <c r="DD64" s="216"/>
      <c r="DE64" s="216"/>
      <c r="DF64" s="216"/>
      <c r="DG64" s="216"/>
      <c r="DH64" s="216"/>
      <c r="DI64" s="216"/>
      <c r="DJ64" s="216"/>
      <c r="DK64" s="225"/>
      <c r="DL64" s="226"/>
      <c r="DM64" s="227"/>
      <c r="DN64" s="227"/>
      <c r="DO64" s="227"/>
      <c r="DP64" s="227"/>
      <c r="DQ64" s="227"/>
      <c r="DR64" s="234"/>
      <c r="DS64" s="226"/>
      <c r="DT64" s="227"/>
      <c r="DU64" s="234"/>
    </row>
    <row r="65" spans="1:125">
      <c r="A65" s="271"/>
      <c r="B65" s="272" t="str">
        <f>IFERROR(VLOOKUP($A65,Riesgos!$A$7:$H$84,2,FALSE),"")</f>
        <v/>
      </c>
      <c r="C65" s="272" t="str">
        <f>IFERROR(VLOOKUP($A65,Riesgos!$A$7:$H$84,7,FALSE),"")</f>
        <v/>
      </c>
      <c r="D65" s="272" t="str">
        <f>IFERROR(VLOOKUP($A65,Riesgos!$A$7:$H$84,8,FALSE),"")</f>
        <v/>
      </c>
      <c r="E65" s="273"/>
      <c r="F65" s="274"/>
      <c r="G65" s="137" t="str">
        <f>IF(ISNUMBER(F65),VLOOKUP(F65,'Listas y tablas'!$AC$2:$AF$7,2,FALSE),"")</f>
        <v/>
      </c>
      <c r="H65" s="274"/>
      <c r="I65" s="274"/>
      <c r="J65" s="274"/>
      <c r="K65" s="274"/>
      <c r="L65" s="274"/>
      <c r="M65" s="274"/>
      <c r="N65" s="274"/>
      <c r="O65" s="274"/>
      <c r="P65" s="274"/>
      <c r="Q65" s="274"/>
      <c r="R65" s="274"/>
      <c r="S65" s="274"/>
      <c r="T65" s="274"/>
      <c r="U65" s="274"/>
      <c r="V65" s="274"/>
      <c r="W65" s="274"/>
      <c r="X65" s="274"/>
      <c r="Y65" s="274"/>
      <c r="Z65" s="274"/>
      <c r="AA65" s="137">
        <f t="shared" si="1"/>
        <v>0</v>
      </c>
      <c r="AB65" s="279" t="str">
        <f t="shared" si="2"/>
        <v/>
      </c>
      <c r="AC65" s="280" t="str">
        <f t="shared" si="3"/>
        <v/>
      </c>
      <c r="AD65" s="281" t="str">
        <f>IFERROR(VLOOKUP(AC65,'Listas y tablas'!$AH$3:$AI$17,2,FALSE),"")</f>
        <v/>
      </c>
      <c r="AE65" s="280" t="str">
        <f t="shared" si="4"/>
        <v>C</v>
      </c>
      <c r="AF65" s="282">
        <f t="shared" si="23"/>
        <v>58</v>
      </c>
      <c r="AG65" s="282" t="str">
        <f t="shared" si="6"/>
        <v>C58</v>
      </c>
      <c r="AH65" s="286"/>
      <c r="AI65" s="282" t="str">
        <f t="shared" ref="AI65:AI67" si="28">IF(OR(AJ65="Preventivo",AJ65="Detectivo"),"Probabilidad",IF(AJ65="Correctivo","Impacto",""))</f>
        <v/>
      </c>
      <c r="AJ65" s="284"/>
      <c r="AK65" s="284"/>
      <c r="AL65" s="285">
        <f t="shared" si="7"/>
        <v>0</v>
      </c>
      <c r="AM65" s="284"/>
      <c r="AN65" s="285">
        <f t="shared" si="8"/>
        <v>0</v>
      </c>
      <c r="AO65" s="284"/>
      <c r="AP65" s="285">
        <f t="shared" si="9"/>
        <v>0</v>
      </c>
      <c r="AQ65" s="284"/>
      <c r="AR65" s="285">
        <f t="shared" si="10"/>
        <v>0</v>
      </c>
      <c r="AS65" s="284"/>
      <c r="AT65" s="285">
        <f t="shared" si="11"/>
        <v>0</v>
      </c>
      <c r="AU65" s="284"/>
      <c r="AV65" s="285">
        <f t="shared" si="12"/>
        <v>0</v>
      </c>
      <c r="AW65" s="284"/>
      <c r="AX65" s="282">
        <f t="shared" si="13"/>
        <v>0</v>
      </c>
      <c r="AY65" s="282">
        <f t="shared" si="14"/>
        <v>0</v>
      </c>
      <c r="AZ65" s="282">
        <f t="shared" si="15"/>
        <v>0</v>
      </c>
      <c r="BA65" s="282" t="str">
        <f t="shared" si="16"/>
        <v/>
      </c>
      <c r="BB65" s="282" t="str">
        <f>IFERROR(IF(ISNUMBER(BA65),VLOOKUP(BA65,'Listas y tablas'!$AC$2:$AF$7,2,FALSE),""),"")</f>
        <v/>
      </c>
      <c r="BC65" s="282" t="str">
        <f t="shared" si="22"/>
        <v/>
      </c>
      <c r="BD65" s="291" t="str">
        <f>IFERROR(VLOOKUP(BC65,'Listas y tablas'!$AH$3:$AI$17,2,FALSE),"")</f>
        <v/>
      </c>
      <c r="BE65" s="299"/>
      <c r="BF65" s="306"/>
      <c r="BG65" s="306"/>
      <c r="BH65" s="306"/>
      <c r="BI65" s="306"/>
      <c r="BJ65" s="306"/>
      <c r="BK65" s="306"/>
      <c r="BL65" s="306"/>
      <c r="BM65" s="306"/>
      <c r="BN65" s="306"/>
      <c r="BO65" s="306"/>
      <c r="BP65" s="306"/>
      <c r="BQ65" s="150"/>
      <c r="BR65" s="163"/>
      <c r="BS65" s="163"/>
      <c r="BT65" s="163"/>
      <c r="BU65" s="326"/>
      <c r="BV65" s="326"/>
      <c r="BW65" s="163"/>
      <c r="BX65" s="163"/>
      <c r="BY65" s="171"/>
      <c r="BZ65" s="323"/>
      <c r="CA65" s="324"/>
      <c r="CB65" s="181"/>
      <c r="CC65" s="182"/>
      <c r="CD65" s="181"/>
      <c r="CE65" s="181"/>
      <c r="CF65" s="183"/>
      <c r="CG65" s="323"/>
      <c r="CH65" s="327"/>
      <c r="CI65" s="192"/>
      <c r="CJ65" s="193"/>
      <c r="CK65" s="194"/>
      <c r="CL65" s="194"/>
      <c r="CM65" s="194"/>
      <c r="CN65" s="194"/>
      <c r="CO65" s="194"/>
      <c r="CP65" s="194"/>
      <c r="CQ65" s="194"/>
      <c r="CR65" s="204"/>
      <c r="CS65" s="205"/>
      <c r="CT65" s="206"/>
      <c r="CU65" s="206"/>
      <c r="CV65" s="206"/>
      <c r="CW65" s="206"/>
      <c r="CX65" s="206"/>
      <c r="CY65" s="213"/>
      <c r="CZ65" s="214"/>
      <c r="DA65" s="206"/>
      <c r="DB65" s="213"/>
      <c r="DC65" s="215"/>
      <c r="DD65" s="216"/>
      <c r="DE65" s="216"/>
      <c r="DF65" s="216"/>
      <c r="DG65" s="216"/>
      <c r="DH65" s="216"/>
      <c r="DI65" s="216"/>
      <c r="DJ65" s="216"/>
      <c r="DK65" s="225"/>
      <c r="DL65" s="226"/>
      <c r="DM65" s="227"/>
      <c r="DN65" s="227"/>
      <c r="DO65" s="227"/>
      <c r="DP65" s="227"/>
      <c r="DQ65" s="227"/>
      <c r="DR65" s="234"/>
      <c r="DS65" s="226"/>
      <c r="DT65" s="227"/>
      <c r="DU65" s="234"/>
    </row>
    <row r="66" spans="1:125">
      <c r="A66" s="271"/>
      <c r="B66" s="272" t="str">
        <f>IFERROR(VLOOKUP($A66,Riesgos!$A$7:$H$84,2,FALSE),"")</f>
        <v/>
      </c>
      <c r="C66" s="272" t="str">
        <f>IFERROR(VLOOKUP($A66,Riesgos!$A$7:$H$84,7,FALSE),"")</f>
        <v/>
      </c>
      <c r="D66" s="272" t="str">
        <f>IFERROR(VLOOKUP($A66,Riesgos!$A$7:$H$84,8,FALSE),"")</f>
        <v/>
      </c>
      <c r="E66" s="273"/>
      <c r="F66" s="274"/>
      <c r="G66" s="137" t="str">
        <f>IF(ISNUMBER(F66),VLOOKUP(F66,'Listas y tablas'!$AC$2:$AF$7,2,FALSE),"")</f>
        <v/>
      </c>
      <c r="H66" s="274"/>
      <c r="I66" s="274"/>
      <c r="J66" s="274"/>
      <c r="K66" s="274"/>
      <c r="L66" s="274"/>
      <c r="M66" s="274"/>
      <c r="N66" s="274"/>
      <c r="O66" s="274"/>
      <c r="P66" s="274"/>
      <c r="Q66" s="274"/>
      <c r="R66" s="274"/>
      <c r="S66" s="274"/>
      <c r="T66" s="274"/>
      <c r="U66" s="274"/>
      <c r="V66" s="274"/>
      <c r="W66" s="274"/>
      <c r="X66" s="274"/>
      <c r="Y66" s="274"/>
      <c r="Z66" s="274"/>
      <c r="AA66" s="137">
        <f t="shared" si="1"/>
        <v>0</v>
      </c>
      <c r="AB66" s="279" t="str">
        <f t="shared" si="2"/>
        <v/>
      </c>
      <c r="AC66" s="280" t="str">
        <f t="shared" si="3"/>
        <v/>
      </c>
      <c r="AD66" s="281" t="str">
        <f>IFERROR(VLOOKUP(AC66,'Listas y tablas'!$AH$3:$AI$17,2,FALSE),"")</f>
        <v/>
      </c>
      <c r="AE66" s="280" t="str">
        <f t="shared" si="4"/>
        <v>C</v>
      </c>
      <c r="AF66" s="282">
        <f t="shared" si="23"/>
        <v>59</v>
      </c>
      <c r="AG66" s="282" t="str">
        <f t="shared" si="6"/>
        <v>C59</v>
      </c>
      <c r="AH66" s="286"/>
      <c r="AI66" s="282" t="str">
        <f t="shared" si="28"/>
        <v/>
      </c>
      <c r="AJ66" s="284"/>
      <c r="AK66" s="284"/>
      <c r="AL66" s="285">
        <f t="shared" si="7"/>
        <v>0</v>
      </c>
      <c r="AM66" s="284"/>
      <c r="AN66" s="285">
        <f t="shared" si="8"/>
        <v>0</v>
      </c>
      <c r="AO66" s="284"/>
      <c r="AP66" s="285">
        <f t="shared" si="9"/>
        <v>0</v>
      </c>
      <c r="AQ66" s="284"/>
      <c r="AR66" s="285">
        <f t="shared" si="10"/>
        <v>0</v>
      </c>
      <c r="AS66" s="284"/>
      <c r="AT66" s="285">
        <f t="shared" si="11"/>
        <v>0</v>
      </c>
      <c r="AU66" s="284"/>
      <c r="AV66" s="285">
        <f t="shared" si="12"/>
        <v>0</v>
      </c>
      <c r="AW66" s="284"/>
      <c r="AX66" s="282">
        <f t="shared" si="13"/>
        <v>0</v>
      </c>
      <c r="AY66" s="282">
        <f t="shared" si="14"/>
        <v>0</v>
      </c>
      <c r="AZ66" s="282">
        <f t="shared" si="15"/>
        <v>0</v>
      </c>
      <c r="BA66" s="282" t="str">
        <f t="shared" si="16"/>
        <v/>
      </c>
      <c r="BB66" s="282" t="str">
        <f>IFERROR(IF(ISNUMBER(BA66),VLOOKUP(BA66,'Listas y tablas'!$AC$2:$AF$7,2,FALSE),""),"")</f>
        <v/>
      </c>
      <c r="BC66" s="282" t="str">
        <f t="shared" si="22"/>
        <v/>
      </c>
      <c r="BD66" s="291" t="str">
        <f>IFERROR(VLOOKUP(BC66,'Listas y tablas'!$AH$3:$AI$17,2,FALSE),"")</f>
        <v/>
      </c>
      <c r="BE66" s="299"/>
      <c r="BF66" s="306"/>
      <c r="BG66" s="306"/>
      <c r="BH66" s="306"/>
      <c r="BI66" s="306"/>
      <c r="BJ66" s="306"/>
      <c r="BK66" s="306"/>
      <c r="BL66" s="306"/>
      <c r="BM66" s="306"/>
      <c r="BN66" s="306"/>
      <c r="BO66" s="306"/>
      <c r="BP66" s="306"/>
      <c r="BQ66" s="150"/>
      <c r="BR66" s="163"/>
      <c r="BS66" s="163"/>
      <c r="BT66" s="163"/>
      <c r="BU66" s="326"/>
      <c r="BV66" s="326"/>
      <c r="BW66" s="163"/>
      <c r="BX66" s="163"/>
      <c r="BY66" s="171"/>
      <c r="BZ66" s="323"/>
      <c r="CA66" s="324"/>
      <c r="CB66" s="181"/>
      <c r="CC66" s="182"/>
      <c r="CD66" s="181"/>
      <c r="CE66" s="181"/>
      <c r="CF66" s="183"/>
      <c r="CG66" s="323"/>
      <c r="CH66" s="327"/>
      <c r="CI66" s="192"/>
      <c r="CJ66" s="193"/>
      <c r="CK66" s="194"/>
      <c r="CL66" s="194"/>
      <c r="CM66" s="194"/>
      <c r="CN66" s="194"/>
      <c r="CO66" s="194"/>
      <c r="CP66" s="194"/>
      <c r="CQ66" s="194"/>
      <c r="CR66" s="204"/>
      <c r="CS66" s="205"/>
      <c r="CT66" s="206"/>
      <c r="CU66" s="206"/>
      <c r="CV66" s="206"/>
      <c r="CW66" s="206"/>
      <c r="CX66" s="206"/>
      <c r="CY66" s="213"/>
      <c r="CZ66" s="214"/>
      <c r="DA66" s="206"/>
      <c r="DB66" s="213"/>
      <c r="DC66" s="215"/>
      <c r="DD66" s="216"/>
      <c r="DE66" s="216"/>
      <c r="DF66" s="216"/>
      <c r="DG66" s="216"/>
      <c r="DH66" s="216"/>
      <c r="DI66" s="216"/>
      <c r="DJ66" s="216"/>
      <c r="DK66" s="225"/>
      <c r="DL66" s="226"/>
      <c r="DM66" s="227"/>
      <c r="DN66" s="227"/>
      <c r="DO66" s="227"/>
      <c r="DP66" s="227"/>
      <c r="DQ66" s="227"/>
      <c r="DR66" s="234"/>
      <c r="DS66" s="226"/>
      <c r="DT66" s="227"/>
      <c r="DU66" s="234"/>
    </row>
    <row r="67" spans="1:125">
      <c r="A67" s="271"/>
      <c r="B67" s="272" t="str">
        <f>IFERROR(VLOOKUP($A67,Riesgos!$A$7:$H$84,2,FALSE),"")</f>
        <v/>
      </c>
      <c r="C67" s="272" t="str">
        <f>IFERROR(VLOOKUP($A67,Riesgos!$A$7:$H$84,7,FALSE),"")</f>
        <v/>
      </c>
      <c r="D67" s="272" t="str">
        <f>IFERROR(VLOOKUP($A67,Riesgos!$A$7:$H$84,8,FALSE),"")</f>
        <v/>
      </c>
      <c r="E67" s="273"/>
      <c r="F67" s="274"/>
      <c r="G67" s="137" t="str">
        <f>IF(ISNUMBER(F67),VLOOKUP(F67,'Listas y tablas'!$AC$2:$AF$7,2,FALSE),"")</f>
        <v/>
      </c>
      <c r="H67" s="274"/>
      <c r="I67" s="274"/>
      <c r="J67" s="274"/>
      <c r="K67" s="274"/>
      <c r="L67" s="274"/>
      <c r="M67" s="274"/>
      <c r="N67" s="274"/>
      <c r="O67" s="274"/>
      <c r="P67" s="274"/>
      <c r="Q67" s="274"/>
      <c r="R67" s="274"/>
      <c r="S67" s="274"/>
      <c r="T67" s="274"/>
      <c r="U67" s="274"/>
      <c r="V67" s="274"/>
      <c r="W67" s="274"/>
      <c r="X67" s="274"/>
      <c r="Y67" s="274"/>
      <c r="Z67" s="274"/>
      <c r="AA67" s="137">
        <f t="shared" si="1"/>
        <v>0</v>
      </c>
      <c r="AB67" s="279" t="str">
        <f t="shared" si="2"/>
        <v/>
      </c>
      <c r="AC67" s="280" t="str">
        <f t="shared" si="3"/>
        <v/>
      </c>
      <c r="AD67" s="281" t="str">
        <f>IFERROR(VLOOKUP(AC67,'Listas y tablas'!$AH$3:$AI$17,2,FALSE),"")</f>
        <v/>
      </c>
      <c r="AE67" s="280" t="str">
        <f t="shared" si="4"/>
        <v>C</v>
      </c>
      <c r="AF67" s="282">
        <f t="shared" si="23"/>
        <v>60</v>
      </c>
      <c r="AG67" s="282" t="str">
        <f t="shared" si="6"/>
        <v>C60</v>
      </c>
      <c r="AH67" s="286"/>
      <c r="AI67" s="282" t="str">
        <f t="shared" si="28"/>
        <v/>
      </c>
      <c r="AJ67" s="284"/>
      <c r="AK67" s="284"/>
      <c r="AL67" s="285">
        <f t="shared" si="7"/>
        <v>0</v>
      </c>
      <c r="AM67" s="284"/>
      <c r="AN67" s="285">
        <f t="shared" si="8"/>
        <v>0</v>
      </c>
      <c r="AO67" s="284"/>
      <c r="AP67" s="285">
        <f t="shared" si="9"/>
        <v>0</v>
      </c>
      <c r="AQ67" s="284"/>
      <c r="AR67" s="285">
        <f t="shared" si="10"/>
        <v>0</v>
      </c>
      <c r="AS67" s="284"/>
      <c r="AT67" s="285">
        <f t="shared" si="11"/>
        <v>0</v>
      </c>
      <c r="AU67" s="284"/>
      <c r="AV67" s="285">
        <f t="shared" si="12"/>
        <v>0</v>
      </c>
      <c r="AW67" s="284"/>
      <c r="AX67" s="282">
        <f t="shared" si="13"/>
        <v>0</v>
      </c>
      <c r="AY67" s="282">
        <f t="shared" si="14"/>
        <v>0</v>
      </c>
      <c r="AZ67" s="282">
        <f t="shared" si="15"/>
        <v>0</v>
      </c>
      <c r="BA67" s="282" t="str">
        <f t="shared" si="16"/>
        <v/>
      </c>
      <c r="BB67" s="282" t="str">
        <f>IFERROR(IF(ISNUMBER(BA67),VLOOKUP(BA67,'Listas y tablas'!$AC$2:$AF$7,2,FALSE),""),"")</f>
        <v/>
      </c>
      <c r="BC67" s="282" t="str">
        <f t="shared" si="22"/>
        <v/>
      </c>
      <c r="BD67" s="291" t="str">
        <f>IFERROR(VLOOKUP(BC67,'Listas y tablas'!$AH$3:$AI$17,2,FALSE),"")</f>
        <v/>
      </c>
      <c r="BE67" s="299"/>
      <c r="BF67" s="306"/>
      <c r="BG67" s="306"/>
      <c r="BH67" s="306"/>
      <c r="BI67" s="306"/>
      <c r="BJ67" s="306"/>
      <c r="BK67" s="306"/>
      <c r="BL67" s="306"/>
      <c r="BM67" s="306"/>
      <c r="BN67" s="306"/>
      <c r="BO67" s="306"/>
      <c r="BP67" s="306"/>
      <c r="BQ67" s="150"/>
      <c r="BR67" s="163"/>
      <c r="BS67" s="163"/>
      <c r="BT67" s="163"/>
      <c r="BU67" s="326"/>
      <c r="BV67" s="326"/>
      <c r="BW67" s="163"/>
      <c r="BX67" s="163"/>
      <c r="BY67" s="171"/>
      <c r="BZ67" s="323"/>
      <c r="CA67" s="324"/>
      <c r="CB67" s="181"/>
      <c r="CC67" s="182"/>
      <c r="CD67" s="181"/>
      <c r="CE67" s="181"/>
      <c r="CF67" s="183"/>
      <c r="CG67" s="323"/>
      <c r="CH67" s="327"/>
      <c r="CI67" s="192"/>
      <c r="CJ67" s="193"/>
      <c r="CK67" s="194"/>
      <c r="CL67" s="194"/>
      <c r="CM67" s="194"/>
      <c r="CN67" s="194"/>
      <c r="CO67" s="194"/>
      <c r="CP67" s="194"/>
      <c r="CQ67" s="194"/>
      <c r="CR67" s="204"/>
      <c r="CS67" s="205"/>
      <c r="CT67" s="206"/>
      <c r="CU67" s="206"/>
      <c r="CV67" s="206"/>
      <c r="CW67" s="206"/>
      <c r="CX67" s="206"/>
      <c r="CY67" s="213"/>
      <c r="CZ67" s="214"/>
      <c r="DA67" s="206"/>
      <c r="DB67" s="213"/>
      <c r="DC67" s="215"/>
      <c r="DD67" s="216"/>
      <c r="DE67" s="216"/>
      <c r="DF67" s="216"/>
      <c r="DG67" s="216"/>
      <c r="DH67" s="216"/>
      <c r="DI67" s="216"/>
      <c r="DJ67" s="216"/>
      <c r="DK67" s="225"/>
      <c r="DL67" s="226"/>
      <c r="DM67" s="227"/>
      <c r="DN67" s="227"/>
      <c r="DO67" s="227"/>
      <c r="DP67" s="227"/>
      <c r="DQ67" s="227"/>
      <c r="DR67" s="234"/>
      <c r="DS67" s="226"/>
      <c r="DT67" s="227"/>
      <c r="DU67" s="234"/>
    </row>
    <row r="68" spans="1:125" ht="181.5">
      <c r="A68" s="317"/>
      <c r="B68" s="317"/>
      <c r="C68" s="313" t="s">
        <v>284</v>
      </c>
      <c r="D68" s="313" t="s">
        <v>284</v>
      </c>
      <c r="E68" s="313"/>
      <c r="F68" s="317"/>
      <c r="G68" s="313"/>
      <c r="H68" s="317"/>
      <c r="I68" s="317"/>
      <c r="J68" s="317"/>
      <c r="K68" s="317"/>
      <c r="L68" s="317"/>
      <c r="M68" s="317"/>
      <c r="N68" s="317"/>
      <c r="O68" s="317"/>
      <c r="P68" s="317"/>
      <c r="Q68" s="317"/>
      <c r="R68" s="317"/>
      <c r="S68" s="317"/>
      <c r="T68" s="317"/>
      <c r="U68" s="317"/>
      <c r="V68" s="317"/>
      <c r="W68" s="317"/>
      <c r="X68" s="317"/>
      <c r="Y68" s="317"/>
      <c r="Z68" s="317"/>
      <c r="AA68" s="313"/>
      <c r="AB68" s="313"/>
      <c r="AC68" s="313"/>
      <c r="AD68" s="317"/>
      <c r="AE68" s="313"/>
      <c r="AF68" s="313"/>
      <c r="AG68" s="313"/>
      <c r="AH68" s="313"/>
      <c r="AI68" s="313"/>
      <c r="AJ68" s="313"/>
      <c r="AK68" s="313"/>
      <c r="AL68" s="313"/>
      <c r="AM68" s="313"/>
      <c r="AN68" s="313"/>
      <c r="AO68" s="313"/>
      <c r="AP68" s="313"/>
      <c r="AQ68" s="313"/>
      <c r="AR68" s="313"/>
      <c r="AS68" s="313"/>
      <c r="AT68" s="313"/>
      <c r="AU68" s="313"/>
      <c r="AV68" s="313"/>
      <c r="AW68" s="313"/>
      <c r="AX68" s="313"/>
      <c r="AY68" s="313"/>
      <c r="AZ68" s="313"/>
      <c r="BA68" s="313"/>
      <c r="BB68" s="313"/>
      <c r="BC68" s="313"/>
      <c r="BD68" s="313"/>
      <c r="BE68" s="313"/>
      <c r="BF68" s="332"/>
      <c r="BG68" s="332"/>
      <c r="BH68" s="332"/>
      <c r="BI68" s="332"/>
      <c r="BJ68" s="332"/>
      <c r="BK68" s="332"/>
      <c r="BL68" s="332"/>
      <c r="BM68" s="332"/>
      <c r="BN68" s="332"/>
      <c r="BO68" s="332"/>
      <c r="BP68" s="332"/>
      <c r="BQ68" s="150"/>
      <c r="BR68" s="163"/>
      <c r="BS68" s="163"/>
      <c r="BT68" s="163"/>
      <c r="BU68" s="326"/>
      <c r="BV68" s="326"/>
      <c r="BW68" s="163"/>
      <c r="BX68" s="163"/>
      <c r="BY68" s="171"/>
      <c r="BZ68" s="323"/>
      <c r="CA68" s="324"/>
      <c r="CB68" s="181"/>
      <c r="CC68" s="182"/>
      <c r="CD68" s="181"/>
      <c r="CE68" s="181"/>
      <c r="CF68" s="183"/>
      <c r="CG68" s="323"/>
      <c r="CH68" s="327"/>
      <c r="CI68" s="192"/>
      <c r="CJ68" s="193"/>
      <c r="CK68" s="194"/>
      <c r="CL68" s="194"/>
      <c r="CM68" s="194"/>
      <c r="CN68" s="194"/>
      <c r="CO68" s="194"/>
      <c r="CP68" s="194"/>
      <c r="CQ68" s="194"/>
      <c r="CR68" s="204"/>
      <c r="CS68" s="205"/>
      <c r="CT68" s="206"/>
      <c r="CU68" s="206"/>
      <c r="CV68" s="206"/>
      <c r="CW68" s="206"/>
      <c r="CX68" s="206"/>
      <c r="CY68" s="213"/>
      <c r="CZ68" s="214"/>
      <c r="DA68" s="206"/>
      <c r="DB68" s="213"/>
      <c r="DC68" s="215"/>
      <c r="DD68" s="216"/>
      <c r="DE68" s="216"/>
      <c r="DF68" s="216"/>
      <c r="DG68" s="216"/>
      <c r="DH68" s="216"/>
      <c r="DI68" s="216"/>
      <c r="DJ68" s="216"/>
      <c r="DK68" s="225"/>
      <c r="DL68" s="226"/>
      <c r="DM68" s="227"/>
      <c r="DN68" s="227"/>
      <c r="DO68" s="227"/>
      <c r="DP68" s="227"/>
      <c r="DQ68" s="227"/>
      <c r="DR68" s="234"/>
      <c r="DS68" s="226"/>
      <c r="DT68" s="227"/>
      <c r="DU68" s="234"/>
    </row>
    <row r="69" spans="1:125">
      <c r="A69" s="257" t="s">
        <v>196</v>
      </c>
      <c r="B69" s="257" t="s">
        <v>196</v>
      </c>
      <c r="C69" s="257" t="s">
        <v>196</v>
      </c>
      <c r="D69" s="257" t="s">
        <v>196</v>
      </c>
      <c r="E69" s="257" t="s">
        <v>196</v>
      </c>
      <c r="F69" s="257" t="s">
        <v>196</v>
      </c>
      <c r="G69" s="257" t="s">
        <v>196</v>
      </c>
      <c r="H69" s="257" t="s">
        <v>196</v>
      </c>
      <c r="I69" s="257" t="s">
        <v>196</v>
      </c>
      <c r="J69" s="257" t="s">
        <v>196</v>
      </c>
      <c r="K69" s="257" t="s">
        <v>196</v>
      </c>
      <c r="L69" s="257" t="s">
        <v>196</v>
      </c>
      <c r="M69" s="257" t="s">
        <v>196</v>
      </c>
      <c r="N69" s="257" t="s">
        <v>196</v>
      </c>
      <c r="O69" s="257" t="s">
        <v>196</v>
      </c>
      <c r="P69" s="257" t="s">
        <v>196</v>
      </c>
      <c r="Q69" s="257" t="s">
        <v>196</v>
      </c>
      <c r="R69" s="257" t="s">
        <v>196</v>
      </c>
      <c r="S69" s="257" t="s">
        <v>196</v>
      </c>
      <c r="T69" s="257" t="s">
        <v>196</v>
      </c>
      <c r="U69" s="257" t="s">
        <v>196</v>
      </c>
      <c r="V69" s="257" t="s">
        <v>196</v>
      </c>
      <c r="W69" s="257" t="s">
        <v>196</v>
      </c>
      <c r="X69" s="257" t="s">
        <v>196</v>
      </c>
      <c r="Y69" s="257" t="s">
        <v>196</v>
      </c>
      <c r="Z69" s="257" t="s">
        <v>196</v>
      </c>
      <c r="AA69" s="257" t="s">
        <v>196</v>
      </c>
      <c r="AB69" s="257" t="s">
        <v>196</v>
      </c>
      <c r="AC69" s="257" t="s">
        <v>196</v>
      </c>
      <c r="AD69" s="257" t="s">
        <v>196</v>
      </c>
      <c r="AE69" s="257" t="s">
        <v>196</v>
      </c>
      <c r="AF69" s="257" t="s">
        <v>196</v>
      </c>
      <c r="AG69" s="257" t="s">
        <v>196</v>
      </c>
      <c r="AH69" s="257" t="s">
        <v>196</v>
      </c>
      <c r="AI69" s="257" t="s">
        <v>196</v>
      </c>
      <c r="AJ69" s="257" t="s">
        <v>196</v>
      </c>
      <c r="AK69" s="257" t="s">
        <v>196</v>
      </c>
      <c r="AL69" s="257" t="s">
        <v>196</v>
      </c>
      <c r="AM69" s="257" t="s">
        <v>196</v>
      </c>
      <c r="AN69" s="257" t="s">
        <v>196</v>
      </c>
      <c r="AO69" s="257" t="s">
        <v>196</v>
      </c>
      <c r="AP69" s="257" t="s">
        <v>196</v>
      </c>
      <c r="AQ69" s="257" t="s">
        <v>196</v>
      </c>
      <c r="AR69" s="257" t="s">
        <v>196</v>
      </c>
      <c r="AS69" s="257" t="s">
        <v>196</v>
      </c>
      <c r="AT69" s="257" t="s">
        <v>196</v>
      </c>
      <c r="AU69" s="257" t="s">
        <v>196</v>
      </c>
      <c r="AV69" s="257" t="s">
        <v>196</v>
      </c>
      <c r="AW69" s="257" t="s">
        <v>196</v>
      </c>
      <c r="AX69" s="257" t="s">
        <v>196</v>
      </c>
      <c r="AY69" s="257" t="s">
        <v>196</v>
      </c>
      <c r="AZ69" s="257" t="s">
        <v>196</v>
      </c>
      <c r="BA69" s="257" t="s">
        <v>196</v>
      </c>
      <c r="BB69" s="257" t="s">
        <v>196</v>
      </c>
      <c r="BC69" s="257" t="s">
        <v>196</v>
      </c>
      <c r="BD69" s="257" t="s">
        <v>196</v>
      </c>
      <c r="BE69" s="257" t="s">
        <v>196</v>
      </c>
      <c r="BF69" s="257" t="s">
        <v>196</v>
      </c>
      <c r="BG69" s="257" t="s">
        <v>196</v>
      </c>
      <c r="BH69" s="257" t="s">
        <v>196</v>
      </c>
      <c r="BI69" s="257" t="s">
        <v>196</v>
      </c>
      <c r="BJ69" s="257" t="s">
        <v>196</v>
      </c>
      <c r="BK69" s="257" t="s">
        <v>196</v>
      </c>
      <c r="BL69" s="257" t="s">
        <v>196</v>
      </c>
      <c r="BM69" s="257" t="s">
        <v>196</v>
      </c>
      <c r="BN69" s="257" t="s">
        <v>196</v>
      </c>
      <c r="BO69" s="257" t="s">
        <v>196</v>
      </c>
      <c r="BP69" s="257" t="s">
        <v>196</v>
      </c>
    </row>
    <row r="70" spans="1:125">
      <c r="A70" s="258"/>
      <c r="B70" s="258"/>
      <c r="C70" s="258"/>
    </row>
  </sheetData>
  <mergeCells count="154">
    <mergeCell ref="CI24:CI25"/>
    <mergeCell ref="CZ6:CZ7"/>
    <mergeCell ref="DA6:DA7"/>
    <mergeCell ref="DB6:DB7"/>
    <mergeCell ref="DS6:DS7"/>
    <mergeCell ref="DT6:DT7"/>
    <mergeCell ref="DU6:DU7"/>
    <mergeCell ref="A1:BP2"/>
    <mergeCell ref="F5:G6"/>
    <mergeCell ref="BK4:BP5"/>
    <mergeCell ref="BG16:BG17"/>
    <mergeCell ref="BH16:BH17"/>
    <mergeCell ref="BI16:BI17"/>
    <mergeCell ref="BJ16:BJ17"/>
    <mergeCell ref="CG6:CG7"/>
    <mergeCell ref="CH6:CH7"/>
    <mergeCell ref="CI6:CI7"/>
    <mergeCell ref="CI11:CI12"/>
    <mergeCell ref="CI15:CI17"/>
    <mergeCell ref="BA15:BA17"/>
    <mergeCell ref="BA24:BA25"/>
    <mergeCell ref="BB15:BB17"/>
    <mergeCell ref="BB24:BB25"/>
    <mergeCell ref="BD11:BD12"/>
    <mergeCell ref="BD15:BD17"/>
    <mergeCell ref="BD24:BD25"/>
    <mergeCell ref="BE11:BE12"/>
    <mergeCell ref="BE15:BE17"/>
    <mergeCell ref="BE24:BE25"/>
    <mergeCell ref="AA24:AA25"/>
    <mergeCell ref="AB11:AB12"/>
    <mergeCell ref="AB15:AB17"/>
    <mergeCell ref="AB24:AB25"/>
    <mergeCell ref="AC11:AC12"/>
    <mergeCell ref="AC24:AC25"/>
    <mergeCell ref="AD11:AD12"/>
    <mergeCell ref="AD15:AD17"/>
    <mergeCell ref="AD24:AD25"/>
    <mergeCell ref="X11:X12"/>
    <mergeCell ref="X15:X17"/>
    <mergeCell ref="X24:X25"/>
    <mergeCell ref="Y11:Y12"/>
    <mergeCell ref="Y15:Y17"/>
    <mergeCell ref="Y24:Y25"/>
    <mergeCell ref="Z11:Z12"/>
    <mergeCell ref="Z15:Z17"/>
    <mergeCell ref="Z24:Z25"/>
    <mergeCell ref="U11:U12"/>
    <mergeCell ref="U15:U17"/>
    <mergeCell ref="U24:U25"/>
    <mergeCell ref="V11:V12"/>
    <mergeCell ref="V15:V17"/>
    <mergeCell ref="V24:V25"/>
    <mergeCell ref="W11:W12"/>
    <mergeCell ref="W15:W17"/>
    <mergeCell ref="W24:W25"/>
    <mergeCell ref="R11:R12"/>
    <mergeCell ref="R15:R17"/>
    <mergeCell ref="R24:R25"/>
    <mergeCell ref="S11:S12"/>
    <mergeCell ref="S15:S17"/>
    <mergeCell ref="S24:S25"/>
    <mergeCell ref="T11:T12"/>
    <mergeCell ref="T15:T17"/>
    <mergeCell ref="T24:T25"/>
    <mergeCell ref="O11:O12"/>
    <mergeCell ref="O15:O17"/>
    <mergeCell ref="O24:O25"/>
    <mergeCell ref="P11:P12"/>
    <mergeCell ref="P15:P17"/>
    <mergeCell ref="P24:P25"/>
    <mergeCell ref="Q11:Q12"/>
    <mergeCell ref="Q15:Q17"/>
    <mergeCell ref="Q24:Q25"/>
    <mergeCell ref="L11:L12"/>
    <mergeCell ref="L15:L17"/>
    <mergeCell ref="L24:L25"/>
    <mergeCell ref="M11:M12"/>
    <mergeCell ref="M15:M17"/>
    <mergeCell ref="M24:M25"/>
    <mergeCell ref="N11:N12"/>
    <mergeCell ref="N15:N17"/>
    <mergeCell ref="N24:N25"/>
    <mergeCell ref="H24:H25"/>
    <mergeCell ref="I11:I12"/>
    <mergeCell ref="I15:I17"/>
    <mergeCell ref="I24:I25"/>
    <mergeCell ref="J11:J12"/>
    <mergeCell ref="J15:J17"/>
    <mergeCell ref="J24:J25"/>
    <mergeCell ref="K11:K12"/>
    <mergeCell ref="K15:K17"/>
    <mergeCell ref="K24:K25"/>
    <mergeCell ref="DQ6:DR6"/>
    <mergeCell ref="A11:A12"/>
    <mergeCell ref="A15:A17"/>
    <mergeCell ref="A24:A25"/>
    <mergeCell ref="B11:B12"/>
    <mergeCell ref="B15:B17"/>
    <mergeCell ref="B24:B25"/>
    <mergeCell ref="C11:C12"/>
    <mergeCell ref="C15:C17"/>
    <mergeCell ref="C24:C25"/>
    <mergeCell ref="D11:D12"/>
    <mergeCell ref="D15:D17"/>
    <mergeCell ref="D24:D25"/>
    <mergeCell ref="E11:E12"/>
    <mergeCell ref="E15:E17"/>
    <mergeCell ref="E24:E25"/>
    <mergeCell ref="F11:F12"/>
    <mergeCell ref="F15:F17"/>
    <mergeCell ref="F24:F25"/>
    <mergeCell ref="G11:G12"/>
    <mergeCell ref="G15:G17"/>
    <mergeCell ref="G24:G25"/>
    <mergeCell ref="H11:H12"/>
    <mergeCell ref="H15:H17"/>
    <mergeCell ref="CQ6:CR6"/>
    <mergeCell ref="CS6:CT6"/>
    <mergeCell ref="CU6:CV6"/>
    <mergeCell ref="CX6:CY6"/>
    <mergeCell ref="DC6:DD6"/>
    <mergeCell ref="DE6:DH6"/>
    <mergeCell ref="DJ6:DK6"/>
    <mergeCell ref="DL6:DM6"/>
    <mergeCell ref="DN6:DO6"/>
    <mergeCell ref="H6:Z6"/>
    <mergeCell ref="BQ6:BR6"/>
    <mergeCell ref="BS6:BV6"/>
    <mergeCell ref="BX6:BY6"/>
    <mergeCell ref="BZ6:CA6"/>
    <mergeCell ref="CB6:CC6"/>
    <mergeCell ref="CE6:CF6"/>
    <mergeCell ref="CJ6:CK6"/>
    <mergeCell ref="CL6:CO6"/>
    <mergeCell ref="A4:D4"/>
    <mergeCell ref="E4:AD4"/>
    <mergeCell ref="AF4:BC4"/>
    <mergeCell ref="BD4:BE4"/>
    <mergeCell ref="BG4:BJ4"/>
    <mergeCell ref="BQ4:CI4"/>
    <mergeCell ref="CJ4:DB4"/>
    <mergeCell ref="DC4:DU4"/>
    <mergeCell ref="H5:Z5"/>
    <mergeCell ref="AJ5:BC5"/>
    <mergeCell ref="BQ5:BY5"/>
    <mergeCell ref="BZ5:CF5"/>
    <mergeCell ref="CG5:CI5"/>
    <mergeCell ref="CJ5:CR5"/>
    <mergeCell ref="CS5:CY5"/>
    <mergeCell ref="CZ5:DB5"/>
    <mergeCell ref="DC5:DK5"/>
    <mergeCell ref="DL5:DR5"/>
    <mergeCell ref="DS5:DU5"/>
  </mergeCells>
  <conditionalFormatting sqref="AB8">
    <cfRule type="cellIs" dxfId="38" priority="9" operator="equal">
      <formula>"Catastrófico"</formula>
    </cfRule>
    <cfRule type="cellIs" dxfId="37" priority="10" operator="equal">
      <formula>"Mayor"</formula>
    </cfRule>
    <cfRule type="cellIs" dxfId="36" priority="11" operator="equal">
      <formula>"Moderado"</formula>
    </cfRule>
    <cfRule type="cellIs" dxfId="35" priority="12" operator="equal">
      <formula>"Menor"</formula>
    </cfRule>
    <cfRule type="cellIs" dxfId="34" priority="13" operator="equal">
      <formula>"Leve"</formula>
    </cfRule>
  </conditionalFormatting>
  <conditionalFormatting sqref="BW8:BW68">
    <cfRule type="cellIs" dxfId="33" priority="3" operator="equal">
      <formula>"sí"</formula>
    </cfRule>
  </conditionalFormatting>
  <conditionalFormatting sqref="CP8:CP68">
    <cfRule type="cellIs" dxfId="32" priority="2" operator="equal">
      <formula>"sí"</formula>
    </cfRule>
  </conditionalFormatting>
  <conditionalFormatting sqref="DI8:DI68">
    <cfRule type="cellIs" dxfId="31" priority="1" operator="equal">
      <formula>"sí"</formula>
    </cfRule>
  </conditionalFormatting>
  <pageMargins left="0.70866141732283505" right="0.70866141732283505" top="0.74803149606299202" bottom="0.74803149606299202" header="0.31496062992126" footer="0.31496062992126"/>
  <pageSetup orientation="portrait"/>
  <headerFooter>
    <oddFooter>&amp;LVersión 3  02/05/2022</oddFooter>
  </headerFooter>
  <extLst>
    <ext xmlns:x14="http://schemas.microsoft.com/office/spreadsheetml/2009/9/main" uri="{CCE6A557-97BC-4b89-ADB6-D9C93CAAB3DF}">
      <x14:dataValidations xmlns:xm="http://schemas.microsoft.com/office/excel/2006/main" count="8">
        <x14:dataValidation type="list" allowBlank="1" showInputMessage="1" showErrorMessage="1">
          <x14:formula1>
            <xm:f>'Listas y tablas'!$Z$3:$Z$4</xm:f>
          </x14:formula1>
          <xm:sqref>CI11 H13:H15 H18:H24 AK8:AK67 AM8:AM67 AO8:AO67 AQ8:AQ67 AS8:AS67 AU8:AU67 AW8:AW67 CI13:CI15 CI18:CI24 CI26:CI68 DB8:DB68 DU8:DU68 H8:Z11 K13:Z67 I13:J24 H26:J67 CD8:CE68 CP8:CQ68 DP8:DQ68 BW8:BX68 CW8:CX68 DI8:DJ68</xm:sqref>
        </x14:dataValidation>
        <x14:dataValidation type="list" allowBlank="1" showInputMessage="1" showErrorMessage="1">
          <x14:formula1>
            <xm:f>'Opciones Tratamiento'!$B$13:$B$19</xm:f>
          </x14:formula1>
          <xm:sqref>E8:E11 E13:E15 E18:E24 E26:E67</xm:sqref>
        </x14:dataValidation>
        <x14:dataValidation type="list" allowBlank="1" showInputMessage="1" showErrorMessage="1">
          <x14:formula1>
            <xm:f>'Listas y tablas'!$AC$2:$AC$7</xm:f>
          </x14:formula1>
          <xm:sqref>F8:F11 F13:F15 F18:F24 F26:F67</xm:sqref>
        </x14:dataValidation>
        <x14:dataValidation type="list" allowBlank="1" showInputMessage="1" showErrorMessage="1">
          <x14:formula1>
            <xm:f>'Tabla Valoración controles'!$D$4:$D$6</xm:f>
          </x14:formula1>
          <xm:sqref>AJ8:AJ67</xm:sqref>
        </x14:dataValidation>
        <x14:dataValidation type="list" allowBlank="1" showInputMessage="1" showErrorMessage="1">
          <x14:formula1>
            <xm:f>'Opciones Tratamiento'!$B$2:$B$5</xm:f>
          </x14:formula1>
          <xm:sqref>BE8:BE11 BE13:BE15 BE18:BE24 BE26:BE67</xm:sqref>
        </x14:dataValidation>
        <x14:dataValidation type="list" allowBlank="1" showInputMessage="1" showErrorMessage="1">
          <x14:formula1>
            <xm:f>'Listas y tablas'!$T$3:$T$8</xm:f>
          </x14:formula1>
          <xm:sqref>CA8:CA68 CT8:CT68 DM8:DM68</xm:sqref>
        </x14:dataValidation>
        <x14:dataValidation type="list" allowBlank="1" showInputMessage="1" showErrorMessage="1">
          <x14:formula1>
            <xm:f>'Listas y tablas'!$V$3:$V$10</xm:f>
          </x14:formula1>
          <xm:sqref>CC8:CC68 CV8:CV68 DO8:DO68</xm:sqref>
        </x14:dataValidation>
        <x14:dataValidation type="list" allowBlank="1" showInputMessage="1" showErrorMessage="1">
          <x14:formula1>
            <xm:f>'Listas y tablas'!#REF!</xm:f>
          </x14:formula1>
          <xm:sqref>CI8:CI10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CA254"/>
  <sheetViews>
    <sheetView topLeftCell="Z1" zoomScale="70" zoomScaleNormal="70" workbookViewId="0">
      <selection activeCell="AN8" sqref="AN8"/>
    </sheetView>
  </sheetViews>
  <sheetFormatPr baseColWidth="10" defaultColWidth="11.42578125" defaultRowHeight="16.5"/>
  <cols>
    <col min="1" max="1" width="4" style="118" customWidth="1"/>
    <col min="2" max="3" width="25.28515625" style="118" customWidth="1"/>
    <col min="4" max="4" width="29.7109375" style="118" customWidth="1"/>
    <col min="5" max="6" width="32.42578125" style="119" customWidth="1"/>
    <col min="7" max="7" width="5.85546875" style="119" customWidth="1"/>
    <col min="8" max="8" width="31" style="119" customWidth="1"/>
    <col min="9" max="10" width="25.7109375" style="119" customWidth="1"/>
    <col min="11" max="11" width="22" style="119" customWidth="1"/>
    <col min="12" max="12" width="12.42578125" style="119" customWidth="1"/>
    <col min="13" max="13" width="20" style="119" customWidth="1"/>
    <col min="14" max="14" width="16.7109375" style="119" customWidth="1"/>
    <col min="15" max="15" width="17.42578125" style="119" customWidth="1"/>
    <col min="16" max="16" width="17.7109375" style="119" customWidth="1"/>
    <col min="17" max="22" width="18.7109375" style="119" customWidth="1"/>
    <col min="23" max="23" width="26.28515625" style="119" customWidth="1"/>
    <col min="24" max="26" width="21" style="119" customWidth="1"/>
    <col min="27" max="27" width="28.7109375" style="119" customWidth="1"/>
    <col min="28" max="28" width="23.140625" style="119" customWidth="1"/>
    <col min="29" max="31" width="18.7109375" style="119" customWidth="1"/>
    <col min="32" max="32" width="28.7109375" style="119" customWidth="1"/>
    <col min="33" max="33" width="18.7109375" style="119" customWidth="1"/>
    <col min="34" max="34" width="28.7109375" style="119" customWidth="1"/>
    <col min="35" max="38" width="18.7109375" style="119" customWidth="1"/>
    <col min="39" max="40" width="28.7109375" style="119" customWidth="1"/>
    <col min="41" max="41" width="18.7109375" style="119" customWidth="1"/>
    <col min="42" max="42" width="26.28515625" style="119" customWidth="1"/>
    <col min="43" max="45" width="21" style="119" customWidth="1"/>
    <col min="46" max="46" width="28.7109375" style="119" customWidth="1"/>
    <col min="47" max="47" width="23.140625" style="119" customWidth="1"/>
    <col min="48" max="50" width="18.7109375" style="119" customWidth="1"/>
    <col min="51" max="51" width="28.7109375" style="119" customWidth="1"/>
    <col min="52" max="52" width="18.7109375" style="119" customWidth="1"/>
    <col min="53" max="53" width="28.7109375" style="119" customWidth="1"/>
    <col min="54" max="57" width="18.7109375" style="119" customWidth="1"/>
    <col min="58" max="59" width="28.7109375" style="119" customWidth="1"/>
    <col min="60" max="60" width="18.7109375" style="119" customWidth="1"/>
    <col min="61" max="61" width="26.28515625" style="119" customWidth="1"/>
    <col min="62" max="64" width="21" style="119" customWidth="1"/>
    <col min="65" max="65" width="28.7109375" style="119" customWidth="1"/>
    <col min="66" max="66" width="23.140625" style="119" customWidth="1"/>
    <col min="67" max="69" width="18.7109375" style="119" customWidth="1"/>
    <col min="70" max="70" width="28.7109375" style="119" customWidth="1"/>
    <col min="71" max="71" width="18.7109375" style="119" customWidth="1"/>
    <col min="72" max="72" width="28.7109375" style="119" customWidth="1"/>
    <col min="73" max="76" width="18.7109375" style="119" customWidth="1"/>
    <col min="77" max="78" width="28.7109375" style="119" customWidth="1"/>
    <col min="79" max="79" width="18.7109375" style="119" customWidth="1"/>
    <col min="80" max="16384" width="11.42578125" style="119"/>
  </cols>
  <sheetData>
    <row r="1" spans="1:79" ht="16.5" customHeight="1">
      <c r="A1" s="690" t="s">
        <v>1434</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691"/>
      <c r="AQ1" s="691"/>
      <c r="AR1" s="691"/>
      <c r="AS1" s="691"/>
      <c r="AT1" s="691"/>
      <c r="AU1" s="691"/>
      <c r="AV1" s="691"/>
      <c r="AW1" s="691"/>
      <c r="AX1" s="691"/>
      <c r="AY1" s="691"/>
      <c r="AZ1" s="691"/>
      <c r="BA1" s="691"/>
      <c r="BB1" s="691"/>
      <c r="BC1" s="691"/>
      <c r="BD1" s="691"/>
      <c r="BE1" s="691"/>
      <c r="BF1" s="691"/>
      <c r="BG1" s="691"/>
      <c r="BH1" s="691"/>
      <c r="BI1" s="691"/>
      <c r="BJ1" s="691"/>
      <c r="BK1" s="691"/>
      <c r="BL1" s="691"/>
      <c r="BM1" s="691"/>
      <c r="BN1" s="691"/>
      <c r="BO1" s="691"/>
      <c r="BP1" s="691"/>
      <c r="BQ1" s="691"/>
      <c r="BR1" s="691"/>
      <c r="BS1" s="691"/>
      <c r="BT1" s="691"/>
      <c r="BU1" s="691"/>
      <c r="BV1" s="691"/>
      <c r="BW1" s="691"/>
      <c r="BX1" s="691"/>
      <c r="BY1" s="691"/>
      <c r="BZ1" s="691"/>
      <c r="CA1" s="692"/>
    </row>
    <row r="2" spans="1:79" ht="24" customHeight="1">
      <c r="A2" s="693"/>
      <c r="B2" s="694"/>
      <c r="C2" s="694"/>
      <c r="D2" s="694"/>
      <c r="E2" s="694"/>
      <c r="F2" s="694"/>
      <c r="G2" s="694"/>
      <c r="H2" s="694"/>
      <c r="I2" s="694"/>
      <c r="J2" s="694"/>
      <c r="K2" s="694"/>
      <c r="L2" s="694"/>
      <c r="M2" s="694"/>
      <c r="N2" s="694"/>
      <c r="O2" s="694"/>
      <c r="P2" s="694"/>
      <c r="Q2" s="694"/>
      <c r="R2" s="694"/>
      <c r="S2" s="694"/>
      <c r="T2" s="694"/>
      <c r="U2" s="694"/>
      <c r="V2" s="694"/>
      <c r="W2" s="694"/>
      <c r="X2" s="694"/>
      <c r="Y2" s="694"/>
      <c r="Z2" s="694"/>
      <c r="AA2" s="694"/>
      <c r="AB2" s="694"/>
      <c r="AC2" s="694"/>
      <c r="AD2" s="694"/>
      <c r="AE2" s="694"/>
      <c r="AF2" s="694"/>
      <c r="AG2" s="694"/>
      <c r="AH2" s="694"/>
      <c r="AI2" s="694"/>
      <c r="AJ2" s="694"/>
      <c r="AK2" s="694"/>
      <c r="AL2" s="694"/>
      <c r="AM2" s="694"/>
      <c r="AN2" s="694"/>
      <c r="AO2" s="694"/>
      <c r="AP2" s="694"/>
      <c r="AQ2" s="694"/>
      <c r="AR2" s="694"/>
      <c r="AS2" s="694"/>
      <c r="AT2" s="694"/>
      <c r="AU2" s="694"/>
      <c r="AV2" s="694"/>
      <c r="AW2" s="694"/>
      <c r="AX2" s="694"/>
      <c r="AY2" s="694"/>
      <c r="AZ2" s="694"/>
      <c r="BA2" s="694"/>
      <c r="BB2" s="694"/>
      <c r="BC2" s="694"/>
      <c r="BD2" s="694"/>
      <c r="BE2" s="694"/>
      <c r="BF2" s="694"/>
      <c r="BG2" s="694"/>
      <c r="BH2" s="694"/>
      <c r="BI2" s="694"/>
      <c r="BJ2" s="694"/>
      <c r="BK2" s="694"/>
      <c r="BL2" s="694"/>
      <c r="BM2" s="694"/>
      <c r="BN2" s="694"/>
      <c r="BO2" s="694"/>
      <c r="BP2" s="694"/>
      <c r="BQ2" s="694"/>
      <c r="BR2" s="694"/>
      <c r="BS2" s="694"/>
      <c r="BT2" s="694"/>
      <c r="BU2" s="694"/>
      <c r="BV2" s="694"/>
      <c r="BW2" s="694"/>
      <c r="BX2" s="694"/>
      <c r="BY2" s="694"/>
      <c r="BZ2" s="694"/>
      <c r="CA2" s="695"/>
    </row>
    <row r="3" spans="1:79">
      <c r="A3" s="120"/>
      <c r="B3" s="120"/>
      <c r="C3" s="120"/>
      <c r="D3" s="120"/>
      <c r="E3" s="121"/>
      <c r="F3" s="121"/>
      <c r="G3" s="121"/>
      <c r="H3" s="121"/>
      <c r="I3" s="121"/>
      <c r="J3" s="121"/>
      <c r="K3" s="121"/>
      <c r="L3" s="121"/>
    </row>
    <row r="4" spans="1:79" ht="36.75" customHeight="1">
      <c r="A4" s="696" t="s">
        <v>88</v>
      </c>
      <c r="B4" s="696"/>
      <c r="C4" s="696"/>
      <c r="D4" s="696"/>
      <c r="E4" s="696"/>
      <c r="F4" s="696"/>
      <c r="G4" s="705" t="s">
        <v>288</v>
      </c>
      <c r="H4" s="705"/>
      <c r="I4" s="696" t="s">
        <v>289</v>
      </c>
      <c r="J4" s="696"/>
      <c r="K4" s="696"/>
      <c r="L4" s="696"/>
      <c r="M4" s="696" t="s">
        <v>291</v>
      </c>
      <c r="N4" s="696"/>
      <c r="O4" s="696"/>
      <c r="P4" s="696"/>
      <c r="Q4" s="699" t="s">
        <v>292</v>
      </c>
      <c r="R4" s="699"/>
      <c r="S4" s="699"/>
      <c r="T4" s="699"/>
      <c r="U4" s="699"/>
      <c r="V4" s="700"/>
      <c r="W4" s="517" t="s">
        <v>293</v>
      </c>
      <c r="X4" s="518"/>
      <c r="Y4" s="518"/>
      <c r="Z4" s="518"/>
      <c r="AA4" s="518"/>
      <c r="AB4" s="518"/>
      <c r="AC4" s="518"/>
      <c r="AD4" s="518"/>
      <c r="AE4" s="518"/>
      <c r="AF4" s="518"/>
      <c r="AG4" s="518"/>
      <c r="AH4" s="518"/>
      <c r="AI4" s="518"/>
      <c r="AJ4" s="518"/>
      <c r="AK4" s="518"/>
      <c r="AL4" s="518"/>
      <c r="AM4" s="518"/>
      <c r="AN4" s="519"/>
      <c r="AO4" s="520"/>
      <c r="AP4" s="521" t="s">
        <v>294</v>
      </c>
      <c r="AQ4" s="521"/>
      <c r="AR4" s="521"/>
      <c r="AS4" s="521"/>
      <c r="AT4" s="521"/>
      <c r="AU4" s="521"/>
      <c r="AV4" s="521"/>
      <c r="AW4" s="521"/>
      <c r="AX4" s="521"/>
      <c r="AY4" s="521"/>
      <c r="AZ4" s="521"/>
      <c r="BA4" s="521"/>
      <c r="BB4" s="521"/>
      <c r="BC4" s="521"/>
      <c r="BD4" s="521"/>
      <c r="BE4" s="521"/>
      <c r="BF4" s="521"/>
      <c r="BG4" s="521"/>
      <c r="BH4" s="522"/>
      <c r="BI4" s="523" t="s">
        <v>295</v>
      </c>
      <c r="BJ4" s="524"/>
      <c r="BK4" s="524"/>
      <c r="BL4" s="524"/>
      <c r="BM4" s="524"/>
      <c r="BN4" s="524"/>
      <c r="BO4" s="524"/>
      <c r="BP4" s="524"/>
      <c r="BQ4" s="524"/>
      <c r="BR4" s="524"/>
      <c r="BS4" s="524"/>
      <c r="BT4" s="524"/>
      <c r="BU4" s="524"/>
      <c r="BV4" s="524"/>
      <c r="BW4" s="524"/>
      <c r="BX4" s="524"/>
      <c r="BY4" s="524"/>
      <c r="BZ4" s="525"/>
      <c r="CA4" s="526"/>
    </row>
    <row r="5" spans="1:79" ht="21.75" customHeight="1">
      <c r="A5" s="697"/>
      <c r="B5" s="697"/>
      <c r="C5" s="697"/>
      <c r="D5" s="697"/>
      <c r="E5" s="697"/>
      <c r="F5" s="697"/>
      <c r="G5" s="706"/>
      <c r="H5" s="706"/>
      <c r="I5" s="697"/>
      <c r="J5" s="697"/>
      <c r="K5" s="697"/>
      <c r="L5" s="697"/>
      <c r="M5" s="697"/>
      <c r="N5" s="697"/>
      <c r="O5" s="697"/>
      <c r="P5" s="697"/>
      <c r="Q5" s="701"/>
      <c r="R5" s="701"/>
      <c r="S5" s="701"/>
      <c r="T5" s="701"/>
      <c r="U5" s="701"/>
      <c r="V5" s="702"/>
      <c r="W5" s="527" t="s">
        <v>297</v>
      </c>
      <c r="X5" s="528"/>
      <c r="Y5" s="528"/>
      <c r="Z5" s="528"/>
      <c r="AA5" s="528"/>
      <c r="AB5" s="528"/>
      <c r="AC5" s="528"/>
      <c r="AD5" s="528"/>
      <c r="AE5" s="529"/>
      <c r="AF5" s="530" t="s">
        <v>298</v>
      </c>
      <c r="AG5" s="531"/>
      <c r="AH5" s="531"/>
      <c r="AI5" s="531"/>
      <c r="AJ5" s="531"/>
      <c r="AK5" s="531"/>
      <c r="AL5" s="532"/>
      <c r="AM5" s="533" t="s">
        <v>299</v>
      </c>
      <c r="AN5" s="534"/>
      <c r="AO5" s="535"/>
      <c r="AP5" s="521" t="s">
        <v>297</v>
      </c>
      <c r="AQ5" s="521"/>
      <c r="AR5" s="521"/>
      <c r="AS5" s="521"/>
      <c r="AT5" s="521"/>
      <c r="AU5" s="521"/>
      <c r="AV5" s="521"/>
      <c r="AW5" s="521"/>
      <c r="AX5" s="522"/>
      <c r="AY5" s="536" t="s">
        <v>298</v>
      </c>
      <c r="AZ5" s="537"/>
      <c r="BA5" s="537"/>
      <c r="BB5" s="537"/>
      <c r="BC5" s="537"/>
      <c r="BD5" s="537"/>
      <c r="BE5" s="538"/>
      <c r="BF5" s="539" t="s">
        <v>299</v>
      </c>
      <c r="BG5" s="540"/>
      <c r="BH5" s="541"/>
      <c r="BI5" s="542" t="s">
        <v>297</v>
      </c>
      <c r="BJ5" s="542"/>
      <c r="BK5" s="542"/>
      <c r="BL5" s="542"/>
      <c r="BM5" s="542"/>
      <c r="BN5" s="542"/>
      <c r="BO5" s="542"/>
      <c r="BP5" s="542"/>
      <c r="BQ5" s="543"/>
      <c r="BR5" s="544" t="s">
        <v>298</v>
      </c>
      <c r="BS5" s="542"/>
      <c r="BT5" s="542"/>
      <c r="BU5" s="542"/>
      <c r="BV5" s="542"/>
      <c r="BW5" s="542"/>
      <c r="BX5" s="543"/>
      <c r="BY5" s="545" t="s">
        <v>299</v>
      </c>
      <c r="BZ5" s="546"/>
      <c r="CA5" s="547"/>
    </row>
    <row r="6" spans="1:79" ht="36.75" customHeight="1">
      <c r="A6" s="698"/>
      <c r="B6" s="698"/>
      <c r="C6" s="698"/>
      <c r="D6" s="698"/>
      <c r="E6" s="698"/>
      <c r="F6" s="698"/>
      <c r="G6" s="707"/>
      <c r="H6" s="707"/>
      <c r="I6" s="698"/>
      <c r="J6" s="698"/>
      <c r="K6" s="698"/>
      <c r="L6" s="698"/>
      <c r="M6" s="698"/>
      <c r="N6" s="698"/>
      <c r="O6" s="698"/>
      <c r="P6" s="698"/>
      <c r="Q6" s="703"/>
      <c r="R6" s="703"/>
      <c r="S6" s="703"/>
      <c r="T6" s="703"/>
      <c r="U6" s="703"/>
      <c r="V6" s="704"/>
      <c r="W6" s="548" t="s">
        <v>290</v>
      </c>
      <c r="X6" s="549"/>
      <c r="Y6" s="550" t="s">
        <v>291</v>
      </c>
      <c r="Z6" s="551"/>
      <c r="AA6" s="551"/>
      <c r="AB6" s="552"/>
      <c r="AC6" s="166" t="s">
        <v>300</v>
      </c>
      <c r="AD6" s="553" t="s">
        <v>292</v>
      </c>
      <c r="AE6" s="554"/>
      <c r="AF6" s="555" t="s">
        <v>290</v>
      </c>
      <c r="AG6" s="556"/>
      <c r="AH6" s="557" t="s">
        <v>291</v>
      </c>
      <c r="AI6" s="558"/>
      <c r="AJ6" s="175" t="s">
        <v>300</v>
      </c>
      <c r="AK6" s="559" t="s">
        <v>292</v>
      </c>
      <c r="AL6" s="560"/>
      <c r="AM6" s="635" t="s">
        <v>301</v>
      </c>
      <c r="AN6" s="637" t="s">
        <v>302</v>
      </c>
      <c r="AO6" s="639" t="s">
        <v>303</v>
      </c>
      <c r="AP6" s="561" t="s">
        <v>290</v>
      </c>
      <c r="AQ6" s="562"/>
      <c r="AR6" s="563" t="s">
        <v>291</v>
      </c>
      <c r="AS6" s="563"/>
      <c r="AT6" s="563"/>
      <c r="AU6" s="563"/>
      <c r="AV6" s="188" t="s">
        <v>300</v>
      </c>
      <c r="AW6" s="564" t="s">
        <v>292</v>
      </c>
      <c r="AX6" s="565"/>
      <c r="AY6" s="566" t="s">
        <v>290</v>
      </c>
      <c r="AZ6" s="567"/>
      <c r="BA6" s="568" t="s">
        <v>291</v>
      </c>
      <c r="BB6" s="568"/>
      <c r="BC6" s="196" t="s">
        <v>300</v>
      </c>
      <c r="BD6" s="569" t="s">
        <v>292</v>
      </c>
      <c r="BE6" s="570"/>
      <c r="BF6" s="644" t="s">
        <v>304</v>
      </c>
      <c r="BG6" s="567" t="s">
        <v>305</v>
      </c>
      <c r="BH6" s="647" t="s">
        <v>306</v>
      </c>
      <c r="BI6" s="571" t="s">
        <v>290</v>
      </c>
      <c r="BJ6" s="572"/>
      <c r="BK6" s="573" t="s">
        <v>291</v>
      </c>
      <c r="BL6" s="573"/>
      <c r="BM6" s="573"/>
      <c r="BN6" s="573"/>
      <c r="BO6" s="219" t="s">
        <v>300</v>
      </c>
      <c r="BP6" s="574" t="s">
        <v>292</v>
      </c>
      <c r="BQ6" s="575"/>
      <c r="BR6" s="576" t="s">
        <v>290</v>
      </c>
      <c r="BS6" s="577"/>
      <c r="BT6" s="578" t="s">
        <v>291</v>
      </c>
      <c r="BU6" s="578"/>
      <c r="BV6" s="231" t="s">
        <v>300</v>
      </c>
      <c r="BW6" s="579" t="s">
        <v>292</v>
      </c>
      <c r="BX6" s="580"/>
      <c r="BY6" s="576" t="s">
        <v>307</v>
      </c>
      <c r="BZ6" s="577" t="s">
        <v>308</v>
      </c>
      <c r="CA6" s="649" t="s">
        <v>309</v>
      </c>
    </row>
    <row r="7" spans="1:79" s="116" customFormat="1" ht="112.5" customHeight="1">
      <c r="A7" s="122" t="s">
        <v>1235</v>
      </c>
      <c r="B7" s="123" t="s">
        <v>7</v>
      </c>
      <c r="C7" s="123" t="s">
        <v>91</v>
      </c>
      <c r="D7" s="124" t="s">
        <v>19</v>
      </c>
      <c r="E7" s="123" t="s">
        <v>21</v>
      </c>
      <c r="F7" s="125" t="s">
        <v>1435</v>
      </c>
      <c r="G7" s="126" t="s">
        <v>318</v>
      </c>
      <c r="H7" s="127" t="s">
        <v>31</v>
      </c>
      <c r="I7" s="141" t="s">
        <v>1436</v>
      </c>
      <c r="J7" s="124" t="s">
        <v>1437</v>
      </c>
      <c r="K7" s="124" t="s">
        <v>49</v>
      </c>
      <c r="L7" s="142" t="s">
        <v>331</v>
      </c>
      <c r="M7" s="143" t="s">
        <v>334</v>
      </c>
      <c r="N7" s="144" t="s">
        <v>336</v>
      </c>
      <c r="O7" s="144" t="s">
        <v>337</v>
      </c>
      <c r="P7" s="145" t="s">
        <v>338</v>
      </c>
      <c r="Q7" s="157" t="s">
        <v>339</v>
      </c>
      <c r="R7" s="158" t="s">
        <v>340</v>
      </c>
      <c r="S7" s="158" t="s">
        <v>336</v>
      </c>
      <c r="T7" s="158" t="s">
        <v>341</v>
      </c>
      <c r="U7" s="158" t="s">
        <v>342</v>
      </c>
      <c r="V7" s="159" t="s">
        <v>343</v>
      </c>
      <c r="W7" s="160" t="s">
        <v>344</v>
      </c>
      <c r="X7" s="161" t="s">
        <v>345</v>
      </c>
      <c r="Y7" s="167" t="s">
        <v>346</v>
      </c>
      <c r="Z7" s="167" t="s">
        <v>347</v>
      </c>
      <c r="AA7" s="167" t="s">
        <v>348</v>
      </c>
      <c r="AB7" s="167" t="s">
        <v>349</v>
      </c>
      <c r="AC7" s="168" t="s">
        <v>350</v>
      </c>
      <c r="AD7" s="169" t="s">
        <v>351</v>
      </c>
      <c r="AE7" s="170" t="s">
        <v>352</v>
      </c>
      <c r="AF7" s="143" t="s">
        <v>353</v>
      </c>
      <c r="AG7" s="144" t="s">
        <v>354</v>
      </c>
      <c r="AH7" s="177" t="s">
        <v>355</v>
      </c>
      <c r="AI7" s="174" t="s">
        <v>356</v>
      </c>
      <c r="AJ7" s="178" t="s">
        <v>357</v>
      </c>
      <c r="AK7" s="179" t="s">
        <v>351</v>
      </c>
      <c r="AL7" s="180" t="s">
        <v>352</v>
      </c>
      <c r="AM7" s="636"/>
      <c r="AN7" s="638"/>
      <c r="AO7" s="640"/>
      <c r="AP7" s="189" t="s">
        <v>358</v>
      </c>
      <c r="AQ7" s="189" t="s">
        <v>359</v>
      </c>
      <c r="AR7" s="190" t="s">
        <v>346</v>
      </c>
      <c r="AS7" s="190" t="s">
        <v>347</v>
      </c>
      <c r="AT7" s="190" t="s">
        <v>360</v>
      </c>
      <c r="AU7" s="190" t="s">
        <v>361</v>
      </c>
      <c r="AV7" s="191" t="s">
        <v>350</v>
      </c>
      <c r="AW7" s="197" t="s">
        <v>362</v>
      </c>
      <c r="AX7" s="198" t="s">
        <v>363</v>
      </c>
      <c r="AY7" s="199" t="s">
        <v>364</v>
      </c>
      <c r="AZ7" s="200" t="s">
        <v>365</v>
      </c>
      <c r="BA7" s="201" t="s">
        <v>366</v>
      </c>
      <c r="BB7" s="201" t="s">
        <v>367</v>
      </c>
      <c r="BC7" s="202" t="s">
        <v>357</v>
      </c>
      <c r="BD7" s="203" t="s">
        <v>362</v>
      </c>
      <c r="BE7" s="211" t="s">
        <v>363</v>
      </c>
      <c r="BF7" s="645"/>
      <c r="BG7" s="646"/>
      <c r="BH7" s="648"/>
      <c r="BI7" s="212" t="s">
        <v>368</v>
      </c>
      <c r="BJ7" s="212" t="s">
        <v>369</v>
      </c>
      <c r="BK7" s="210" t="s">
        <v>346</v>
      </c>
      <c r="BL7" s="210" t="s">
        <v>347</v>
      </c>
      <c r="BM7" s="210" t="s">
        <v>370</v>
      </c>
      <c r="BN7" s="210" t="s">
        <v>371</v>
      </c>
      <c r="BO7" s="219" t="s">
        <v>350</v>
      </c>
      <c r="BP7" s="220" t="s">
        <v>372</v>
      </c>
      <c r="BQ7" s="221" t="s">
        <v>373</v>
      </c>
      <c r="BR7" s="222" t="s">
        <v>374</v>
      </c>
      <c r="BS7" s="223" t="s">
        <v>375</v>
      </c>
      <c r="BT7" s="224" t="s">
        <v>376</v>
      </c>
      <c r="BU7" s="224" t="s">
        <v>377</v>
      </c>
      <c r="BV7" s="231" t="s">
        <v>357</v>
      </c>
      <c r="BW7" s="232" t="s">
        <v>372</v>
      </c>
      <c r="BX7" s="233" t="s">
        <v>373</v>
      </c>
      <c r="BY7" s="576"/>
      <c r="BZ7" s="577"/>
      <c r="CA7" s="649"/>
    </row>
    <row r="8" spans="1:79" s="117" customFormat="1" ht="167.25" customHeight="1">
      <c r="A8" s="128" t="str">
        <f>IFERROR(INDEX(Riesgos!$A$7:$M$84,MATCH(E8,INDEX(Riesgos!$A$7:$M$84,,MATCH(E$7,Riesgos!$A$6:$M$6,0)),0),MATCH(A$7,Riesgos!$A$6:$M$6,0)),"")</f>
        <v/>
      </c>
      <c r="B8" s="129" t="str">
        <f>IFERROR(INDEX(Riesgos!$A$7:$M$84,MATCH(E8,INDEX(Riesgos!$A$7:$M$84,,MATCH(E$7,Riesgos!$A$6:$M$6,0)),0),MATCH(B$7,Riesgos!$A$6:$M$6,0)),"")</f>
        <v/>
      </c>
      <c r="C8" s="129"/>
      <c r="D8" s="130" t="str">
        <f>IFERROR(INDEX(Riesgos!$A$7:$M$84,MATCH(E8,INDEX(Riesgos!$A$7:$M$84,,MATCH(E$7,Riesgos!$A$6:$M$6,0)),0),MATCH(D$7,Riesgos!$A$6:$M$6,0)),"")</f>
        <v/>
      </c>
      <c r="E8" s="131"/>
      <c r="F8" s="131"/>
      <c r="G8" s="132" t="str">
        <f>IF(ISTEXT(E8),1,"")</f>
        <v/>
      </c>
      <c r="H8" s="133"/>
      <c r="I8" s="146" t="str">
        <f>IFERROR(IF(#REF!="Probabilidad",(#REF!-(+#REF!*#REF!)),IF(#REF!="Impacto",#REF!,"")),"")</f>
        <v/>
      </c>
      <c r="J8" s="147" t="str">
        <f>IFERROR(IF(I8="","",IF(I8&lt;='Listas y tablas'!$L$3,"Muy Baja",IF(I8&lt;='Listas y tablas'!$L$4,"Baja",IF(I8&lt;='Listas y tablas'!$L$5,"Media",IF(I8&lt;='Listas y tablas'!$L$6,"Alta","Muy Alta"))))),"")</f>
        <v/>
      </c>
      <c r="K8" s="148"/>
      <c r="L8" s="149"/>
      <c r="M8" s="150"/>
      <c r="N8" s="151"/>
      <c r="O8" s="151"/>
      <c r="P8" s="152"/>
      <c r="Q8" s="162"/>
      <c r="R8" s="163"/>
      <c r="S8" s="163"/>
      <c r="T8" s="163"/>
      <c r="U8" s="163"/>
      <c r="V8" s="164"/>
      <c r="W8" s="150"/>
      <c r="X8" s="163"/>
      <c r="Y8" s="163"/>
      <c r="Z8" s="163"/>
      <c r="AA8" s="163"/>
      <c r="AB8" s="163"/>
      <c r="AC8" s="163"/>
      <c r="AD8" s="163"/>
      <c r="AE8" s="171"/>
      <c r="AF8" s="172"/>
      <c r="AG8" s="181"/>
      <c r="AH8" s="181"/>
      <c r="AI8" s="182"/>
      <c r="AJ8" s="181"/>
      <c r="AK8" s="181"/>
      <c r="AL8" s="183"/>
      <c r="AM8" s="172"/>
      <c r="AN8" s="184"/>
      <c r="AO8" s="192"/>
      <c r="AP8" s="193"/>
      <c r="AQ8" s="194"/>
      <c r="AR8" s="194"/>
      <c r="AS8" s="194"/>
      <c r="AT8" s="194"/>
      <c r="AU8" s="194"/>
      <c r="AV8" s="194"/>
      <c r="AW8" s="194"/>
      <c r="AX8" s="204"/>
      <c r="AY8" s="205"/>
      <c r="AZ8" s="206"/>
      <c r="BA8" s="206"/>
      <c r="BB8" s="206"/>
      <c r="BC8" s="206"/>
      <c r="BD8" s="206"/>
      <c r="BE8" s="213"/>
      <c r="BF8" s="214"/>
      <c r="BG8" s="206"/>
      <c r="BH8" s="213"/>
      <c r="BI8" s="215"/>
      <c r="BJ8" s="216"/>
      <c r="BK8" s="216"/>
      <c r="BL8" s="216"/>
      <c r="BM8" s="216"/>
      <c r="BN8" s="216"/>
      <c r="BO8" s="216"/>
      <c r="BP8" s="216"/>
      <c r="BQ8" s="225"/>
      <c r="BR8" s="226"/>
      <c r="BS8" s="227"/>
      <c r="BT8" s="227"/>
      <c r="BU8" s="227"/>
      <c r="BV8" s="227"/>
      <c r="BW8" s="227"/>
      <c r="BX8" s="234"/>
      <c r="BY8" s="226"/>
      <c r="BZ8" s="227"/>
      <c r="CA8" s="234"/>
    </row>
    <row r="9" spans="1:79" ht="151.5" customHeight="1">
      <c r="A9" s="134" t="str">
        <f>IFERROR(INDEX(Riesgos!$A$7:$M$84,MATCH(E9,INDEX(Riesgos!$A$7:$M$84,,MATCH(E$7,Riesgos!$A$6:$M$6,0)),0),MATCH(A$7,Riesgos!$A$6:$M$6,0)),"")</f>
        <v/>
      </c>
      <c r="B9" s="135" t="str">
        <f>IFERROR(INDEX(Riesgos!$A$7:$M$84,MATCH(E9,INDEX(Riesgos!$A$7:$M$84,,MATCH(E$7,Riesgos!$A$6:$M$6,0)),0),MATCH(B$7,Riesgos!$A$6:$M$6,0)),"")</f>
        <v/>
      </c>
      <c r="C9" s="135"/>
      <c r="D9" s="136" t="str">
        <f>IFERROR(INDEX(Riesgos!$A$7:$M$84,MATCH(E9,INDEX(Riesgos!$A$7:$M$84,,MATCH(E$7,Riesgos!$A$6:$M$6,0)),0),MATCH(D$7,Riesgos!$A$6:$M$6,0)),"")</f>
        <v/>
      </c>
      <c r="E9" s="137"/>
      <c r="F9" s="137"/>
      <c r="G9" s="138" t="str">
        <f t="shared" ref="G9:G40" si="0">IF(ISTEXT(E9),1+G8,"")</f>
        <v/>
      </c>
      <c r="H9" s="139"/>
      <c r="I9" s="153" t="str">
        <f>IF(A8=A9,IFERROR(IF(AND(#REF!="Probabilidad",#REF!="Probabilidad"),(#REF!-(+#REF!*#REF!)),IF(#REF!="Probabilidad",(#REF!-(+#REF!*#REF!)),IF(#REF!="Impacto",#REF!,""))),""),IFERROR(IF(#REF!="Probabilidad",(#REF!-(+#REF!*#REF!)),IF(#REF!="Impacto",#REF!,"")),""))</f>
        <v/>
      </c>
      <c r="J9" s="154" t="str">
        <f>IFERROR(IF(I9="","",IF(I9&lt;='Listas y tablas'!$L$3,"Muy Baja",IF(I9&lt;='Listas y tablas'!$L$4,"Baja",IF(I9&lt;='Listas y tablas'!$L$5,"Media",IF(I9&lt;='Listas y tablas'!$L$6,"Alta","Muy Alta"))))),"")</f>
        <v/>
      </c>
      <c r="K9" s="155"/>
      <c r="L9" s="156"/>
      <c r="M9" s="150"/>
      <c r="N9" s="151"/>
      <c r="O9" s="151"/>
      <c r="P9" s="152"/>
      <c r="Q9" s="162"/>
      <c r="R9" s="151"/>
      <c r="S9" s="151"/>
      <c r="T9" s="151"/>
      <c r="U9" s="151"/>
      <c r="V9" s="165"/>
      <c r="W9" s="150"/>
      <c r="X9" s="151"/>
      <c r="Y9" s="151"/>
      <c r="Z9" s="151"/>
      <c r="AA9" s="151"/>
      <c r="AB9" s="151"/>
      <c r="AC9" s="163"/>
      <c r="AD9" s="151"/>
      <c r="AE9" s="152"/>
      <c r="AF9" s="173"/>
      <c r="AG9" s="185"/>
      <c r="AH9" s="185"/>
      <c r="AI9" s="186"/>
      <c r="AJ9" s="181"/>
      <c r="AK9" s="181"/>
      <c r="AL9" s="183"/>
      <c r="AM9" s="173"/>
      <c r="AN9" s="187"/>
      <c r="AO9" s="195"/>
      <c r="AP9" s="193"/>
      <c r="AQ9" s="193"/>
      <c r="AR9" s="193"/>
      <c r="AS9" s="193"/>
      <c r="AT9" s="193"/>
      <c r="AU9" s="193"/>
      <c r="AV9" s="194"/>
      <c r="AW9" s="193"/>
      <c r="AX9" s="207"/>
      <c r="AY9" s="208"/>
      <c r="AZ9" s="209"/>
      <c r="BA9" s="209"/>
      <c r="BB9" s="209"/>
      <c r="BC9" s="206"/>
      <c r="BD9" s="206"/>
      <c r="BE9" s="213"/>
      <c r="BF9" s="217"/>
      <c r="BG9" s="209"/>
      <c r="BH9" s="218"/>
      <c r="BI9" s="215"/>
      <c r="BJ9" s="215"/>
      <c r="BK9" s="215"/>
      <c r="BL9" s="215"/>
      <c r="BM9" s="215"/>
      <c r="BN9" s="215"/>
      <c r="BO9" s="216"/>
      <c r="BP9" s="215"/>
      <c r="BQ9" s="228"/>
      <c r="BR9" s="229"/>
      <c r="BS9" s="230"/>
      <c r="BT9" s="230"/>
      <c r="BU9" s="230"/>
      <c r="BV9" s="227"/>
      <c r="BW9" s="227"/>
      <c r="BX9" s="234"/>
      <c r="BY9" s="229"/>
      <c r="BZ9" s="230"/>
      <c r="CA9" s="235"/>
    </row>
    <row r="10" spans="1:79" ht="151.5" customHeight="1">
      <c r="A10" s="134" t="str">
        <f>IFERROR(INDEX(Riesgos!$A$7:$M$84,MATCH(E10,INDEX(Riesgos!$A$7:$M$84,,MATCH(E$7,Riesgos!$A$6:$M$6,0)),0),MATCH(A$7,Riesgos!$A$6:$M$6,0)),"")</f>
        <v/>
      </c>
      <c r="B10" s="135" t="str">
        <f>IFERROR(INDEX(Riesgos!$A$7:$M$84,MATCH(E10,INDEX(Riesgos!$A$7:$M$84,,MATCH(E$7,Riesgos!$A$6:$M$6,0)),0),MATCH(B$7,Riesgos!$A$6:$M$6,0)),"")</f>
        <v/>
      </c>
      <c r="C10" s="135"/>
      <c r="D10" s="136" t="str">
        <f>IFERROR(INDEX(Riesgos!$A$7:$M$84,MATCH(E10,INDEX(Riesgos!$A$7:$M$84,,MATCH(E$7,Riesgos!$A$6:$M$6,0)),0),MATCH(D$7,Riesgos!$A$6:$M$6,0)),"")</f>
        <v/>
      </c>
      <c r="E10" s="137"/>
      <c r="F10" s="137"/>
      <c r="G10" s="138" t="str">
        <f t="shared" si="0"/>
        <v/>
      </c>
      <c r="H10" s="140"/>
      <c r="I10" s="153" t="str">
        <f>IF(A9=A10,IFERROR(IF(AND(#REF!="Probabilidad",#REF!="Probabilidad"),(#REF!-(+#REF!*#REF!)),IF(#REF!="Probabilidad",(#REF!-(+#REF!*#REF!)),IF(#REF!="Impacto",#REF!,""))),""),IFERROR(IF(#REF!="Probabilidad",(#REF!-(+#REF!*#REF!)),IF(#REF!="Impacto",#REF!,"")),""))</f>
        <v/>
      </c>
      <c r="J10" s="154" t="str">
        <f>IFERROR(IF(I10="","",IF(I10&lt;='Listas y tablas'!$L$3,"Muy Baja",IF(I10&lt;='Listas y tablas'!$L$4,"Baja",IF(I10&lt;='Listas y tablas'!$L$5,"Media",IF(I10&lt;='Listas y tablas'!$L$6,"Alta","Muy Alta"))))),"")</f>
        <v/>
      </c>
      <c r="K10" s="155"/>
      <c r="L10" s="156"/>
      <c r="M10" s="150"/>
      <c r="N10" s="151"/>
      <c r="O10" s="151"/>
      <c r="P10" s="152"/>
      <c r="Q10" s="162"/>
      <c r="R10" s="151"/>
      <c r="S10" s="151"/>
      <c r="T10" s="151"/>
      <c r="U10" s="151"/>
      <c r="V10" s="165"/>
      <c r="W10" s="150"/>
      <c r="X10" s="151"/>
      <c r="Y10" s="151"/>
      <c r="Z10" s="151"/>
      <c r="AA10" s="151"/>
      <c r="AB10" s="151"/>
      <c r="AC10" s="163"/>
      <c r="AD10" s="151"/>
      <c r="AE10" s="152"/>
      <c r="AF10" s="173"/>
      <c r="AG10" s="185"/>
      <c r="AH10" s="185"/>
      <c r="AI10" s="186"/>
      <c r="AJ10" s="181"/>
      <c r="AK10" s="181"/>
      <c r="AL10" s="183"/>
      <c r="AM10" s="173"/>
      <c r="AN10" s="187"/>
      <c r="AO10" s="195"/>
      <c r="AP10" s="193"/>
      <c r="AQ10" s="193"/>
      <c r="AR10" s="193"/>
      <c r="AS10" s="193"/>
      <c r="AT10" s="193"/>
      <c r="AU10" s="193"/>
      <c r="AV10" s="194"/>
      <c r="AW10" s="193"/>
      <c r="AX10" s="207"/>
      <c r="AY10" s="208"/>
      <c r="AZ10" s="209"/>
      <c r="BA10" s="209"/>
      <c r="BB10" s="209"/>
      <c r="BC10" s="206"/>
      <c r="BD10" s="206"/>
      <c r="BE10" s="213"/>
      <c r="BF10" s="217"/>
      <c r="BG10" s="209"/>
      <c r="BH10" s="218"/>
      <c r="BI10" s="215"/>
      <c r="BJ10" s="215"/>
      <c r="BK10" s="215"/>
      <c r="BL10" s="215"/>
      <c r="BM10" s="215"/>
      <c r="BN10" s="215"/>
      <c r="BO10" s="216"/>
      <c r="BP10" s="215"/>
      <c r="BQ10" s="228"/>
      <c r="BR10" s="229"/>
      <c r="BS10" s="230"/>
      <c r="BT10" s="230"/>
      <c r="BU10" s="230"/>
      <c r="BV10" s="227"/>
      <c r="BW10" s="227"/>
      <c r="BX10" s="234"/>
      <c r="BY10" s="229"/>
      <c r="BZ10" s="230"/>
      <c r="CA10" s="235"/>
    </row>
    <row r="11" spans="1:79" ht="151.5" customHeight="1">
      <c r="A11" s="134" t="str">
        <f>IFERROR(INDEX(Riesgos!$A$7:$M$84,MATCH(E11,INDEX(Riesgos!$A$7:$M$84,,MATCH(E$7,Riesgos!$A$6:$M$6,0)),0),MATCH(A$7,Riesgos!$A$6:$M$6,0)),"")</f>
        <v/>
      </c>
      <c r="B11" s="135" t="str">
        <f>IFERROR(INDEX(Riesgos!$A$7:$M$84,MATCH(E11,INDEX(Riesgos!$A$7:$M$84,,MATCH(E$7,Riesgos!$A$6:$M$6,0)),0),MATCH(B$7,Riesgos!$A$6:$M$6,0)),"")</f>
        <v/>
      </c>
      <c r="C11" s="135"/>
      <c r="D11" s="136" t="str">
        <f>IFERROR(INDEX(Riesgos!$A$7:$M$84,MATCH(E11,INDEX(Riesgos!$A$7:$M$84,,MATCH(E$7,Riesgos!$A$6:$M$6,0)),0),MATCH(D$7,Riesgos!$A$6:$M$6,0)),"")</f>
        <v/>
      </c>
      <c r="E11" s="137"/>
      <c r="F11" s="137"/>
      <c r="G11" s="138" t="str">
        <f t="shared" si="0"/>
        <v/>
      </c>
      <c r="H11" s="139"/>
      <c r="I11" s="153" t="str">
        <f>IF(A10=A11,IFERROR(IF(AND(#REF!="Probabilidad",#REF!="Probabilidad"),(#REF!-(+#REF!*#REF!)),IF(#REF!="Probabilidad",(#REF!-(+#REF!*#REF!)),IF(#REF!="Impacto",#REF!,""))),""),IFERROR(IF(#REF!="Probabilidad",(#REF!-(+#REF!*#REF!)),IF(#REF!="Impacto",#REF!,"")),""))</f>
        <v/>
      </c>
      <c r="J11" s="154" t="str">
        <f>IFERROR(IF(I11="","",IF(I11&lt;='Listas y tablas'!$L$3,"Muy Baja",IF(I11&lt;='Listas y tablas'!$L$4,"Baja",IF(I11&lt;='Listas y tablas'!$L$5,"Media",IF(I11&lt;='Listas y tablas'!$L$6,"Alta","Muy Alta"))))),"")</f>
        <v/>
      </c>
      <c r="K11" s="155"/>
      <c r="L11" s="156"/>
      <c r="M11" s="150"/>
      <c r="N11" s="151"/>
      <c r="O11" s="151"/>
      <c r="P11" s="152"/>
      <c r="Q11" s="162"/>
      <c r="R11" s="151"/>
      <c r="S11" s="151"/>
      <c r="T11" s="151"/>
      <c r="U11" s="151"/>
      <c r="V11" s="165"/>
      <c r="W11" s="150"/>
      <c r="X11" s="151"/>
      <c r="Y11" s="151"/>
      <c r="Z11" s="151"/>
      <c r="AA11" s="151"/>
      <c r="AB11" s="151"/>
      <c r="AC11" s="163"/>
      <c r="AD11" s="151"/>
      <c r="AE11" s="152"/>
      <c r="AF11" s="173"/>
      <c r="AG11" s="185"/>
      <c r="AH11" s="185"/>
      <c r="AI11" s="186"/>
      <c r="AJ11" s="181"/>
      <c r="AK11" s="181"/>
      <c r="AL11" s="183"/>
      <c r="AM11" s="173"/>
      <c r="AN11" s="187"/>
      <c r="AO11" s="195"/>
      <c r="AP11" s="193"/>
      <c r="AQ11" s="193"/>
      <c r="AR11" s="193"/>
      <c r="AS11" s="193"/>
      <c r="AT11" s="193"/>
      <c r="AU11" s="193"/>
      <c r="AV11" s="194"/>
      <c r="AW11" s="193"/>
      <c r="AX11" s="207"/>
      <c r="AY11" s="208"/>
      <c r="AZ11" s="209"/>
      <c r="BA11" s="209"/>
      <c r="BB11" s="209"/>
      <c r="BC11" s="206"/>
      <c r="BD11" s="206"/>
      <c r="BE11" s="213"/>
      <c r="BF11" s="217"/>
      <c r="BG11" s="209"/>
      <c r="BH11" s="218"/>
      <c r="BI11" s="215"/>
      <c r="BJ11" s="215"/>
      <c r="BK11" s="215"/>
      <c r="BL11" s="215"/>
      <c r="BM11" s="215"/>
      <c r="BN11" s="215"/>
      <c r="BO11" s="216"/>
      <c r="BP11" s="215"/>
      <c r="BQ11" s="228"/>
      <c r="BR11" s="229"/>
      <c r="BS11" s="230"/>
      <c r="BT11" s="230"/>
      <c r="BU11" s="230"/>
      <c r="BV11" s="227"/>
      <c r="BW11" s="227"/>
      <c r="BX11" s="234"/>
      <c r="BY11" s="229"/>
      <c r="BZ11" s="230"/>
      <c r="CA11" s="235"/>
    </row>
    <row r="12" spans="1:79" ht="151.5" customHeight="1">
      <c r="A12" s="134" t="str">
        <f>IFERROR(INDEX(Riesgos!$A$7:$M$84,MATCH(E12,INDEX(Riesgos!$A$7:$M$84,,MATCH(E$7,Riesgos!$A$6:$M$6,0)),0),MATCH(A$7,Riesgos!$A$6:$M$6,0)),"")</f>
        <v/>
      </c>
      <c r="B12" s="135" t="str">
        <f>IFERROR(INDEX(Riesgos!$A$7:$M$84,MATCH(E12,INDEX(Riesgos!$A$7:$M$84,,MATCH(E$7,Riesgos!$A$6:$M$6,0)),0),MATCH(B$7,Riesgos!$A$6:$M$6,0)),"")</f>
        <v/>
      </c>
      <c r="C12" s="135"/>
      <c r="D12" s="136" t="str">
        <f>IFERROR(INDEX(Riesgos!$A$7:$M$84,MATCH(E12,INDEX(Riesgos!$A$7:$M$84,,MATCH(E$7,Riesgos!$A$6:$M$6,0)),0),MATCH(D$7,Riesgos!$A$6:$M$6,0)),"")</f>
        <v/>
      </c>
      <c r="E12" s="137"/>
      <c r="F12" s="137"/>
      <c r="G12" s="138" t="str">
        <f t="shared" si="0"/>
        <v/>
      </c>
      <c r="H12" s="139"/>
      <c r="I12" s="153" t="str">
        <f>IF(A11=A12,IFERROR(IF(AND(#REF!="Probabilidad",#REF!="Probabilidad"),(#REF!-(+#REF!*#REF!)),IF(#REF!="Probabilidad",(#REF!-(+#REF!*#REF!)),IF(#REF!="Impacto",#REF!,""))),""),IFERROR(IF(#REF!="Probabilidad",(#REF!-(+#REF!*#REF!)),IF(#REF!="Impacto",#REF!,"")),""))</f>
        <v/>
      </c>
      <c r="J12" s="154" t="str">
        <f>IFERROR(IF(I12="","",IF(I12&lt;='Listas y tablas'!$L$3,"Muy Baja",IF(I12&lt;='Listas y tablas'!$L$4,"Baja",IF(I12&lt;='Listas y tablas'!$L$5,"Media",IF(I12&lt;='Listas y tablas'!$L$6,"Alta","Muy Alta"))))),"")</f>
        <v/>
      </c>
      <c r="K12" s="155"/>
      <c r="L12" s="156"/>
      <c r="M12" s="150"/>
      <c r="N12" s="151"/>
      <c r="O12" s="151"/>
      <c r="P12" s="152"/>
      <c r="Q12" s="162"/>
      <c r="R12" s="151"/>
      <c r="S12" s="151"/>
      <c r="T12" s="151"/>
      <c r="U12" s="151"/>
      <c r="V12" s="165"/>
      <c r="W12" s="150"/>
      <c r="X12" s="151"/>
      <c r="Y12" s="151"/>
      <c r="Z12" s="151"/>
      <c r="AA12" s="151"/>
      <c r="AB12" s="151"/>
      <c r="AC12" s="163"/>
      <c r="AD12" s="151"/>
      <c r="AE12" s="152"/>
      <c r="AF12" s="173"/>
      <c r="AG12" s="185"/>
      <c r="AH12" s="185"/>
      <c r="AI12" s="186"/>
      <c r="AJ12" s="181"/>
      <c r="AK12" s="181"/>
      <c r="AL12" s="183"/>
      <c r="AM12" s="173"/>
      <c r="AN12" s="187"/>
      <c r="AO12" s="195"/>
      <c r="AP12" s="193"/>
      <c r="AQ12" s="193"/>
      <c r="AR12" s="193"/>
      <c r="AS12" s="193"/>
      <c r="AT12" s="193"/>
      <c r="AU12" s="193"/>
      <c r="AV12" s="194"/>
      <c r="AW12" s="193"/>
      <c r="AX12" s="207"/>
      <c r="AY12" s="208"/>
      <c r="AZ12" s="209"/>
      <c r="BA12" s="209"/>
      <c r="BB12" s="209"/>
      <c r="BC12" s="206"/>
      <c r="BD12" s="206"/>
      <c r="BE12" s="213"/>
      <c r="BF12" s="217"/>
      <c r="BG12" s="209"/>
      <c r="BH12" s="218"/>
      <c r="BI12" s="215"/>
      <c r="BJ12" s="215"/>
      <c r="BK12" s="215"/>
      <c r="BL12" s="215"/>
      <c r="BM12" s="215"/>
      <c r="BN12" s="215"/>
      <c r="BO12" s="216"/>
      <c r="BP12" s="215"/>
      <c r="BQ12" s="228"/>
      <c r="BR12" s="229"/>
      <c r="BS12" s="230"/>
      <c r="BT12" s="230"/>
      <c r="BU12" s="230"/>
      <c r="BV12" s="227"/>
      <c r="BW12" s="227"/>
      <c r="BX12" s="234"/>
      <c r="BY12" s="229"/>
      <c r="BZ12" s="230"/>
      <c r="CA12" s="235"/>
    </row>
    <row r="13" spans="1:79" ht="151.5" customHeight="1">
      <c r="A13" s="134" t="str">
        <f>IFERROR(INDEX(Riesgos!$A$7:$M$84,MATCH(E13,INDEX(Riesgos!$A$7:$M$84,,MATCH(E$7,Riesgos!$A$6:$M$6,0)),0),MATCH(A$7,Riesgos!$A$6:$M$6,0)),"")</f>
        <v/>
      </c>
      <c r="B13" s="135" t="str">
        <f>IFERROR(INDEX(Riesgos!$A$7:$M$84,MATCH(E13,INDEX(Riesgos!$A$7:$M$84,,MATCH(E$7,Riesgos!$A$6:$M$6,0)),0),MATCH(B$7,Riesgos!$A$6:$M$6,0)),"")</f>
        <v/>
      </c>
      <c r="C13" s="135"/>
      <c r="D13" s="136" t="str">
        <f>IFERROR(INDEX(Riesgos!$A$7:$M$84,MATCH(E13,INDEX(Riesgos!$A$7:$M$84,,MATCH(E$7,Riesgos!$A$6:$M$6,0)),0),MATCH(D$7,Riesgos!$A$6:$M$6,0)),"")</f>
        <v/>
      </c>
      <c r="E13" s="137"/>
      <c r="F13" s="137"/>
      <c r="G13" s="138" t="str">
        <f t="shared" si="0"/>
        <v/>
      </c>
      <c r="H13" s="139"/>
      <c r="I13" s="153" t="str">
        <f>IF(A12=A13,IFERROR(IF(AND(#REF!="Probabilidad",#REF!="Probabilidad"),(#REF!-(+#REF!*#REF!)),IF(#REF!="Probabilidad",(#REF!-(+#REF!*#REF!)),IF(#REF!="Impacto",#REF!,""))),""),IFERROR(IF(#REF!="Probabilidad",(#REF!-(+#REF!*#REF!)),IF(#REF!="Impacto",#REF!,"")),""))</f>
        <v/>
      </c>
      <c r="J13" s="154" t="str">
        <f>IFERROR(IF(I13="","",IF(I13&lt;='Listas y tablas'!$L$3,"Muy Baja",IF(I13&lt;='Listas y tablas'!$L$4,"Baja",IF(I13&lt;='Listas y tablas'!$L$5,"Media",IF(I13&lt;='Listas y tablas'!$L$6,"Alta","Muy Alta"))))),"")</f>
        <v/>
      </c>
      <c r="K13" s="155"/>
      <c r="L13" s="156"/>
      <c r="M13" s="150"/>
      <c r="N13" s="151"/>
      <c r="O13" s="151"/>
      <c r="P13" s="152"/>
      <c r="Q13" s="162"/>
      <c r="R13" s="151"/>
      <c r="S13" s="151"/>
      <c r="T13" s="151"/>
      <c r="U13" s="151"/>
      <c r="V13" s="165"/>
      <c r="W13" s="150"/>
      <c r="X13" s="151"/>
      <c r="Y13" s="151"/>
      <c r="Z13" s="151"/>
      <c r="AA13" s="151"/>
      <c r="AB13" s="151"/>
      <c r="AC13" s="163"/>
      <c r="AD13" s="151"/>
      <c r="AE13" s="152"/>
      <c r="AF13" s="173"/>
      <c r="AG13" s="185"/>
      <c r="AH13" s="185"/>
      <c r="AI13" s="186"/>
      <c r="AJ13" s="181"/>
      <c r="AK13" s="181"/>
      <c r="AL13" s="183"/>
      <c r="AM13" s="173"/>
      <c r="AN13" s="187"/>
      <c r="AO13" s="195"/>
      <c r="AP13" s="193"/>
      <c r="AQ13" s="193"/>
      <c r="AR13" s="193"/>
      <c r="AS13" s="193"/>
      <c r="AT13" s="193"/>
      <c r="AU13" s="193"/>
      <c r="AV13" s="194"/>
      <c r="AW13" s="193"/>
      <c r="AX13" s="207"/>
      <c r="AY13" s="208"/>
      <c r="AZ13" s="209"/>
      <c r="BA13" s="209"/>
      <c r="BB13" s="209"/>
      <c r="BC13" s="206"/>
      <c r="BD13" s="206"/>
      <c r="BE13" s="213"/>
      <c r="BF13" s="217"/>
      <c r="BG13" s="209"/>
      <c r="BH13" s="218"/>
      <c r="BI13" s="215"/>
      <c r="BJ13" s="215"/>
      <c r="BK13" s="215"/>
      <c r="BL13" s="215"/>
      <c r="BM13" s="215"/>
      <c r="BN13" s="215"/>
      <c r="BO13" s="216"/>
      <c r="BP13" s="215"/>
      <c r="BQ13" s="228"/>
      <c r="BR13" s="229"/>
      <c r="BS13" s="230"/>
      <c r="BT13" s="230"/>
      <c r="BU13" s="230"/>
      <c r="BV13" s="227"/>
      <c r="BW13" s="227"/>
      <c r="BX13" s="234"/>
      <c r="BY13" s="229"/>
      <c r="BZ13" s="230"/>
      <c r="CA13" s="235"/>
    </row>
    <row r="14" spans="1:79" ht="151.5" customHeight="1">
      <c r="A14" s="134" t="str">
        <f>IFERROR(INDEX(Riesgos!$A$7:$M$84,MATCH(E14,INDEX(Riesgos!$A$7:$M$84,,MATCH(E$7,Riesgos!$A$6:$M$6,0)),0),MATCH(A$7,Riesgos!$A$6:$M$6,0)),"")</f>
        <v/>
      </c>
      <c r="B14" s="135" t="str">
        <f>IFERROR(INDEX(Riesgos!$A$7:$M$84,MATCH(E14,INDEX(Riesgos!$A$7:$M$84,,MATCH(E$7,Riesgos!$A$6:$M$6,0)),0),MATCH(B$7,Riesgos!$A$6:$M$6,0)),"")</f>
        <v/>
      </c>
      <c r="C14" s="135"/>
      <c r="D14" s="136" t="str">
        <f>IFERROR(INDEX(Riesgos!$A$7:$M$84,MATCH(E14,INDEX(Riesgos!$A$7:$M$84,,MATCH(E$7,Riesgos!$A$6:$M$6,0)),0),MATCH(D$7,Riesgos!$A$6:$M$6,0)),"")</f>
        <v/>
      </c>
      <c r="E14" s="137"/>
      <c r="F14" s="137"/>
      <c r="G14" s="138" t="str">
        <f t="shared" si="0"/>
        <v/>
      </c>
      <c r="H14" s="139"/>
      <c r="I14" s="153" t="str">
        <f>IF(A13=A14,IFERROR(IF(AND(#REF!="Probabilidad",#REF!="Probabilidad"),(#REF!-(+#REF!*#REF!)),IF(#REF!="Probabilidad",(#REF!-(+#REF!*#REF!)),IF(#REF!="Impacto",#REF!,""))),""),IFERROR(IF(#REF!="Probabilidad",(#REF!-(+#REF!*#REF!)),IF(#REF!="Impacto",#REF!,"")),""))</f>
        <v/>
      </c>
      <c r="J14" s="154" t="str">
        <f>IFERROR(IF(I14="","",IF(I14&lt;='Listas y tablas'!$L$3,"Muy Baja",IF(I14&lt;='Listas y tablas'!$L$4,"Baja",IF(I14&lt;='Listas y tablas'!$L$5,"Media",IF(I14&lt;='Listas y tablas'!$L$6,"Alta","Muy Alta"))))),"")</f>
        <v/>
      </c>
      <c r="K14" s="155"/>
      <c r="L14" s="156"/>
      <c r="M14" s="150"/>
      <c r="N14" s="151"/>
      <c r="O14" s="151"/>
      <c r="P14" s="152"/>
      <c r="Q14" s="162"/>
      <c r="R14" s="151"/>
      <c r="S14" s="151"/>
      <c r="T14" s="151"/>
      <c r="U14" s="151"/>
      <c r="V14" s="165"/>
      <c r="W14" s="150"/>
      <c r="X14" s="151"/>
      <c r="Y14" s="151"/>
      <c r="Z14" s="151"/>
      <c r="AA14" s="151"/>
      <c r="AB14" s="151"/>
      <c r="AC14" s="163"/>
      <c r="AD14" s="151"/>
      <c r="AE14" s="152"/>
      <c r="AF14" s="173"/>
      <c r="AG14" s="185"/>
      <c r="AH14" s="185"/>
      <c r="AI14" s="186"/>
      <c r="AJ14" s="181"/>
      <c r="AK14" s="181"/>
      <c r="AL14" s="183"/>
      <c r="AM14" s="173"/>
      <c r="AN14" s="187"/>
      <c r="AO14" s="195"/>
      <c r="AP14" s="193"/>
      <c r="AQ14" s="193"/>
      <c r="AR14" s="193"/>
      <c r="AS14" s="193"/>
      <c r="AT14" s="193"/>
      <c r="AU14" s="193"/>
      <c r="AV14" s="194"/>
      <c r="AW14" s="193"/>
      <c r="AX14" s="207"/>
      <c r="AY14" s="208"/>
      <c r="AZ14" s="209"/>
      <c r="BA14" s="209"/>
      <c r="BB14" s="209"/>
      <c r="BC14" s="206"/>
      <c r="BD14" s="206"/>
      <c r="BE14" s="213"/>
      <c r="BF14" s="217"/>
      <c r="BG14" s="209"/>
      <c r="BH14" s="218"/>
      <c r="BI14" s="215"/>
      <c r="BJ14" s="215"/>
      <c r="BK14" s="215"/>
      <c r="BL14" s="215"/>
      <c r="BM14" s="215"/>
      <c r="BN14" s="215"/>
      <c r="BO14" s="216"/>
      <c r="BP14" s="215"/>
      <c r="BQ14" s="228"/>
      <c r="BR14" s="229"/>
      <c r="BS14" s="230"/>
      <c r="BT14" s="230"/>
      <c r="BU14" s="230"/>
      <c r="BV14" s="227"/>
      <c r="BW14" s="227"/>
      <c r="BX14" s="234"/>
      <c r="BY14" s="229"/>
      <c r="BZ14" s="230"/>
      <c r="CA14" s="235"/>
    </row>
    <row r="15" spans="1:79" ht="151.5" customHeight="1">
      <c r="A15" s="134" t="str">
        <f>IFERROR(INDEX(Riesgos!$A$7:$M$84,MATCH(E15,INDEX(Riesgos!$A$7:$M$84,,MATCH(E$7,Riesgos!$A$6:$M$6,0)),0),MATCH(A$7,Riesgos!$A$6:$M$6,0)),"")</f>
        <v/>
      </c>
      <c r="B15" s="135" t="str">
        <f>IFERROR(INDEX(Riesgos!$A$7:$M$84,MATCH(E15,INDEX(Riesgos!$A$7:$M$84,,MATCH(E$7,Riesgos!$A$6:$M$6,0)),0),MATCH(B$7,Riesgos!$A$6:$M$6,0)),"")</f>
        <v/>
      </c>
      <c r="C15" s="135"/>
      <c r="D15" s="136" t="str">
        <f>IFERROR(INDEX(Riesgos!$A$7:$M$84,MATCH(E15,INDEX(Riesgos!$A$7:$M$84,,MATCH(E$7,Riesgos!$A$6:$M$6,0)),0),MATCH(D$7,Riesgos!$A$6:$M$6,0)),"")</f>
        <v/>
      </c>
      <c r="E15" s="137"/>
      <c r="F15" s="137"/>
      <c r="G15" s="138" t="str">
        <f t="shared" si="0"/>
        <v/>
      </c>
      <c r="H15" s="139"/>
      <c r="I15" s="153" t="str">
        <f>IF(A14=A15,IFERROR(IF(AND(#REF!="Probabilidad",#REF!="Probabilidad"),(#REF!-(+#REF!*#REF!)),IF(#REF!="Probabilidad",(#REF!-(+#REF!*#REF!)),IF(#REF!="Impacto",#REF!,""))),""),IFERROR(IF(#REF!="Probabilidad",(#REF!-(+#REF!*#REF!)),IF(#REF!="Impacto",#REF!,"")),""))</f>
        <v/>
      </c>
      <c r="J15" s="154" t="str">
        <f>IFERROR(IF(I15="","",IF(I15&lt;='Listas y tablas'!$L$3,"Muy Baja",IF(I15&lt;='Listas y tablas'!$L$4,"Baja",IF(I15&lt;='Listas y tablas'!$L$5,"Media",IF(I15&lt;='Listas y tablas'!$L$6,"Alta","Muy Alta"))))),"")</f>
        <v/>
      </c>
      <c r="K15" s="155"/>
      <c r="L15" s="156"/>
      <c r="M15" s="150"/>
      <c r="N15" s="151"/>
      <c r="O15" s="151"/>
      <c r="P15" s="152"/>
      <c r="Q15" s="162"/>
      <c r="R15" s="151"/>
      <c r="S15" s="151"/>
      <c r="T15" s="151"/>
      <c r="U15" s="151"/>
      <c r="V15" s="165"/>
      <c r="W15" s="150"/>
      <c r="X15" s="151"/>
      <c r="Y15" s="151"/>
      <c r="Z15" s="151"/>
      <c r="AA15" s="151"/>
      <c r="AB15" s="151"/>
      <c r="AC15" s="163"/>
      <c r="AD15" s="151"/>
      <c r="AE15" s="152"/>
      <c r="AF15" s="173"/>
      <c r="AG15" s="185"/>
      <c r="AH15" s="185"/>
      <c r="AI15" s="186"/>
      <c r="AJ15" s="181"/>
      <c r="AK15" s="181"/>
      <c r="AL15" s="183"/>
      <c r="AM15" s="173"/>
      <c r="AN15" s="187"/>
      <c r="AO15" s="195"/>
      <c r="AP15" s="193"/>
      <c r="AQ15" s="193"/>
      <c r="AR15" s="193"/>
      <c r="AS15" s="193"/>
      <c r="AT15" s="193"/>
      <c r="AU15" s="193"/>
      <c r="AV15" s="194"/>
      <c r="AW15" s="193"/>
      <c r="AX15" s="207"/>
      <c r="AY15" s="208"/>
      <c r="AZ15" s="209"/>
      <c r="BA15" s="209"/>
      <c r="BB15" s="209"/>
      <c r="BC15" s="206"/>
      <c r="BD15" s="206"/>
      <c r="BE15" s="213"/>
      <c r="BF15" s="217"/>
      <c r="BG15" s="209"/>
      <c r="BH15" s="218"/>
      <c r="BI15" s="215"/>
      <c r="BJ15" s="215"/>
      <c r="BK15" s="215"/>
      <c r="BL15" s="215"/>
      <c r="BM15" s="215"/>
      <c r="BN15" s="215"/>
      <c r="BO15" s="216"/>
      <c r="BP15" s="215"/>
      <c r="BQ15" s="228"/>
      <c r="BR15" s="229"/>
      <c r="BS15" s="230"/>
      <c r="BT15" s="230"/>
      <c r="BU15" s="230"/>
      <c r="BV15" s="227"/>
      <c r="BW15" s="227"/>
      <c r="BX15" s="234"/>
      <c r="BY15" s="229"/>
      <c r="BZ15" s="230"/>
      <c r="CA15" s="235"/>
    </row>
    <row r="16" spans="1:79" ht="151.5" customHeight="1">
      <c r="A16" s="134" t="str">
        <f>IFERROR(INDEX(Riesgos!$A$7:$M$84,MATCH(E16,INDEX(Riesgos!$A$7:$M$84,,MATCH(E$7,Riesgos!$A$6:$M$6,0)),0),MATCH(A$7,Riesgos!$A$6:$M$6,0)),"")</f>
        <v/>
      </c>
      <c r="B16" s="135" t="str">
        <f>IFERROR(INDEX(Riesgos!$A$7:$M$84,MATCH(E16,INDEX(Riesgos!$A$7:$M$84,,MATCH(E$7,Riesgos!$A$6:$M$6,0)),0),MATCH(B$7,Riesgos!$A$6:$M$6,0)),"")</f>
        <v/>
      </c>
      <c r="C16" s="135"/>
      <c r="D16" s="136" t="str">
        <f>IFERROR(INDEX(Riesgos!$A$7:$M$84,MATCH(E16,INDEX(Riesgos!$A$7:$M$84,,MATCH(E$7,Riesgos!$A$6:$M$6,0)),0),MATCH(D$7,Riesgos!$A$6:$M$6,0)),"")</f>
        <v/>
      </c>
      <c r="E16" s="137"/>
      <c r="F16" s="137"/>
      <c r="G16" s="138" t="str">
        <f t="shared" si="0"/>
        <v/>
      </c>
      <c r="H16" s="140"/>
      <c r="I16" s="153" t="str">
        <f>IF(A15=A16,IFERROR(IF(AND(#REF!="Probabilidad",#REF!="Probabilidad"),(#REF!-(+#REF!*#REF!)),IF(#REF!="Probabilidad",(#REF!-(+#REF!*#REF!)),IF(#REF!="Impacto",#REF!,""))),""),IFERROR(IF(#REF!="Probabilidad",(#REF!-(+#REF!*#REF!)),IF(#REF!="Impacto",#REF!,"")),""))</f>
        <v/>
      </c>
      <c r="J16" s="154" t="str">
        <f>IFERROR(IF(I16="","",IF(I16&lt;='Listas y tablas'!$L$3,"Muy Baja",IF(I16&lt;='Listas y tablas'!$L$4,"Baja",IF(I16&lt;='Listas y tablas'!$L$5,"Media",IF(I16&lt;='Listas y tablas'!$L$6,"Alta","Muy Alta"))))),"")</f>
        <v/>
      </c>
      <c r="K16" s="155"/>
      <c r="L16" s="156"/>
      <c r="M16" s="150"/>
      <c r="N16" s="151"/>
      <c r="O16" s="151"/>
      <c r="P16" s="152"/>
      <c r="Q16" s="162"/>
      <c r="R16" s="151"/>
      <c r="S16" s="151"/>
      <c r="T16" s="151"/>
      <c r="U16" s="151"/>
      <c r="V16" s="165"/>
      <c r="W16" s="150"/>
      <c r="X16" s="151"/>
      <c r="Y16" s="151"/>
      <c r="Z16" s="151"/>
      <c r="AA16" s="151"/>
      <c r="AB16" s="151"/>
      <c r="AC16" s="163"/>
      <c r="AD16" s="151"/>
      <c r="AE16" s="152"/>
      <c r="AF16" s="173"/>
      <c r="AG16" s="185"/>
      <c r="AH16" s="185"/>
      <c r="AI16" s="186"/>
      <c r="AJ16" s="181"/>
      <c r="AK16" s="181"/>
      <c r="AL16" s="183"/>
      <c r="AM16" s="173"/>
      <c r="AN16" s="187"/>
      <c r="AO16" s="195"/>
      <c r="AP16" s="193"/>
      <c r="AQ16" s="193"/>
      <c r="AR16" s="193"/>
      <c r="AS16" s="193"/>
      <c r="AT16" s="193"/>
      <c r="AU16" s="193"/>
      <c r="AV16" s="194"/>
      <c r="AW16" s="193"/>
      <c r="AX16" s="207"/>
      <c r="AY16" s="208"/>
      <c r="AZ16" s="209"/>
      <c r="BA16" s="209"/>
      <c r="BB16" s="209"/>
      <c r="BC16" s="206"/>
      <c r="BD16" s="206"/>
      <c r="BE16" s="213"/>
      <c r="BF16" s="217"/>
      <c r="BG16" s="209"/>
      <c r="BH16" s="218"/>
      <c r="BI16" s="215"/>
      <c r="BJ16" s="215"/>
      <c r="BK16" s="215"/>
      <c r="BL16" s="215"/>
      <c r="BM16" s="215"/>
      <c r="BN16" s="215"/>
      <c r="BO16" s="216"/>
      <c r="BP16" s="215"/>
      <c r="BQ16" s="228"/>
      <c r="BR16" s="229"/>
      <c r="BS16" s="230"/>
      <c r="BT16" s="230"/>
      <c r="BU16" s="230"/>
      <c r="BV16" s="227"/>
      <c r="BW16" s="227"/>
      <c r="BX16" s="234"/>
      <c r="BY16" s="229"/>
      <c r="BZ16" s="230"/>
      <c r="CA16" s="235"/>
    </row>
    <row r="17" spans="1:79" ht="151.5" customHeight="1">
      <c r="A17" s="134" t="str">
        <f>IFERROR(INDEX(Riesgos!$A$7:$M$84,MATCH(E17,INDEX(Riesgos!$A$7:$M$84,,MATCH(E$7,Riesgos!$A$6:$M$6,0)),0),MATCH(A$7,Riesgos!$A$6:$M$6,0)),"")</f>
        <v/>
      </c>
      <c r="B17" s="135" t="str">
        <f>IFERROR(INDEX(Riesgos!$A$7:$M$84,MATCH(E17,INDEX(Riesgos!$A$7:$M$84,,MATCH(E$7,Riesgos!$A$6:$M$6,0)),0),MATCH(B$7,Riesgos!$A$6:$M$6,0)),"")</f>
        <v/>
      </c>
      <c r="C17" s="135"/>
      <c r="D17" s="136" t="str">
        <f>IFERROR(INDEX(Riesgos!$A$7:$M$84,MATCH(E17,INDEX(Riesgos!$A$7:$M$84,,MATCH(E$7,Riesgos!$A$6:$M$6,0)),0),MATCH(D$7,Riesgos!$A$6:$M$6,0)),"")</f>
        <v/>
      </c>
      <c r="E17" s="137"/>
      <c r="F17" s="137"/>
      <c r="G17" s="138" t="str">
        <f t="shared" si="0"/>
        <v/>
      </c>
      <c r="H17" s="139"/>
      <c r="I17" s="153" t="str">
        <f>IF(A16=A17,IFERROR(IF(AND(#REF!="Probabilidad",#REF!="Probabilidad"),(#REF!-(+#REF!*#REF!)),IF(#REF!="Probabilidad",(#REF!-(+#REF!*#REF!)),IF(#REF!="Impacto",#REF!,""))),""),IFERROR(IF(#REF!="Probabilidad",(#REF!-(+#REF!*#REF!)),IF(#REF!="Impacto",#REF!,"")),""))</f>
        <v/>
      </c>
      <c r="J17" s="154" t="str">
        <f>IFERROR(IF(I17="","",IF(I17&lt;='Listas y tablas'!$L$3,"Muy Baja",IF(I17&lt;='Listas y tablas'!$L$4,"Baja",IF(I17&lt;='Listas y tablas'!$L$5,"Media",IF(I17&lt;='Listas y tablas'!$L$6,"Alta","Muy Alta"))))),"")</f>
        <v/>
      </c>
      <c r="K17" s="155"/>
      <c r="L17" s="156"/>
      <c r="M17" s="150"/>
      <c r="N17" s="151"/>
      <c r="O17" s="151"/>
      <c r="P17" s="152"/>
      <c r="Q17" s="162"/>
      <c r="R17" s="151"/>
      <c r="S17" s="151"/>
      <c r="T17" s="151"/>
      <c r="U17" s="151"/>
      <c r="V17" s="165"/>
      <c r="W17" s="150"/>
      <c r="X17" s="151"/>
      <c r="Y17" s="151"/>
      <c r="Z17" s="151"/>
      <c r="AA17" s="151"/>
      <c r="AB17" s="151"/>
      <c r="AC17" s="163"/>
      <c r="AD17" s="151"/>
      <c r="AE17" s="152"/>
      <c r="AF17" s="173"/>
      <c r="AG17" s="185"/>
      <c r="AH17" s="185"/>
      <c r="AI17" s="186"/>
      <c r="AJ17" s="181"/>
      <c r="AK17" s="181"/>
      <c r="AL17" s="183"/>
      <c r="AM17" s="173"/>
      <c r="AN17" s="187"/>
      <c r="AO17" s="195"/>
      <c r="AP17" s="193"/>
      <c r="AQ17" s="193"/>
      <c r="AR17" s="193"/>
      <c r="AS17" s="193"/>
      <c r="AT17" s="193"/>
      <c r="AU17" s="193"/>
      <c r="AV17" s="194"/>
      <c r="AW17" s="193"/>
      <c r="AX17" s="207"/>
      <c r="AY17" s="208"/>
      <c r="AZ17" s="209"/>
      <c r="BA17" s="209"/>
      <c r="BB17" s="209"/>
      <c r="BC17" s="206"/>
      <c r="BD17" s="206"/>
      <c r="BE17" s="213"/>
      <c r="BF17" s="217"/>
      <c r="BG17" s="209"/>
      <c r="BH17" s="218"/>
      <c r="BI17" s="215"/>
      <c r="BJ17" s="215"/>
      <c r="BK17" s="215"/>
      <c r="BL17" s="215"/>
      <c r="BM17" s="215"/>
      <c r="BN17" s="215"/>
      <c r="BO17" s="216"/>
      <c r="BP17" s="215"/>
      <c r="BQ17" s="228"/>
      <c r="BR17" s="229"/>
      <c r="BS17" s="230"/>
      <c r="BT17" s="230"/>
      <c r="BU17" s="230"/>
      <c r="BV17" s="227"/>
      <c r="BW17" s="227"/>
      <c r="BX17" s="234"/>
      <c r="BY17" s="229"/>
      <c r="BZ17" s="230"/>
      <c r="CA17" s="235"/>
    </row>
    <row r="18" spans="1:79" ht="151.5" customHeight="1">
      <c r="A18" s="134" t="str">
        <f>IFERROR(INDEX(Riesgos!$A$7:$M$84,MATCH(E18,INDEX(Riesgos!$A$7:$M$84,,MATCH(E$7,Riesgos!$A$6:$M$6,0)),0),MATCH(A$7,Riesgos!$A$6:$M$6,0)),"")</f>
        <v/>
      </c>
      <c r="B18" s="135" t="str">
        <f>IFERROR(INDEX(Riesgos!$A$7:$M$84,MATCH(E18,INDEX(Riesgos!$A$7:$M$84,,MATCH(E$7,Riesgos!$A$6:$M$6,0)),0),MATCH(B$7,Riesgos!$A$6:$M$6,0)),"")</f>
        <v/>
      </c>
      <c r="C18" s="135"/>
      <c r="D18" s="136" t="str">
        <f>IFERROR(INDEX(Riesgos!$A$7:$M$84,MATCH(E18,INDEX(Riesgos!$A$7:$M$84,,MATCH(E$7,Riesgos!$A$6:$M$6,0)),0),MATCH(D$7,Riesgos!$A$6:$M$6,0)),"")</f>
        <v/>
      </c>
      <c r="E18" s="137"/>
      <c r="F18" s="137"/>
      <c r="G18" s="138" t="str">
        <f t="shared" si="0"/>
        <v/>
      </c>
      <c r="H18" s="139"/>
      <c r="I18" s="153" t="str">
        <f>IF(A17=A18,IFERROR(IF(AND(#REF!="Probabilidad",#REF!="Probabilidad"),(#REF!-(+#REF!*#REF!)),IF(#REF!="Probabilidad",(#REF!-(+#REF!*#REF!)),IF(#REF!="Impacto",#REF!,""))),""),IFERROR(IF(#REF!="Probabilidad",(#REF!-(+#REF!*#REF!)),IF(#REF!="Impacto",#REF!,"")),""))</f>
        <v/>
      </c>
      <c r="J18" s="154" t="str">
        <f>IFERROR(IF(I18="","",IF(I18&lt;='Listas y tablas'!$L$3,"Muy Baja",IF(I18&lt;='Listas y tablas'!$L$4,"Baja",IF(I18&lt;='Listas y tablas'!$L$5,"Media",IF(I18&lt;='Listas y tablas'!$L$6,"Alta","Muy Alta"))))),"")</f>
        <v/>
      </c>
      <c r="K18" s="155"/>
      <c r="L18" s="156"/>
      <c r="M18" s="150"/>
      <c r="N18" s="151"/>
      <c r="O18" s="151"/>
      <c r="P18" s="152"/>
      <c r="Q18" s="162"/>
      <c r="R18" s="151"/>
      <c r="S18" s="151"/>
      <c r="T18" s="151"/>
      <c r="U18" s="151"/>
      <c r="V18" s="165"/>
      <c r="W18" s="150"/>
      <c r="X18" s="151"/>
      <c r="Y18" s="151"/>
      <c r="Z18" s="151"/>
      <c r="AA18" s="151"/>
      <c r="AB18" s="151"/>
      <c r="AC18" s="163"/>
      <c r="AD18" s="151"/>
      <c r="AE18" s="152"/>
      <c r="AF18" s="173"/>
      <c r="AG18" s="185"/>
      <c r="AH18" s="185"/>
      <c r="AI18" s="186"/>
      <c r="AJ18" s="181"/>
      <c r="AK18" s="181"/>
      <c r="AL18" s="183"/>
      <c r="AM18" s="173"/>
      <c r="AN18" s="187"/>
      <c r="AO18" s="195"/>
      <c r="AP18" s="193"/>
      <c r="AQ18" s="193"/>
      <c r="AR18" s="193"/>
      <c r="AS18" s="193"/>
      <c r="AT18" s="193"/>
      <c r="AU18" s="193"/>
      <c r="AV18" s="194"/>
      <c r="AW18" s="193"/>
      <c r="AX18" s="207"/>
      <c r="AY18" s="208"/>
      <c r="AZ18" s="209"/>
      <c r="BA18" s="209"/>
      <c r="BB18" s="209"/>
      <c r="BC18" s="206"/>
      <c r="BD18" s="206"/>
      <c r="BE18" s="213"/>
      <c r="BF18" s="217"/>
      <c r="BG18" s="209"/>
      <c r="BH18" s="218"/>
      <c r="BI18" s="215"/>
      <c r="BJ18" s="215"/>
      <c r="BK18" s="215"/>
      <c r="BL18" s="215"/>
      <c r="BM18" s="215"/>
      <c r="BN18" s="215"/>
      <c r="BO18" s="216"/>
      <c r="BP18" s="215"/>
      <c r="BQ18" s="228"/>
      <c r="BR18" s="229"/>
      <c r="BS18" s="230"/>
      <c r="BT18" s="230"/>
      <c r="BU18" s="230"/>
      <c r="BV18" s="227"/>
      <c r="BW18" s="227"/>
      <c r="BX18" s="234"/>
      <c r="BY18" s="229"/>
      <c r="BZ18" s="230"/>
      <c r="CA18" s="235"/>
    </row>
    <row r="19" spans="1:79" ht="151.5" customHeight="1">
      <c r="A19" s="134" t="str">
        <f>IFERROR(INDEX(Riesgos!$A$7:$M$84,MATCH(E19,INDEX(Riesgos!$A$7:$M$84,,MATCH(E$7,Riesgos!$A$6:$M$6,0)),0),MATCH(A$7,Riesgos!$A$6:$M$6,0)),"")</f>
        <v/>
      </c>
      <c r="B19" s="135" t="str">
        <f>IFERROR(INDEX(Riesgos!$A$7:$M$84,MATCH(E19,INDEX(Riesgos!$A$7:$M$84,,MATCH(E$7,Riesgos!$A$6:$M$6,0)),0),MATCH(B$7,Riesgos!$A$6:$M$6,0)),"")</f>
        <v/>
      </c>
      <c r="C19" s="135"/>
      <c r="D19" s="136" t="str">
        <f>IFERROR(INDEX(Riesgos!$A$7:$M$84,MATCH(E19,INDEX(Riesgos!$A$7:$M$84,,MATCH(E$7,Riesgos!$A$6:$M$6,0)),0),MATCH(D$7,Riesgos!$A$6:$M$6,0)),"")</f>
        <v/>
      </c>
      <c r="E19" s="137"/>
      <c r="F19" s="137"/>
      <c r="G19" s="138" t="str">
        <f t="shared" si="0"/>
        <v/>
      </c>
      <c r="H19" s="139"/>
      <c r="I19" s="153" t="str">
        <f>IF(A18=A19,IFERROR(IF(AND(#REF!="Probabilidad",#REF!="Probabilidad"),(#REF!-(+#REF!*#REF!)),IF(#REF!="Probabilidad",(#REF!-(+#REF!*#REF!)),IF(#REF!="Impacto",#REF!,""))),""),IFERROR(IF(#REF!="Probabilidad",(#REF!-(+#REF!*#REF!)),IF(#REF!="Impacto",#REF!,"")),""))</f>
        <v/>
      </c>
      <c r="J19" s="154" t="str">
        <f>IFERROR(IF(I19="","",IF(I19&lt;='Listas y tablas'!$L$3,"Muy Baja",IF(I19&lt;='Listas y tablas'!$L$4,"Baja",IF(I19&lt;='Listas y tablas'!$L$5,"Media",IF(I19&lt;='Listas y tablas'!$L$6,"Alta","Muy Alta"))))),"")</f>
        <v/>
      </c>
      <c r="K19" s="155"/>
      <c r="L19" s="156"/>
      <c r="M19" s="150"/>
      <c r="N19" s="151"/>
      <c r="O19" s="151"/>
      <c r="P19" s="152"/>
      <c r="Q19" s="162"/>
      <c r="R19" s="151"/>
      <c r="S19" s="151"/>
      <c r="T19" s="151"/>
      <c r="U19" s="151"/>
      <c r="V19" s="165"/>
      <c r="W19" s="150"/>
      <c r="X19" s="151"/>
      <c r="Y19" s="151"/>
      <c r="Z19" s="151"/>
      <c r="AA19" s="151"/>
      <c r="AB19" s="151"/>
      <c r="AC19" s="163"/>
      <c r="AD19" s="151"/>
      <c r="AE19" s="152"/>
      <c r="AF19" s="173"/>
      <c r="AG19" s="185"/>
      <c r="AH19" s="185"/>
      <c r="AI19" s="186"/>
      <c r="AJ19" s="181"/>
      <c r="AK19" s="181"/>
      <c r="AL19" s="183"/>
      <c r="AM19" s="173"/>
      <c r="AN19" s="187"/>
      <c r="AO19" s="195"/>
      <c r="AP19" s="193"/>
      <c r="AQ19" s="193"/>
      <c r="AR19" s="193"/>
      <c r="AS19" s="193"/>
      <c r="AT19" s="193"/>
      <c r="AU19" s="193"/>
      <c r="AV19" s="194"/>
      <c r="AW19" s="193"/>
      <c r="AX19" s="207"/>
      <c r="AY19" s="208"/>
      <c r="AZ19" s="209"/>
      <c r="BA19" s="209"/>
      <c r="BB19" s="209"/>
      <c r="BC19" s="206"/>
      <c r="BD19" s="206"/>
      <c r="BE19" s="213"/>
      <c r="BF19" s="217"/>
      <c r="BG19" s="209"/>
      <c r="BH19" s="218"/>
      <c r="BI19" s="215"/>
      <c r="BJ19" s="215"/>
      <c r="BK19" s="215"/>
      <c r="BL19" s="215"/>
      <c r="BM19" s="215"/>
      <c r="BN19" s="215"/>
      <c r="BO19" s="216"/>
      <c r="BP19" s="215"/>
      <c r="BQ19" s="228"/>
      <c r="BR19" s="229"/>
      <c r="BS19" s="230"/>
      <c r="BT19" s="230"/>
      <c r="BU19" s="230"/>
      <c r="BV19" s="227"/>
      <c r="BW19" s="227"/>
      <c r="BX19" s="234"/>
      <c r="BY19" s="229"/>
      <c r="BZ19" s="230"/>
      <c r="CA19" s="235"/>
    </row>
    <row r="20" spans="1:79" ht="151.5" customHeight="1">
      <c r="A20" s="134" t="str">
        <f>IFERROR(INDEX(Riesgos!$A$7:$M$84,MATCH(E20,INDEX(Riesgos!$A$7:$M$84,,MATCH(E$7,Riesgos!$A$6:$M$6,0)),0),MATCH(A$7,Riesgos!$A$6:$M$6,0)),"")</f>
        <v/>
      </c>
      <c r="B20" s="135" t="str">
        <f>IFERROR(INDEX(Riesgos!$A$7:$M$84,MATCH(E20,INDEX(Riesgos!$A$7:$M$84,,MATCH(E$7,Riesgos!$A$6:$M$6,0)),0),MATCH(B$7,Riesgos!$A$6:$M$6,0)),"")</f>
        <v/>
      </c>
      <c r="C20" s="135"/>
      <c r="D20" s="136" t="str">
        <f>IFERROR(INDEX(Riesgos!$A$7:$M$84,MATCH(E20,INDEX(Riesgos!$A$7:$M$84,,MATCH(E$7,Riesgos!$A$6:$M$6,0)),0),MATCH(D$7,Riesgos!$A$6:$M$6,0)),"")</f>
        <v/>
      </c>
      <c r="E20" s="137"/>
      <c r="F20" s="137"/>
      <c r="G20" s="138" t="str">
        <f t="shared" si="0"/>
        <v/>
      </c>
      <c r="H20" s="139"/>
      <c r="I20" s="153" t="str">
        <f>IF(A19=A20,IFERROR(IF(AND(#REF!="Probabilidad",#REF!="Probabilidad"),(#REF!-(+#REF!*#REF!)),IF(#REF!="Probabilidad",(#REF!-(+#REF!*#REF!)),IF(#REF!="Impacto",#REF!,""))),""),IFERROR(IF(#REF!="Probabilidad",(#REF!-(+#REF!*#REF!)),IF(#REF!="Impacto",#REF!,"")),""))</f>
        <v/>
      </c>
      <c r="J20" s="154" t="str">
        <f>IFERROR(IF(I20="","",IF(I20&lt;='Listas y tablas'!$L$3,"Muy Baja",IF(I20&lt;='Listas y tablas'!$L$4,"Baja",IF(I20&lt;='Listas y tablas'!$L$5,"Media",IF(I20&lt;='Listas y tablas'!$L$6,"Alta","Muy Alta"))))),"")</f>
        <v/>
      </c>
      <c r="K20" s="155"/>
      <c r="L20" s="156"/>
      <c r="M20" s="150"/>
      <c r="N20" s="151"/>
      <c r="O20" s="151"/>
      <c r="P20" s="152"/>
      <c r="Q20" s="162"/>
      <c r="R20" s="151"/>
      <c r="S20" s="151"/>
      <c r="T20" s="151"/>
      <c r="U20" s="151"/>
      <c r="V20" s="165"/>
      <c r="W20" s="150"/>
      <c r="X20" s="151"/>
      <c r="Y20" s="151"/>
      <c r="Z20" s="151"/>
      <c r="AA20" s="151"/>
      <c r="AB20" s="151"/>
      <c r="AC20" s="163"/>
      <c r="AD20" s="151"/>
      <c r="AE20" s="152"/>
      <c r="AF20" s="173"/>
      <c r="AG20" s="185"/>
      <c r="AH20" s="185"/>
      <c r="AI20" s="186"/>
      <c r="AJ20" s="181"/>
      <c r="AK20" s="181"/>
      <c r="AL20" s="183"/>
      <c r="AM20" s="173"/>
      <c r="AN20" s="187"/>
      <c r="AO20" s="195"/>
      <c r="AP20" s="193"/>
      <c r="AQ20" s="193"/>
      <c r="AR20" s="193"/>
      <c r="AS20" s="193"/>
      <c r="AT20" s="193"/>
      <c r="AU20" s="193"/>
      <c r="AV20" s="194"/>
      <c r="AW20" s="193"/>
      <c r="AX20" s="207"/>
      <c r="AY20" s="208"/>
      <c r="AZ20" s="209"/>
      <c r="BA20" s="209"/>
      <c r="BB20" s="209"/>
      <c r="BC20" s="206"/>
      <c r="BD20" s="206"/>
      <c r="BE20" s="213"/>
      <c r="BF20" s="217"/>
      <c r="BG20" s="209"/>
      <c r="BH20" s="218"/>
      <c r="BI20" s="215"/>
      <c r="BJ20" s="215"/>
      <c r="BK20" s="215"/>
      <c r="BL20" s="215"/>
      <c r="BM20" s="215"/>
      <c r="BN20" s="215"/>
      <c r="BO20" s="216"/>
      <c r="BP20" s="215"/>
      <c r="BQ20" s="228"/>
      <c r="BR20" s="229"/>
      <c r="BS20" s="230"/>
      <c r="BT20" s="230"/>
      <c r="BU20" s="230"/>
      <c r="BV20" s="227"/>
      <c r="BW20" s="227"/>
      <c r="BX20" s="234"/>
      <c r="BY20" s="229"/>
      <c r="BZ20" s="230"/>
      <c r="CA20" s="235"/>
    </row>
    <row r="21" spans="1:79" ht="151.5" customHeight="1">
      <c r="A21" s="134" t="str">
        <f>IFERROR(INDEX(Riesgos!$A$7:$M$84,MATCH(E21,INDEX(Riesgos!$A$7:$M$84,,MATCH(E$7,Riesgos!$A$6:$M$6,0)),0),MATCH(A$7,Riesgos!$A$6:$M$6,0)),"")</f>
        <v/>
      </c>
      <c r="B21" s="135" t="str">
        <f>IFERROR(INDEX(Riesgos!$A$7:$M$84,MATCH(E21,INDEX(Riesgos!$A$7:$M$84,,MATCH(E$7,Riesgos!$A$6:$M$6,0)),0),MATCH(B$7,Riesgos!$A$6:$M$6,0)),"")</f>
        <v/>
      </c>
      <c r="C21" s="135"/>
      <c r="D21" s="136" t="str">
        <f>IFERROR(INDEX(Riesgos!$A$7:$M$84,MATCH(E21,INDEX(Riesgos!$A$7:$M$84,,MATCH(E$7,Riesgos!$A$6:$M$6,0)),0),MATCH(D$7,Riesgos!$A$6:$M$6,0)),"")</f>
        <v/>
      </c>
      <c r="E21" s="137"/>
      <c r="F21" s="137"/>
      <c r="G21" s="138" t="str">
        <f t="shared" si="0"/>
        <v/>
      </c>
      <c r="H21" s="139"/>
      <c r="I21" s="153" t="str">
        <f>IF(A20=A21,IFERROR(IF(AND(#REF!="Probabilidad",#REF!="Probabilidad"),(#REF!-(+#REF!*#REF!)),IF(#REF!="Probabilidad",(#REF!-(+#REF!*#REF!)),IF(#REF!="Impacto",#REF!,""))),""),IFERROR(IF(#REF!="Probabilidad",(#REF!-(+#REF!*#REF!)),IF(#REF!="Impacto",#REF!,"")),""))</f>
        <v/>
      </c>
      <c r="J21" s="154" t="str">
        <f>IFERROR(IF(I21="","",IF(I21&lt;='Listas y tablas'!$L$3,"Muy Baja",IF(I21&lt;='Listas y tablas'!$L$4,"Baja",IF(I21&lt;='Listas y tablas'!$L$5,"Media",IF(I21&lt;='Listas y tablas'!$L$6,"Alta","Muy Alta"))))),"")</f>
        <v/>
      </c>
      <c r="K21" s="155"/>
      <c r="L21" s="156"/>
      <c r="M21" s="150"/>
      <c r="N21" s="151"/>
      <c r="O21" s="151"/>
      <c r="P21" s="152"/>
      <c r="Q21" s="162"/>
      <c r="R21" s="151"/>
      <c r="S21" s="151"/>
      <c r="T21" s="151"/>
      <c r="U21" s="151"/>
      <c r="V21" s="165"/>
      <c r="W21" s="150"/>
      <c r="X21" s="151"/>
      <c r="Y21" s="151"/>
      <c r="Z21" s="151"/>
      <c r="AA21" s="151"/>
      <c r="AB21" s="151"/>
      <c r="AC21" s="163"/>
      <c r="AD21" s="151"/>
      <c r="AE21" s="152"/>
      <c r="AF21" s="173"/>
      <c r="AG21" s="185"/>
      <c r="AH21" s="185"/>
      <c r="AI21" s="186"/>
      <c r="AJ21" s="181"/>
      <c r="AK21" s="181"/>
      <c r="AL21" s="183"/>
      <c r="AM21" s="173"/>
      <c r="AN21" s="187"/>
      <c r="AO21" s="195"/>
      <c r="AP21" s="193"/>
      <c r="AQ21" s="193"/>
      <c r="AR21" s="193"/>
      <c r="AS21" s="193"/>
      <c r="AT21" s="193"/>
      <c r="AU21" s="193"/>
      <c r="AV21" s="194"/>
      <c r="AW21" s="193"/>
      <c r="AX21" s="207"/>
      <c r="AY21" s="208"/>
      <c r="AZ21" s="209"/>
      <c r="BA21" s="209"/>
      <c r="BB21" s="209"/>
      <c r="BC21" s="206"/>
      <c r="BD21" s="206"/>
      <c r="BE21" s="213"/>
      <c r="BF21" s="217"/>
      <c r="BG21" s="209"/>
      <c r="BH21" s="218"/>
      <c r="BI21" s="215"/>
      <c r="BJ21" s="215"/>
      <c r="BK21" s="215"/>
      <c r="BL21" s="215"/>
      <c r="BM21" s="215"/>
      <c r="BN21" s="215"/>
      <c r="BO21" s="216"/>
      <c r="BP21" s="215"/>
      <c r="BQ21" s="228"/>
      <c r="BR21" s="229"/>
      <c r="BS21" s="230"/>
      <c r="BT21" s="230"/>
      <c r="BU21" s="230"/>
      <c r="BV21" s="227"/>
      <c r="BW21" s="227"/>
      <c r="BX21" s="234"/>
      <c r="BY21" s="229"/>
      <c r="BZ21" s="230"/>
      <c r="CA21" s="235"/>
    </row>
    <row r="22" spans="1:79" ht="151.5" customHeight="1">
      <c r="A22" s="134" t="str">
        <f>IFERROR(INDEX(Riesgos!$A$7:$M$84,MATCH(E22,INDEX(Riesgos!$A$7:$M$84,,MATCH(E$7,Riesgos!$A$6:$M$6,0)),0),MATCH(A$7,Riesgos!$A$6:$M$6,0)),"")</f>
        <v/>
      </c>
      <c r="B22" s="135" t="str">
        <f>IFERROR(INDEX(Riesgos!$A$7:$M$84,MATCH(E22,INDEX(Riesgos!$A$7:$M$84,,MATCH(E$7,Riesgos!$A$6:$M$6,0)),0),MATCH(B$7,Riesgos!$A$6:$M$6,0)),"")</f>
        <v/>
      </c>
      <c r="C22" s="135"/>
      <c r="D22" s="136" t="str">
        <f>IFERROR(INDEX(Riesgos!$A$7:$M$84,MATCH(E22,INDEX(Riesgos!$A$7:$M$84,,MATCH(E$7,Riesgos!$A$6:$M$6,0)),0),MATCH(D$7,Riesgos!$A$6:$M$6,0)),"")</f>
        <v/>
      </c>
      <c r="E22" s="137"/>
      <c r="F22" s="137"/>
      <c r="G22" s="138" t="str">
        <f t="shared" si="0"/>
        <v/>
      </c>
      <c r="H22" s="140"/>
      <c r="I22" s="153" t="str">
        <f>IF(A21=A22,IFERROR(IF(AND(#REF!="Probabilidad",#REF!="Probabilidad"),(#REF!-(+#REF!*#REF!)),IF(#REF!="Probabilidad",(#REF!-(+#REF!*#REF!)),IF(#REF!="Impacto",#REF!,""))),""),IFERROR(IF(#REF!="Probabilidad",(#REF!-(+#REF!*#REF!)),IF(#REF!="Impacto",#REF!,"")),""))</f>
        <v/>
      </c>
      <c r="J22" s="154" t="str">
        <f>IFERROR(IF(I22="","",IF(I22&lt;='Listas y tablas'!$L$3,"Muy Baja",IF(I22&lt;='Listas y tablas'!$L$4,"Baja",IF(I22&lt;='Listas y tablas'!$L$5,"Media",IF(I22&lt;='Listas y tablas'!$L$6,"Alta","Muy Alta"))))),"")</f>
        <v/>
      </c>
      <c r="K22" s="155"/>
      <c r="L22" s="156"/>
      <c r="M22" s="150"/>
      <c r="N22" s="151"/>
      <c r="O22" s="151"/>
      <c r="P22" s="152"/>
      <c r="Q22" s="162"/>
      <c r="R22" s="151"/>
      <c r="S22" s="151"/>
      <c r="T22" s="151"/>
      <c r="U22" s="151"/>
      <c r="V22" s="165"/>
      <c r="W22" s="150"/>
      <c r="X22" s="151"/>
      <c r="Y22" s="151"/>
      <c r="Z22" s="151"/>
      <c r="AA22" s="151"/>
      <c r="AB22" s="151"/>
      <c r="AC22" s="163"/>
      <c r="AD22" s="151"/>
      <c r="AE22" s="152"/>
      <c r="AF22" s="173"/>
      <c r="AG22" s="185"/>
      <c r="AH22" s="185"/>
      <c r="AI22" s="186"/>
      <c r="AJ22" s="181"/>
      <c r="AK22" s="181"/>
      <c r="AL22" s="183"/>
      <c r="AM22" s="173"/>
      <c r="AN22" s="187"/>
      <c r="AO22" s="195"/>
      <c r="AP22" s="193"/>
      <c r="AQ22" s="193"/>
      <c r="AR22" s="193"/>
      <c r="AS22" s="193"/>
      <c r="AT22" s="193"/>
      <c r="AU22" s="193"/>
      <c r="AV22" s="194"/>
      <c r="AW22" s="193"/>
      <c r="AX22" s="207"/>
      <c r="AY22" s="208"/>
      <c r="AZ22" s="209"/>
      <c r="BA22" s="209"/>
      <c r="BB22" s="209"/>
      <c r="BC22" s="206"/>
      <c r="BD22" s="206"/>
      <c r="BE22" s="213"/>
      <c r="BF22" s="217"/>
      <c r="BG22" s="209"/>
      <c r="BH22" s="218"/>
      <c r="BI22" s="215"/>
      <c r="BJ22" s="215"/>
      <c r="BK22" s="215"/>
      <c r="BL22" s="215"/>
      <c r="BM22" s="215"/>
      <c r="BN22" s="215"/>
      <c r="BO22" s="216"/>
      <c r="BP22" s="215"/>
      <c r="BQ22" s="228"/>
      <c r="BR22" s="229"/>
      <c r="BS22" s="230"/>
      <c r="BT22" s="230"/>
      <c r="BU22" s="230"/>
      <c r="BV22" s="227"/>
      <c r="BW22" s="227"/>
      <c r="BX22" s="234"/>
      <c r="BY22" s="229"/>
      <c r="BZ22" s="230"/>
      <c r="CA22" s="235"/>
    </row>
    <row r="23" spans="1:79" ht="151.5" customHeight="1">
      <c r="A23" s="134" t="str">
        <f>IFERROR(INDEX(Riesgos!$A$7:$M$84,MATCH(E23,INDEX(Riesgos!$A$7:$M$84,,MATCH(E$7,Riesgos!$A$6:$M$6,0)),0),MATCH(A$7,Riesgos!$A$6:$M$6,0)),"")</f>
        <v/>
      </c>
      <c r="B23" s="135" t="str">
        <f>IFERROR(INDEX(Riesgos!$A$7:$M$84,MATCH(E23,INDEX(Riesgos!$A$7:$M$84,,MATCH(E$7,Riesgos!$A$6:$M$6,0)),0),MATCH(B$7,Riesgos!$A$6:$M$6,0)),"")</f>
        <v/>
      </c>
      <c r="C23" s="135"/>
      <c r="D23" s="136" t="str">
        <f>IFERROR(INDEX(Riesgos!$A$7:$M$84,MATCH(E23,INDEX(Riesgos!$A$7:$M$84,,MATCH(E$7,Riesgos!$A$6:$M$6,0)),0),MATCH(D$7,Riesgos!$A$6:$M$6,0)),"")</f>
        <v/>
      </c>
      <c r="E23" s="137"/>
      <c r="F23" s="137"/>
      <c r="G23" s="138" t="str">
        <f t="shared" si="0"/>
        <v/>
      </c>
      <c r="H23" s="139"/>
      <c r="I23" s="153" t="str">
        <f>IF(A22=A23,IFERROR(IF(AND(#REF!="Probabilidad",#REF!="Probabilidad"),(#REF!-(+#REF!*#REF!)),IF(#REF!="Probabilidad",(#REF!-(+#REF!*#REF!)),IF(#REF!="Impacto",#REF!,""))),""),IFERROR(IF(#REF!="Probabilidad",(#REF!-(+#REF!*#REF!)),IF(#REF!="Impacto",#REF!,"")),""))</f>
        <v/>
      </c>
      <c r="J23" s="154" t="str">
        <f>IFERROR(IF(I23="","",IF(I23&lt;='Listas y tablas'!$L$3,"Muy Baja",IF(I23&lt;='Listas y tablas'!$L$4,"Baja",IF(I23&lt;='Listas y tablas'!$L$5,"Media",IF(I23&lt;='Listas y tablas'!$L$6,"Alta","Muy Alta"))))),"")</f>
        <v/>
      </c>
      <c r="K23" s="155"/>
      <c r="L23" s="156"/>
      <c r="M23" s="150"/>
      <c r="N23" s="151"/>
      <c r="O23" s="151"/>
      <c r="P23" s="152"/>
      <c r="Q23" s="162"/>
      <c r="R23" s="151"/>
      <c r="S23" s="151"/>
      <c r="T23" s="151"/>
      <c r="U23" s="151"/>
      <c r="V23" s="165"/>
      <c r="W23" s="150"/>
      <c r="X23" s="151"/>
      <c r="Y23" s="151"/>
      <c r="Z23" s="151"/>
      <c r="AA23" s="151"/>
      <c r="AB23" s="151"/>
      <c r="AC23" s="163"/>
      <c r="AD23" s="151"/>
      <c r="AE23" s="152"/>
      <c r="AF23" s="173"/>
      <c r="AG23" s="185"/>
      <c r="AH23" s="185"/>
      <c r="AI23" s="186"/>
      <c r="AJ23" s="181"/>
      <c r="AK23" s="181"/>
      <c r="AL23" s="183"/>
      <c r="AM23" s="173"/>
      <c r="AN23" s="187"/>
      <c r="AO23" s="195"/>
      <c r="AP23" s="193"/>
      <c r="AQ23" s="193"/>
      <c r="AR23" s="193"/>
      <c r="AS23" s="193"/>
      <c r="AT23" s="193"/>
      <c r="AU23" s="193"/>
      <c r="AV23" s="194"/>
      <c r="AW23" s="193"/>
      <c r="AX23" s="207"/>
      <c r="AY23" s="208"/>
      <c r="AZ23" s="209"/>
      <c r="BA23" s="209"/>
      <c r="BB23" s="209"/>
      <c r="BC23" s="206"/>
      <c r="BD23" s="206"/>
      <c r="BE23" s="213"/>
      <c r="BF23" s="217"/>
      <c r="BG23" s="209"/>
      <c r="BH23" s="218"/>
      <c r="BI23" s="215"/>
      <c r="BJ23" s="215"/>
      <c r="BK23" s="215"/>
      <c r="BL23" s="215"/>
      <c r="BM23" s="215"/>
      <c r="BN23" s="215"/>
      <c r="BO23" s="216"/>
      <c r="BP23" s="215"/>
      <c r="BQ23" s="228"/>
      <c r="BR23" s="229"/>
      <c r="BS23" s="230"/>
      <c r="BT23" s="230"/>
      <c r="BU23" s="230"/>
      <c r="BV23" s="227"/>
      <c r="BW23" s="227"/>
      <c r="BX23" s="234"/>
      <c r="BY23" s="229"/>
      <c r="BZ23" s="230"/>
      <c r="CA23" s="235"/>
    </row>
    <row r="24" spans="1:79" ht="151.5" customHeight="1">
      <c r="A24" s="134" t="str">
        <f>IFERROR(INDEX(Riesgos!$A$7:$M$84,MATCH(E24,INDEX(Riesgos!$A$7:$M$84,,MATCH(E$7,Riesgos!$A$6:$M$6,0)),0),MATCH(A$7,Riesgos!$A$6:$M$6,0)),"")</f>
        <v/>
      </c>
      <c r="B24" s="135" t="str">
        <f>IFERROR(INDEX(Riesgos!$A$7:$M$84,MATCH(E24,INDEX(Riesgos!$A$7:$M$84,,MATCH(E$7,Riesgos!$A$6:$M$6,0)),0),MATCH(B$7,Riesgos!$A$6:$M$6,0)),"")</f>
        <v/>
      </c>
      <c r="C24" s="135"/>
      <c r="D24" s="136" t="str">
        <f>IFERROR(INDEX(Riesgos!$A$7:$M$84,MATCH(E24,INDEX(Riesgos!$A$7:$M$84,,MATCH(E$7,Riesgos!$A$6:$M$6,0)),0),MATCH(D$7,Riesgos!$A$6:$M$6,0)),"")</f>
        <v/>
      </c>
      <c r="E24" s="137"/>
      <c r="F24" s="137"/>
      <c r="G24" s="138" t="str">
        <f t="shared" si="0"/>
        <v/>
      </c>
      <c r="H24" s="139"/>
      <c r="I24" s="153" t="str">
        <f>IF(A23=A24,IFERROR(IF(AND(#REF!="Probabilidad",#REF!="Probabilidad"),(#REF!-(+#REF!*#REF!)),IF(#REF!="Probabilidad",(#REF!-(+#REF!*#REF!)),IF(#REF!="Impacto",#REF!,""))),""),IFERROR(IF(#REF!="Probabilidad",(#REF!-(+#REF!*#REF!)),IF(#REF!="Impacto",#REF!,"")),""))</f>
        <v/>
      </c>
      <c r="J24" s="154" t="str">
        <f>IFERROR(IF(I24="","",IF(I24&lt;='Listas y tablas'!$L$3,"Muy Baja",IF(I24&lt;='Listas y tablas'!$L$4,"Baja",IF(I24&lt;='Listas y tablas'!$L$5,"Media",IF(I24&lt;='Listas y tablas'!$L$6,"Alta","Muy Alta"))))),"")</f>
        <v/>
      </c>
      <c r="K24" s="155"/>
      <c r="L24" s="156"/>
      <c r="M24" s="150"/>
      <c r="N24" s="151"/>
      <c r="O24" s="151"/>
      <c r="P24" s="152"/>
      <c r="Q24" s="162"/>
      <c r="R24" s="151"/>
      <c r="S24" s="151"/>
      <c r="T24" s="151"/>
      <c r="U24" s="151"/>
      <c r="V24" s="165"/>
      <c r="W24" s="150"/>
      <c r="X24" s="151"/>
      <c r="Y24" s="151"/>
      <c r="Z24" s="151"/>
      <c r="AA24" s="151"/>
      <c r="AB24" s="151"/>
      <c r="AC24" s="163"/>
      <c r="AD24" s="151"/>
      <c r="AE24" s="152"/>
      <c r="AF24" s="173"/>
      <c r="AG24" s="185"/>
      <c r="AH24" s="185"/>
      <c r="AI24" s="186"/>
      <c r="AJ24" s="181"/>
      <c r="AK24" s="181"/>
      <c r="AL24" s="183"/>
      <c r="AM24" s="173"/>
      <c r="AN24" s="187"/>
      <c r="AO24" s="195"/>
      <c r="AP24" s="193"/>
      <c r="AQ24" s="193"/>
      <c r="AR24" s="193"/>
      <c r="AS24" s="193"/>
      <c r="AT24" s="193"/>
      <c r="AU24" s="193"/>
      <c r="AV24" s="194"/>
      <c r="AW24" s="193"/>
      <c r="AX24" s="207"/>
      <c r="AY24" s="208"/>
      <c r="AZ24" s="209"/>
      <c r="BA24" s="209"/>
      <c r="BB24" s="209"/>
      <c r="BC24" s="206"/>
      <c r="BD24" s="206"/>
      <c r="BE24" s="213"/>
      <c r="BF24" s="217"/>
      <c r="BG24" s="209"/>
      <c r="BH24" s="218"/>
      <c r="BI24" s="215"/>
      <c r="BJ24" s="215"/>
      <c r="BK24" s="215"/>
      <c r="BL24" s="215"/>
      <c r="BM24" s="215"/>
      <c r="BN24" s="215"/>
      <c r="BO24" s="216"/>
      <c r="BP24" s="215"/>
      <c r="BQ24" s="228"/>
      <c r="BR24" s="229"/>
      <c r="BS24" s="230"/>
      <c r="BT24" s="230"/>
      <c r="BU24" s="230"/>
      <c r="BV24" s="227"/>
      <c r="BW24" s="227"/>
      <c r="BX24" s="234"/>
      <c r="BY24" s="229"/>
      <c r="BZ24" s="230"/>
      <c r="CA24" s="235"/>
    </row>
    <row r="25" spans="1:79" ht="151.5" customHeight="1">
      <c r="A25" s="134" t="str">
        <f>IFERROR(INDEX(Riesgos!$A$7:$M$84,MATCH(E25,INDEX(Riesgos!$A$7:$M$84,,MATCH(E$7,Riesgos!$A$6:$M$6,0)),0),MATCH(A$7,Riesgos!$A$6:$M$6,0)),"")</f>
        <v/>
      </c>
      <c r="B25" s="135" t="str">
        <f>IFERROR(INDEX(Riesgos!$A$7:$M$84,MATCH(E25,INDEX(Riesgos!$A$7:$M$84,,MATCH(E$7,Riesgos!$A$6:$M$6,0)),0),MATCH(B$7,Riesgos!$A$6:$M$6,0)),"")</f>
        <v/>
      </c>
      <c r="C25" s="135"/>
      <c r="D25" s="136" t="str">
        <f>IFERROR(INDEX(Riesgos!$A$7:$M$84,MATCH(E25,INDEX(Riesgos!$A$7:$M$84,,MATCH(E$7,Riesgos!$A$6:$M$6,0)),0),MATCH(D$7,Riesgos!$A$6:$M$6,0)),"")</f>
        <v/>
      </c>
      <c r="E25" s="137"/>
      <c r="F25" s="137"/>
      <c r="G25" s="138" t="str">
        <f t="shared" si="0"/>
        <v/>
      </c>
      <c r="H25" s="139"/>
      <c r="I25" s="153" t="str">
        <f>IF(A24=A25,IFERROR(IF(AND(#REF!="Probabilidad",#REF!="Probabilidad"),(#REF!-(+#REF!*#REF!)),IF(#REF!="Probabilidad",(#REF!-(+#REF!*#REF!)),IF(#REF!="Impacto",#REF!,""))),""),IFERROR(IF(#REF!="Probabilidad",(#REF!-(+#REF!*#REF!)),IF(#REF!="Impacto",#REF!,"")),""))</f>
        <v/>
      </c>
      <c r="J25" s="154" t="str">
        <f>IFERROR(IF(I25="","",IF(I25&lt;='Listas y tablas'!$L$3,"Muy Baja",IF(I25&lt;='Listas y tablas'!$L$4,"Baja",IF(I25&lt;='Listas y tablas'!$L$5,"Media",IF(I25&lt;='Listas y tablas'!$L$6,"Alta","Muy Alta"))))),"")</f>
        <v/>
      </c>
      <c r="K25" s="155"/>
      <c r="L25" s="156"/>
      <c r="M25" s="150"/>
      <c r="N25" s="151"/>
      <c r="O25" s="151"/>
      <c r="P25" s="152"/>
      <c r="Q25" s="162"/>
      <c r="R25" s="151"/>
      <c r="S25" s="151"/>
      <c r="T25" s="151"/>
      <c r="U25" s="151"/>
      <c r="V25" s="165"/>
      <c r="W25" s="150"/>
      <c r="X25" s="151"/>
      <c r="Y25" s="151"/>
      <c r="Z25" s="151"/>
      <c r="AA25" s="151"/>
      <c r="AB25" s="151"/>
      <c r="AC25" s="163"/>
      <c r="AD25" s="151"/>
      <c r="AE25" s="152"/>
      <c r="AF25" s="173"/>
      <c r="AG25" s="185"/>
      <c r="AH25" s="185"/>
      <c r="AI25" s="186"/>
      <c r="AJ25" s="181"/>
      <c r="AK25" s="181"/>
      <c r="AL25" s="183"/>
      <c r="AM25" s="173"/>
      <c r="AN25" s="187"/>
      <c r="AO25" s="195"/>
      <c r="AP25" s="193"/>
      <c r="AQ25" s="193"/>
      <c r="AR25" s="193"/>
      <c r="AS25" s="193"/>
      <c r="AT25" s="193"/>
      <c r="AU25" s="193"/>
      <c r="AV25" s="194"/>
      <c r="AW25" s="193"/>
      <c r="AX25" s="207"/>
      <c r="AY25" s="208"/>
      <c r="AZ25" s="209"/>
      <c r="BA25" s="209"/>
      <c r="BB25" s="209"/>
      <c r="BC25" s="206"/>
      <c r="BD25" s="206"/>
      <c r="BE25" s="213"/>
      <c r="BF25" s="217"/>
      <c r="BG25" s="209"/>
      <c r="BH25" s="218"/>
      <c r="BI25" s="215"/>
      <c r="BJ25" s="215"/>
      <c r="BK25" s="215"/>
      <c r="BL25" s="215"/>
      <c r="BM25" s="215"/>
      <c r="BN25" s="215"/>
      <c r="BO25" s="216"/>
      <c r="BP25" s="215"/>
      <c r="BQ25" s="228"/>
      <c r="BR25" s="229"/>
      <c r="BS25" s="230"/>
      <c r="BT25" s="230"/>
      <c r="BU25" s="230"/>
      <c r="BV25" s="227"/>
      <c r="BW25" s="227"/>
      <c r="BX25" s="234"/>
      <c r="BY25" s="229"/>
      <c r="BZ25" s="230"/>
      <c r="CA25" s="235"/>
    </row>
    <row r="26" spans="1:79" ht="151.5" customHeight="1">
      <c r="A26" s="134" t="str">
        <f>IFERROR(INDEX(Riesgos!$A$7:$M$84,MATCH(E26,INDEX(Riesgos!$A$7:$M$84,,MATCH(E$7,Riesgos!$A$6:$M$6,0)),0),MATCH(A$7,Riesgos!$A$6:$M$6,0)),"")</f>
        <v/>
      </c>
      <c r="B26" s="135" t="str">
        <f>IFERROR(INDEX(Riesgos!$A$7:$M$84,MATCH(E26,INDEX(Riesgos!$A$7:$M$84,,MATCH(E$7,Riesgos!$A$6:$M$6,0)),0),MATCH(B$7,Riesgos!$A$6:$M$6,0)),"")</f>
        <v/>
      </c>
      <c r="C26" s="135"/>
      <c r="D26" s="136" t="str">
        <f>IFERROR(INDEX(Riesgos!$A$7:$M$84,MATCH(E26,INDEX(Riesgos!$A$7:$M$84,,MATCH(E$7,Riesgos!$A$6:$M$6,0)),0),MATCH(D$7,Riesgos!$A$6:$M$6,0)),"")</f>
        <v/>
      </c>
      <c r="E26" s="137"/>
      <c r="F26" s="137"/>
      <c r="G26" s="138" t="str">
        <f t="shared" si="0"/>
        <v/>
      </c>
      <c r="H26" s="139"/>
      <c r="I26" s="153" t="str">
        <f>IF(A25=A26,IFERROR(IF(AND(#REF!="Probabilidad",#REF!="Probabilidad"),(#REF!-(+#REF!*#REF!)),IF(#REF!="Probabilidad",(#REF!-(+#REF!*#REF!)),IF(#REF!="Impacto",#REF!,""))),""),IFERROR(IF(#REF!="Probabilidad",(#REF!-(+#REF!*#REF!)),IF(#REF!="Impacto",#REF!,"")),""))</f>
        <v/>
      </c>
      <c r="J26" s="154" t="str">
        <f>IFERROR(IF(I26="","",IF(I26&lt;='Listas y tablas'!$L$3,"Muy Baja",IF(I26&lt;='Listas y tablas'!$L$4,"Baja",IF(I26&lt;='Listas y tablas'!$L$5,"Media",IF(I26&lt;='Listas y tablas'!$L$6,"Alta","Muy Alta"))))),"")</f>
        <v/>
      </c>
      <c r="K26" s="155"/>
      <c r="L26" s="156"/>
      <c r="M26" s="150"/>
      <c r="N26" s="151"/>
      <c r="O26" s="151"/>
      <c r="P26" s="152"/>
      <c r="Q26" s="162"/>
      <c r="R26" s="151"/>
      <c r="S26" s="151"/>
      <c r="T26" s="151"/>
      <c r="U26" s="151"/>
      <c r="V26" s="165"/>
      <c r="W26" s="150"/>
      <c r="X26" s="151"/>
      <c r="Y26" s="151"/>
      <c r="Z26" s="151"/>
      <c r="AA26" s="151"/>
      <c r="AB26" s="151"/>
      <c r="AC26" s="163"/>
      <c r="AD26" s="151"/>
      <c r="AE26" s="152"/>
      <c r="AF26" s="173"/>
      <c r="AG26" s="185"/>
      <c r="AH26" s="185"/>
      <c r="AI26" s="186"/>
      <c r="AJ26" s="181"/>
      <c r="AK26" s="181"/>
      <c r="AL26" s="183"/>
      <c r="AM26" s="173"/>
      <c r="AN26" s="187"/>
      <c r="AO26" s="195"/>
      <c r="AP26" s="193"/>
      <c r="AQ26" s="193"/>
      <c r="AR26" s="193"/>
      <c r="AS26" s="193"/>
      <c r="AT26" s="193"/>
      <c r="AU26" s="193"/>
      <c r="AV26" s="194"/>
      <c r="AW26" s="193"/>
      <c r="AX26" s="207"/>
      <c r="AY26" s="208"/>
      <c r="AZ26" s="209"/>
      <c r="BA26" s="209"/>
      <c r="BB26" s="209"/>
      <c r="BC26" s="206"/>
      <c r="BD26" s="206"/>
      <c r="BE26" s="213"/>
      <c r="BF26" s="217"/>
      <c r="BG26" s="209"/>
      <c r="BH26" s="218"/>
      <c r="BI26" s="215"/>
      <c r="BJ26" s="215"/>
      <c r="BK26" s="215"/>
      <c r="BL26" s="215"/>
      <c r="BM26" s="215"/>
      <c r="BN26" s="215"/>
      <c r="BO26" s="216"/>
      <c r="BP26" s="215"/>
      <c r="BQ26" s="228"/>
      <c r="BR26" s="229"/>
      <c r="BS26" s="230"/>
      <c r="BT26" s="230"/>
      <c r="BU26" s="230"/>
      <c r="BV26" s="227"/>
      <c r="BW26" s="227"/>
      <c r="BX26" s="234"/>
      <c r="BY26" s="229"/>
      <c r="BZ26" s="230"/>
      <c r="CA26" s="235"/>
    </row>
    <row r="27" spans="1:79" ht="151.5" customHeight="1">
      <c r="A27" s="134" t="str">
        <f>IFERROR(INDEX(Riesgos!$A$7:$M$84,MATCH(E27,INDEX(Riesgos!$A$7:$M$84,,MATCH(E$7,Riesgos!$A$6:$M$6,0)),0),MATCH(A$7,Riesgos!$A$6:$M$6,0)),"")</f>
        <v/>
      </c>
      <c r="B27" s="135" t="str">
        <f>IFERROR(INDEX(Riesgos!$A$7:$M$84,MATCH(E27,INDEX(Riesgos!$A$7:$M$84,,MATCH(E$7,Riesgos!$A$6:$M$6,0)),0),MATCH(B$7,Riesgos!$A$6:$M$6,0)),"")</f>
        <v/>
      </c>
      <c r="C27" s="135"/>
      <c r="D27" s="136" t="str">
        <f>IFERROR(INDEX(Riesgos!$A$7:$M$84,MATCH(E27,INDEX(Riesgos!$A$7:$M$84,,MATCH(E$7,Riesgos!$A$6:$M$6,0)),0),MATCH(D$7,Riesgos!$A$6:$M$6,0)),"")</f>
        <v/>
      </c>
      <c r="E27" s="137"/>
      <c r="F27" s="137"/>
      <c r="G27" s="138" t="str">
        <f t="shared" si="0"/>
        <v/>
      </c>
      <c r="H27" s="139"/>
      <c r="I27" s="153" t="str">
        <f>IF(A26=A27,IFERROR(IF(AND(#REF!="Probabilidad",#REF!="Probabilidad"),(#REF!-(+#REF!*#REF!)),IF(#REF!="Probabilidad",(#REF!-(+#REF!*#REF!)),IF(#REF!="Impacto",#REF!,""))),""),IFERROR(IF(#REF!="Probabilidad",(#REF!-(+#REF!*#REF!)),IF(#REF!="Impacto",#REF!,"")),""))</f>
        <v/>
      </c>
      <c r="J27" s="154" t="str">
        <f>IFERROR(IF(I27="","",IF(I27&lt;='Listas y tablas'!$L$3,"Muy Baja",IF(I27&lt;='Listas y tablas'!$L$4,"Baja",IF(I27&lt;='Listas y tablas'!$L$5,"Media",IF(I27&lt;='Listas y tablas'!$L$6,"Alta","Muy Alta"))))),"")</f>
        <v/>
      </c>
      <c r="K27" s="155"/>
      <c r="L27" s="156"/>
      <c r="M27" s="150"/>
      <c r="N27" s="151"/>
      <c r="O27" s="151"/>
      <c r="P27" s="152"/>
      <c r="Q27" s="162"/>
      <c r="R27" s="151"/>
      <c r="S27" s="151"/>
      <c r="T27" s="151"/>
      <c r="U27" s="151"/>
      <c r="V27" s="165"/>
      <c r="W27" s="150"/>
      <c r="X27" s="151"/>
      <c r="Y27" s="151"/>
      <c r="Z27" s="151"/>
      <c r="AA27" s="151"/>
      <c r="AB27" s="151"/>
      <c r="AC27" s="163"/>
      <c r="AD27" s="151"/>
      <c r="AE27" s="152"/>
      <c r="AF27" s="173"/>
      <c r="AG27" s="185"/>
      <c r="AH27" s="185"/>
      <c r="AI27" s="186"/>
      <c r="AJ27" s="181"/>
      <c r="AK27" s="181"/>
      <c r="AL27" s="183"/>
      <c r="AM27" s="173"/>
      <c r="AN27" s="187"/>
      <c r="AO27" s="195"/>
      <c r="AP27" s="193"/>
      <c r="AQ27" s="193"/>
      <c r="AR27" s="193"/>
      <c r="AS27" s="193"/>
      <c r="AT27" s="193"/>
      <c r="AU27" s="193"/>
      <c r="AV27" s="194"/>
      <c r="AW27" s="193"/>
      <c r="AX27" s="207"/>
      <c r="AY27" s="208"/>
      <c r="AZ27" s="209"/>
      <c r="BA27" s="209"/>
      <c r="BB27" s="209"/>
      <c r="BC27" s="206"/>
      <c r="BD27" s="206"/>
      <c r="BE27" s="213"/>
      <c r="BF27" s="217"/>
      <c r="BG27" s="209"/>
      <c r="BH27" s="218"/>
      <c r="BI27" s="215"/>
      <c r="BJ27" s="215"/>
      <c r="BK27" s="215"/>
      <c r="BL27" s="215"/>
      <c r="BM27" s="215"/>
      <c r="BN27" s="215"/>
      <c r="BO27" s="216"/>
      <c r="BP27" s="215"/>
      <c r="BQ27" s="228"/>
      <c r="BR27" s="229"/>
      <c r="BS27" s="230"/>
      <c r="BT27" s="230"/>
      <c r="BU27" s="230"/>
      <c r="BV27" s="227"/>
      <c r="BW27" s="227"/>
      <c r="BX27" s="234"/>
      <c r="BY27" s="229"/>
      <c r="BZ27" s="230"/>
      <c r="CA27" s="235"/>
    </row>
    <row r="28" spans="1:79" ht="151.5" customHeight="1">
      <c r="A28" s="134" t="str">
        <f>IFERROR(INDEX(Riesgos!$A$7:$M$84,MATCH(E28,INDEX(Riesgos!$A$7:$M$84,,MATCH(E$7,Riesgos!$A$6:$M$6,0)),0),MATCH(A$7,Riesgos!$A$6:$M$6,0)),"")</f>
        <v/>
      </c>
      <c r="B28" s="135" t="str">
        <f>IFERROR(INDEX(Riesgos!$A$7:$M$84,MATCH(E28,INDEX(Riesgos!$A$7:$M$84,,MATCH(E$7,Riesgos!$A$6:$M$6,0)),0),MATCH(B$7,Riesgos!$A$6:$M$6,0)),"")</f>
        <v/>
      </c>
      <c r="C28" s="135"/>
      <c r="D28" s="136" t="str">
        <f>IFERROR(INDEX(Riesgos!$A$7:$M$84,MATCH(E28,INDEX(Riesgos!$A$7:$M$84,,MATCH(E$7,Riesgos!$A$6:$M$6,0)),0),MATCH(D$7,Riesgos!$A$6:$M$6,0)),"")</f>
        <v/>
      </c>
      <c r="E28" s="137"/>
      <c r="F28" s="137"/>
      <c r="G28" s="138" t="str">
        <f t="shared" si="0"/>
        <v/>
      </c>
      <c r="H28" s="140"/>
      <c r="I28" s="153" t="str">
        <f>IF(A27=A28,IFERROR(IF(AND(#REF!="Probabilidad",#REF!="Probabilidad"),(#REF!-(+#REF!*#REF!)),IF(#REF!="Probabilidad",(#REF!-(+#REF!*#REF!)),IF(#REF!="Impacto",#REF!,""))),""),IFERROR(IF(#REF!="Probabilidad",(#REF!-(+#REF!*#REF!)),IF(#REF!="Impacto",#REF!,"")),""))</f>
        <v/>
      </c>
      <c r="J28" s="154" t="str">
        <f>IFERROR(IF(I28="","",IF(I28&lt;='Listas y tablas'!$L$3,"Muy Baja",IF(I28&lt;='Listas y tablas'!$L$4,"Baja",IF(I28&lt;='Listas y tablas'!$L$5,"Media",IF(I28&lt;='Listas y tablas'!$L$6,"Alta","Muy Alta"))))),"")</f>
        <v/>
      </c>
      <c r="K28" s="155"/>
      <c r="L28" s="156"/>
      <c r="M28" s="150"/>
      <c r="N28" s="151"/>
      <c r="O28" s="151"/>
      <c r="P28" s="152"/>
      <c r="Q28" s="162"/>
      <c r="R28" s="151"/>
      <c r="S28" s="151"/>
      <c r="T28" s="151"/>
      <c r="U28" s="151"/>
      <c r="V28" s="165"/>
      <c r="W28" s="150"/>
      <c r="X28" s="151"/>
      <c r="Y28" s="151"/>
      <c r="Z28" s="151"/>
      <c r="AA28" s="151"/>
      <c r="AB28" s="151"/>
      <c r="AC28" s="163"/>
      <c r="AD28" s="151"/>
      <c r="AE28" s="152"/>
      <c r="AF28" s="173"/>
      <c r="AG28" s="185"/>
      <c r="AH28" s="185"/>
      <c r="AI28" s="186"/>
      <c r="AJ28" s="181"/>
      <c r="AK28" s="181"/>
      <c r="AL28" s="183"/>
      <c r="AM28" s="173"/>
      <c r="AN28" s="187"/>
      <c r="AO28" s="195"/>
      <c r="AP28" s="193"/>
      <c r="AQ28" s="193"/>
      <c r="AR28" s="193"/>
      <c r="AS28" s="193"/>
      <c r="AT28" s="193"/>
      <c r="AU28" s="193"/>
      <c r="AV28" s="194"/>
      <c r="AW28" s="193"/>
      <c r="AX28" s="207"/>
      <c r="AY28" s="208"/>
      <c r="AZ28" s="209"/>
      <c r="BA28" s="209"/>
      <c r="BB28" s="209"/>
      <c r="BC28" s="206"/>
      <c r="BD28" s="206"/>
      <c r="BE28" s="213"/>
      <c r="BF28" s="217"/>
      <c r="BG28" s="209"/>
      <c r="BH28" s="218"/>
      <c r="BI28" s="215"/>
      <c r="BJ28" s="215"/>
      <c r="BK28" s="215"/>
      <c r="BL28" s="215"/>
      <c r="BM28" s="215"/>
      <c r="BN28" s="215"/>
      <c r="BO28" s="216"/>
      <c r="BP28" s="215"/>
      <c r="BQ28" s="228"/>
      <c r="BR28" s="229"/>
      <c r="BS28" s="230"/>
      <c r="BT28" s="230"/>
      <c r="BU28" s="230"/>
      <c r="BV28" s="227"/>
      <c r="BW28" s="227"/>
      <c r="BX28" s="234"/>
      <c r="BY28" s="229"/>
      <c r="BZ28" s="230"/>
      <c r="CA28" s="235"/>
    </row>
    <row r="29" spans="1:79" ht="151.5" customHeight="1">
      <c r="A29" s="134" t="str">
        <f>IFERROR(INDEX(Riesgos!$A$7:$M$84,MATCH(E29,INDEX(Riesgos!$A$7:$M$84,,MATCH(E$7,Riesgos!$A$6:$M$6,0)),0),MATCH(A$7,Riesgos!$A$6:$M$6,0)),"")</f>
        <v/>
      </c>
      <c r="B29" s="135" t="str">
        <f>IFERROR(INDEX(Riesgos!$A$7:$M$84,MATCH(E29,INDEX(Riesgos!$A$7:$M$84,,MATCH(E$7,Riesgos!$A$6:$M$6,0)),0),MATCH(B$7,Riesgos!$A$6:$M$6,0)),"")</f>
        <v/>
      </c>
      <c r="C29" s="135"/>
      <c r="D29" s="136" t="str">
        <f>IFERROR(INDEX(Riesgos!$A$7:$M$84,MATCH(E29,INDEX(Riesgos!$A$7:$M$84,,MATCH(E$7,Riesgos!$A$6:$M$6,0)),0),MATCH(D$7,Riesgos!$A$6:$M$6,0)),"")</f>
        <v/>
      </c>
      <c r="E29" s="137"/>
      <c r="F29" s="137"/>
      <c r="G29" s="138" t="str">
        <f t="shared" si="0"/>
        <v/>
      </c>
      <c r="H29" s="139"/>
      <c r="I29" s="153" t="str">
        <f>IF(A28=A29,IFERROR(IF(AND(#REF!="Probabilidad",#REF!="Probabilidad"),(#REF!-(+#REF!*#REF!)),IF(#REF!="Probabilidad",(#REF!-(+#REF!*#REF!)),IF(#REF!="Impacto",#REF!,""))),""),IFERROR(IF(#REF!="Probabilidad",(#REF!-(+#REF!*#REF!)),IF(#REF!="Impacto",#REF!,"")),""))</f>
        <v/>
      </c>
      <c r="J29" s="154" t="str">
        <f>IFERROR(IF(I29="","",IF(I29&lt;='Listas y tablas'!$L$3,"Muy Baja",IF(I29&lt;='Listas y tablas'!$L$4,"Baja",IF(I29&lt;='Listas y tablas'!$L$5,"Media",IF(I29&lt;='Listas y tablas'!$L$6,"Alta","Muy Alta"))))),"")</f>
        <v/>
      </c>
      <c r="K29" s="155"/>
      <c r="L29" s="156"/>
      <c r="M29" s="150"/>
      <c r="N29" s="151"/>
      <c r="O29" s="151"/>
      <c r="P29" s="152"/>
      <c r="Q29" s="162"/>
      <c r="R29" s="151"/>
      <c r="S29" s="151"/>
      <c r="T29" s="151"/>
      <c r="U29" s="151"/>
      <c r="V29" s="165"/>
      <c r="W29" s="150"/>
      <c r="X29" s="151"/>
      <c r="Y29" s="151"/>
      <c r="Z29" s="151"/>
      <c r="AA29" s="151"/>
      <c r="AB29" s="151"/>
      <c r="AC29" s="163"/>
      <c r="AD29" s="151"/>
      <c r="AE29" s="152"/>
      <c r="AF29" s="173"/>
      <c r="AG29" s="185"/>
      <c r="AH29" s="185"/>
      <c r="AI29" s="186"/>
      <c r="AJ29" s="181"/>
      <c r="AK29" s="181"/>
      <c r="AL29" s="183"/>
      <c r="AM29" s="173"/>
      <c r="AN29" s="187"/>
      <c r="AO29" s="195"/>
      <c r="AP29" s="193"/>
      <c r="AQ29" s="193"/>
      <c r="AR29" s="193"/>
      <c r="AS29" s="193"/>
      <c r="AT29" s="193"/>
      <c r="AU29" s="193"/>
      <c r="AV29" s="194"/>
      <c r="AW29" s="193"/>
      <c r="AX29" s="207"/>
      <c r="AY29" s="208"/>
      <c r="AZ29" s="209"/>
      <c r="BA29" s="209"/>
      <c r="BB29" s="209"/>
      <c r="BC29" s="206"/>
      <c r="BD29" s="206"/>
      <c r="BE29" s="213"/>
      <c r="BF29" s="217"/>
      <c r="BG29" s="209"/>
      <c r="BH29" s="218"/>
      <c r="BI29" s="215"/>
      <c r="BJ29" s="215"/>
      <c r="BK29" s="215"/>
      <c r="BL29" s="215"/>
      <c r="BM29" s="215"/>
      <c r="BN29" s="215"/>
      <c r="BO29" s="216"/>
      <c r="BP29" s="215"/>
      <c r="BQ29" s="228"/>
      <c r="BR29" s="229"/>
      <c r="BS29" s="230"/>
      <c r="BT29" s="230"/>
      <c r="BU29" s="230"/>
      <c r="BV29" s="227"/>
      <c r="BW29" s="227"/>
      <c r="BX29" s="234"/>
      <c r="BY29" s="229"/>
      <c r="BZ29" s="230"/>
      <c r="CA29" s="235"/>
    </row>
    <row r="30" spans="1:79" ht="151.5" customHeight="1">
      <c r="A30" s="134" t="str">
        <f>IFERROR(INDEX(Riesgos!$A$7:$M$84,MATCH(E30,INDEX(Riesgos!$A$7:$M$84,,MATCH(E$7,Riesgos!$A$6:$M$6,0)),0),MATCH(A$7,Riesgos!$A$6:$M$6,0)),"")</f>
        <v/>
      </c>
      <c r="B30" s="135" t="str">
        <f>IFERROR(INDEX(Riesgos!$A$7:$M$84,MATCH(E30,INDEX(Riesgos!$A$7:$M$84,,MATCH(E$7,Riesgos!$A$6:$M$6,0)),0),MATCH(B$7,Riesgos!$A$6:$M$6,0)),"")</f>
        <v/>
      </c>
      <c r="C30" s="135"/>
      <c r="D30" s="136" t="str">
        <f>IFERROR(INDEX(Riesgos!$A$7:$M$84,MATCH(E30,INDEX(Riesgos!$A$7:$M$84,,MATCH(E$7,Riesgos!$A$6:$M$6,0)),0),MATCH(D$7,Riesgos!$A$6:$M$6,0)),"")</f>
        <v/>
      </c>
      <c r="E30" s="137"/>
      <c r="F30" s="137"/>
      <c r="G30" s="138" t="str">
        <f t="shared" si="0"/>
        <v/>
      </c>
      <c r="H30" s="139"/>
      <c r="I30" s="153" t="str">
        <f>IF(A29=A30,IFERROR(IF(AND(#REF!="Probabilidad",#REF!="Probabilidad"),(#REF!-(+#REF!*#REF!)),IF(#REF!="Probabilidad",(#REF!-(+#REF!*#REF!)),IF(#REF!="Impacto",#REF!,""))),""),IFERROR(IF(#REF!="Probabilidad",(#REF!-(+#REF!*#REF!)),IF(#REF!="Impacto",#REF!,"")),""))</f>
        <v/>
      </c>
      <c r="J30" s="154" t="str">
        <f>IFERROR(IF(I30="","",IF(I30&lt;='Listas y tablas'!$L$3,"Muy Baja",IF(I30&lt;='Listas y tablas'!$L$4,"Baja",IF(I30&lt;='Listas y tablas'!$L$5,"Media",IF(I30&lt;='Listas y tablas'!$L$6,"Alta","Muy Alta"))))),"")</f>
        <v/>
      </c>
      <c r="K30" s="155"/>
      <c r="L30" s="156"/>
      <c r="M30" s="150"/>
      <c r="N30" s="151"/>
      <c r="O30" s="151"/>
      <c r="P30" s="152"/>
      <c r="Q30" s="162"/>
      <c r="R30" s="151"/>
      <c r="S30" s="151"/>
      <c r="T30" s="151"/>
      <c r="U30" s="151"/>
      <c r="V30" s="165"/>
      <c r="W30" s="150"/>
      <c r="X30" s="151"/>
      <c r="Y30" s="151"/>
      <c r="Z30" s="151"/>
      <c r="AA30" s="151"/>
      <c r="AB30" s="151"/>
      <c r="AC30" s="163"/>
      <c r="AD30" s="151"/>
      <c r="AE30" s="152"/>
      <c r="AF30" s="173"/>
      <c r="AG30" s="185"/>
      <c r="AH30" s="185"/>
      <c r="AI30" s="186"/>
      <c r="AJ30" s="181"/>
      <c r="AK30" s="181"/>
      <c r="AL30" s="183"/>
      <c r="AM30" s="173"/>
      <c r="AN30" s="187"/>
      <c r="AO30" s="195"/>
      <c r="AP30" s="193"/>
      <c r="AQ30" s="193"/>
      <c r="AR30" s="193"/>
      <c r="AS30" s="193"/>
      <c r="AT30" s="193"/>
      <c r="AU30" s="193"/>
      <c r="AV30" s="194"/>
      <c r="AW30" s="193"/>
      <c r="AX30" s="207"/>
      <c r="AY30" s="208"/>
      <c r="AZ30" s="209"/>
      <c r="BA30" s="209"/>
      <c r="BB30" s="209"/>
      <c r="BC30" s="206"/>
      <c r="BD30" s="206"/>
      <c r="BE30" s="213"/>
      <c r="BF30" s="217"/>
      <c r="BG30" s="209"/>
      <c r="BH30" s="218"/>
      <c r="BI30" s="215"/>
      <c r="BJ30" s="215"/>
      <c r="BK30" s="215"/>
      <c r="BL30" s="215"/>
      <c r="BM30" s="215"/>
      <c r="BN30" s="215"/>
      <c r="BO30" s="216"/>
      <c r="BP30" s="215"/>
      <c r="BQ30" s="228"/>
      <c r="BR30" s="229"/>
      <c r="BS30" s="230"/>
      <c r="BT30" s="230"/>
      <c r="BU30" s="230"/>
      <c r="BV30" s="227"/>
      <c r="BW30" s="227"/>
      <c r="BX30" s="234"/>
      <c r="BY30" s="229"/>
      <c r="BZ30" s="230"/>
      <c r="CA30" s="235"/>
    </row>
    <row r="31" spans="1:79" ht="151.5" customHeight="1">
      <c r="A31" s="134" t="str">
        <f>IFERROR(INDEX(Riesgos!$A$7:$M$84,MATCH(E31,INDEX(Riesgos!$A$7:$M$84,,MATCH(E$7,Riesgos!$A$6:$M$6,0)),0),MATCH(A$7,Riesgos!$A$6:$M$6,0)),"")</f>
        <v/>
      </c>
      <c r="B31" s="135" t="str">
        <f>IFERROR(INDEX(Riesgos!$A$7:$M$84,MATCH(E31,INDEX(Riesgos!$A$7:$M$84,,MATCH(E$7,Riesgos!$A$6:$M$6,0)),0),MATCH(B$7,Riesgos!$A$6:$M$6,0)),"")</f>
        <v/>
      </c>
      <c r="C31" s="135"/>
      <c r="D31" s="136" t="str">
        <f>IFERROR(INDEX(Riesgos!$A$7:$M$84,MATCH(E31,INDEX(Riesgos!$A$7:$M$84,,MATCH(E$7,Riesgos!$A$6:$M$6,0)),0),MATCH(D$7,Riesgos!$A$6:$M$6,0)),"")</f>
        <v/>
      </c>
      <c r="E31" s="137"/>
      <c r="F31" s="137"/>
      <c r="G31" s="138" t="str">
        <f t="shared" si="0"/>
        <v/>
      </c>
      <c r="H31" s="139"/>
      <c r="I31" s="153" t="str">
        <f>IF(A30=A31,IFERROR(IF(AND(#REF!="Probabilidad",#REF!="Probabilidad"),(#REF!-(+#REF!*#REF!)),IF(#REF!="Probabilidad",(#REF!-(+#REF!*#REF!)),IF(#REF!="Impacto",#REF!,""))),""),IFERROR(IF(#REF!="Probabilidad",(#REF!-(+#REF!*#REF!)),IF(#REF!="Impacto",#REF!,"")),""))</f>
        <v/>
      </c>
      <c r="J31" s="154" t="str">
        <f>IFERROR(IF(I31="","",IF(I31&lt;='Listas y tablas'!$L$3,"Muy Baja",IF(I31&lt;='Listas y tablas'!$L$4,"Baja",IF(I31&lt;='Listas y tablas'!$L$5,"Media",IF(I31&lt;='Listas y tablas'!$L$6,"Alta","Muy Alta"))))),"")</f>
        <v/>
      </c>
      <c r="K31" s="155"/>
      <c r="L31" s="156"/>
      <c r="M31" s="150"/>
      <c r="N31" s="151"/>
      <c r="O31" s="151"/>
      <c r="P31" s="152"/>
      <c r="Q31" s="162"/>
      <c r="R31" s="151"/>
      <c r="S31" s="151"/>
      <c r="T31" s="151"/>
      <c r="U31" s="151"/>
      <c r="V31" s="165"/>
      <c r="W31" s="150"/>
      <c r="X31" s="151"/>
      <c r="Y31" s="151"/>
      <c r="Z31" s="151"/>
      <c r="AA31" s="151"/>
      <c r="AB31" s="151"/>
      <c r="AC31" s="163"/>
      <c r="AD31" s="151"/>
      <c r="AE31" s="152"/>
      <c r="AF31" s="173"/>
      <c r="AG31" s="185"/>
      <c r="AH31" s="185"/>
      <c r="AI31" s="186"/>
      <c r="AJ31" s="181"/>
      <c r="AK31" s="181"/>
      <c r="AL31" s="183"/>
      <c r="AM31" s="173"/>
      <c r="AN31" s="187"/>
      <c r="AO31" s="195"/>
      <c r="AP31" s="193"/>
      <c r="AQ31" s="193"/>
      <c r="AR31" s="193"/>
      <c r="AS31" s="193"/>
      <c r="AT31" s="193"/>
      <c r="AU31" s="193"/>
      <c r="AV31" s="194"/>
      <c r="AW31" s="193"/>
      <c r="AX31" s="207"/>
      <c r="AY31" s="208"/>
      <c r="AZ31" s="209"/>
      <c r="BA31" s="209"/>
      <c r="BB31" s="209"/>
      <c r="BC31" s="206"/>
      <c r="BD31" s="206"/>
      <c r="BE31" s="213"/>
      <c r="BF31" s="217"/>
      <c r="BG31" s="209"/>
      <c r="BH31" s="218"/>
      <c r="BI31" s="215"/>
      <c r="BJ31" s="215"/>
      <c r="BK31" s="215"/>
      <c r="BL31" s="215"/>
      <c r="BM31" s="215"/>
      <c r="BN31" s="215"/>
      <c r="BO31" s="216"/>
      <c r="BP31" s="215"/>
      <c r="BQ31" s="228"/>
      <c r="BR31" s="229"/>
      <c r="BS31" s="230"/>
      <c r="BT31" s="230"/>
      <c r="BU31" s="230"/>
      <c r="BV31" s="227"/>
      <c r="BW31" s="227"/>
      <c r="BX31" s="234"/>
      <c r="BY31" s="229"/>
      <c r="BZ31" s="230"/>
      <c r="CA31" s="235"/>
    </row>
    <row r="32" spans="1:79" ht="151.5" customHeight="1">
      <c r="A32" s="134" t="str">
        <f>IFERROR(INDEX(Riesgos!$A$7:$M$84,MATCH(E32,INDEX(Riesgos!$A$7:$M$84,,MATCH(E$7,Riesgos!$A$6:$M$6,0)),0),MATCH(A$7,Riesgos!$A$6:$M$6,0)),"")</f>
        <v/>
      </c>
      <c r="B32" s="135" t="str">
        <f>IFERROR(INDEX(Riesgos!$A$7:$M$84,MATCH(E32,INDEX(Riesgos!$A$7:$M$84,,MATCH(E$7,Riesgos!$A$6:$M$6,0)),0),MATCH(B$7,Riesgos!$A$6:$M$6,0)),"")</f>
        <v/>
      </c>
      <c r="C32" s="135"/>
      <c r="D32" s="136" t="str">
        <f>IFERROR(INDEX(Riesgos!$A$7:$M$84,MATCH(E32,INDEX(Riesgos!$A$7:$M$84,,MATCH(E$7,Riesgos!$A$6:$M$6,0)),0),MATCH(D$7,Riesgos!$A$6:$M$6,0)),"")</f>
        <v/>
      </c>
      <c r="E32" s="137"/>
      <c r="F32" s="137"/>
      <c r="G32" s="138" t="str">
        <f t="shared" si="0"/>
        <v/>
      </c>
      <c r="H32" s="139"/>
      <c r="I32" s="153" t="str">
        <f>IF(A31=A32,IFERROR(IF(AND(#REF!="Probabilidad",#REF!="Probabilidad"),(#REF!-(+#REF!*#REF!)),IF(#REF!="Probabilidad",(#REF!-(+#REF!*#REF!)),IF(#REF!="Impacto",#REF!,""))),""),IFERROR(IF(#REF!="Probabilidad",(#REF!-(+#REF!*#REF!)),IF(#REF!="Impacto",#REF!,"")),""))</f>
        <v/>
      </c>
      <c r="J32" s="154" t="str">
        <f>IFERROR(IF(I32="","",IF(I32&lt;='Listas y tablas'!$L$3,"Muy Baja",IF(I32&lt;='Listas y tablas'!$L$4,"Baja",IF(I32&lt;='Listas y tablas'!$L$5,"Media",IF(I32&lt;='Listas y tablas'!$L$6,"Alta","Muy Alta"))))),"")</f>
        <v/>
      </c>
      <c r="K32" s="155"/>
      <c r="L32" s="156"/>
      <c r="M32" s="150"/>
      <c r="N32" s="151"/>
      <c r="O32" s="151"/>
      <c r="P32" s="152"/>
      <c r="Q32" s="162"/>
      <c r="R32" s="151"/>
      <c r="S32" s="151"/>
      <c r="T32" s="151"/>
      <c r="U32" s="151"/>
      <c r="V32" s="165"/>
      <c r="W32" s="150"/>
      <c r="X32" s="151"/>
      <c r="Y32" s="151"/>
      <c r="Z32" s="151"/>
      <c r="AA32" s="151"/>
      <c r="AB32" s="151"/>
      <c r="AC32" s="163"/>
      <c r="AD32" s="151"/>
      <c r="AE32" s="152"/>
      <c r="AF32" s="173"/>
      <c r="AG32" s="185"/>
      <c r="AH32" s="185"/>
      <c r="AI32" s="186"/>
      <c r="AJ32" s="181"/>
      <c r="AK32" s="181"/>
      <c r="AL32" s="183"/>
      <c r="AM32" s="173"/>
      <c r="AN32" s="187"/>
      <c r="AO32" s="195"/>
      <c r="AP32" s="193"/>
      <c r="AQ32" s="193"/>
      <c r="AR32" s="193"/>
      <c r="AS32" s="193"/>
      <c r="AT32" s="193"/>
      <c r="AU32" s="193"/>
      <c r="AV32" s="194"/>
      <c r="AW32" s="193"/>
      <c r="AX32" s="207"/>
      <c r="AY32" s="208"/>
      <c r="AZ32" s="209"/>
      <c r="BA32" s="209"/>
      <c r="BB32" s="209"/>
      <c r="BC32" s="206"/>
      <c r="BD32" s="206"/>
      <c r="BE32" s="213"/>
      <c r="BF32" s="217"/>
      <c r="BG32" s="209"/>
      <c r="BH32" s="218"/>
      <c r="BI32" s="215"/>
      <c r="BJ32" s="215"/>
      <c r="BK32" s="215"/>
      <c r="BL32" s="215"/>
      <c r="BM32" s="215"/>
      <c r="BN32" s="215"/>
      <c r="BO32" s="216"/>
      <c r="BP32" s="215"/>
      <c r="BQ32" s="228"/>
      <c r="BR32" s="229"/>
      <c r="BS32" s="230"/>
      <c r="BT32" s="230"/>
      <c r="BU32" s="230"/>
      <c r="BV32" s="227"/>
      <c r="BW32" s="227"/>
      <c r="BX32" s="234"/>
      <c r="BY32" s="229"/>
      <c r="BZ32" s="230"/>
      <c r="CA32" s="235"/>
    </row>
    <row r="33" spans="1:79" ht="151.5" customHeight="1">
      <c r="A33" s="134" t="str">
        <f>IFERROR(INDEX(Riesgos!$A$7:$M$84,MATCH(E33,INDEX(Riesgos!$A$7:$M$84,,MATCH(E$7,Riesgos!$A$6:$M$6,0)),0),MATCH(A$7,Riesgos!$A$6:$M$6,0)),"")</f>
        <v/>
      </c>
      <c r="B33" s="135" t="str">
        <f>IFERROR(INDEX(Riesgos!$A$7:$M$84,MATCH(E33,INDEX(Riesgos!$A$7:$M$84,,MATCH(E$7,Riesgos!$A$6:$M$6,0)),0),MATCH(B$7,Riesgos!$A$6:$M$6,0)),"")</f>
        <v/>
      </c>
      <c r="C33" s="135"/>
      <c r="D33" s="136" t="str">
        <f>IFERROR(INDEX(Riesgos!$A$7:$M$84,MATCH(E33,INDEX(Riesgos!$A$7:$M$84,,MATCH(E$7,Riesgos!$A$6:$M$6,0)),0),MATCH(D$7,Riesgos!$A$6:$M$6,0)),"")</f>
        <v/>
      </c>
      <c r="E33" s="137"/>
      <c r="F33" s="137"/>
      <c r="G33" s="138" t="str">
        <f t="shared" si="0"/>
        <v/>
      </c>
      <c r="H33" s="139"/>
      <c r="I33" s="153" t="str">
        <f>IF(A32=A33,IFERROR(IF(AND(#REF!="Probabilidad",#REF!="Probabilidad"),(#REF!-(+#REF!*#REF!)),IF(#REF!="Probabilidad",(#REF!-(+#REF!*#REF!)),IF(#REF!="Impacto",#REF!,""))),""),IFERROR(IF(#REF!="Probabilidad",(#REF!-(+#REF!*#REF!)),IF(#REF!="Impacto",#REF!,"")),""))</f>
        <v/>
      </c>
      <c r="J33" s="154" t="str">
        <f>IFERROR(IF(I33="","",IF(I33&lt;='Listas y tablas'!$L$3,"Muy Baja",IF(I33&lt;='Listas y tablas'!$L$4,"Baja",IF(I33&lt;='Listas y tablas'!$L$5,"Media",IF(I33&lt;='Listas y tablas'!$L$6,"Alta","Muy Alta"))))),"")</f>
        <v/>
      </c>
      <c r="K33" s="155"/>
      <c r="L33" s="156"/>
      <c r="M33" s="150"/>
      <c r="N33" s="151"/>
      <c r="O33" s="151"/>
      <c r="P33" s="152"/>
      <c r="Q33" s="162"/>
      <c r="R33" s="151"/>
      <c r="S33" s="151"/>
      <c r="T33" s="151"/>
      <c r="U33" s="151"/>
      <c r="V33" s="165"/>
      <c r="W33" s="150"/>
      <c r="X33" s="151"/>
      <c r="Y33" s="151"/>
      <c r="Z33" s="151"/>
      <c r="AA33" s="151"/>
      <c r="AB33" s="151"/>
      <c r="AC33" s="163"/>
      <c r="AD33" s="151"/>
      <c r="AE33" s="152"/>
      <c r="AF33" s="173"/>
      <c r="AG33" s="185"/>
      <c r="AH33" s="185"/>
      <c r="AI33" s="186"/>
      <c r="AJ33" s="181"/>
      <c r="AK33" s="181"/>
      <c r="AL33" s="183"/>
      <c r="AM33" s="173"/>
      <c r="AN33" s="187"/>
      <c r="AO33" s="195"/>
      <c r="AP33" s="193"/>
      <c r="AQ33" s="193"/>
      <c r="AR33" s="193"/>
      <c r="AS33" s="193"/>
      <c r="AT33" s="193"/>
      <c r="AU33" s="193"/>
      <c r="AV33" s="194"/>
      <c r="AW33" s="193"/>
      <c r="AX33" s="207"/>
      <c r="AY33" s="208"/>
      <c r="AZ33" s="209"/>
      <c r="BA33" s="209"/>
      <c r="BB33" s="209"/>
      <c r="BC33" s="206"/>
      <c r="BD33" s="206"/>
      <c r="BE33" s="213"/>
      <c r="BF33" s="217"/>
      <c r="BG33" s="209"/>
      <c r="BH33" s="218"/>
      <c r="BI33" s="215"/>
      <c r="BJ33" s="215"/>
      <c r="BK33" s="215"/>
      <c r="BL33" s="215"/>
      <c r="BM33" s="215"/>
      <c r="BN33" s="215"/>
      <c r="BO33" s="216"/>
      <c r="BP33" s="215"/>
      <c r="BQ33" s="228"/>
      <c r="BR33" s="229"/>
      <c r="BS33" s="230"/>
      <c r="BT33" s="230"/>
      <c r="BU33" s="230"/>
      <c r="BV33" s="227"/>
      <c r="BW33" s="227"/>
      <c r="BX33" s="234"/>
      <c r="BY33" s="229"/>
      <c r="BZ33" s="230"/>
      <c r="CA33" s="235"/>
    </row>
    <row r="34" spans="1:79" ht="151.5" customHeight="1">
      <c r="A34" s="134" t="str">
        <f>IFERROR(INDEX(Riesgos!$A$7:$M$84,MATCH(E34,INDEX(Riesgos!$A$7:$M$84,,MATCH(E$7,Riesgos!$A$6:$M$6,0)),0),MATCH(A$7,Riesgos!$A$6:$M$6,0)),"")</f>
        <v/>
      </c>
      <c r="B34" s="135" t="str">
        <f>IFERROR(INDEX(Riesgos!$A$7:$M$84,MATCH(E34,INDEX(Riesgos!$A$7:$M$84,,MATCH(E$7,Riesgos!$A$6:$M$6,0)),0),MATCH(B$7,Riesgos!$A$6:$M$6,0)),"")</f>
        <v/>
      </c>
      <c r="C34" s="135"/>
      <c r="D34" s="136" t="str">
        <f>IFERROR(INDEX(Riesgos!$A$7:$M$84,MATCH(E34,INDEX(Riesgos!$A$7:$M$84,,MATCH(E$7,Riesgos!$A$6:$M$6,0)),0),MATCH(D$7,Riesgos!$A$6:$M$6,0)),"")</f>
        <v/>
      </c>
      <c r="E34" s="137"/>
      <c r="F34" s="137"/>
      <c r="G34" s="138" t="str">
        <f t="shared" si="0"/>
        <v/>
      </c>
      <c r="H34" s="140"/>
      <c r="I34" s="153" t="str">
        <f>IF(A33=A34,IFERROR(IF(AND(#REF!="Probabilidad",#REF!="Probabilidad"),(#REF!-(+#REF!*#REF!)),IF(#REF!="Probabilidad",(#REF!-(+#REF!*#REF!)),IF(#REF!="Impacto",#REF!,""))),""),IFERROR(IF(#REF!="Probabilidad",(#REF!-(+#REF!*#REF!)),IF(#REF!="Impacto",#REF!,"")),""))</f>
        <v/>
      </c>
      <c r="J34" s="154" t="str">
        <f>IFERROR(IF(I34="","",IF(I34&lt;='Listas y tablas'!$L$3,"Muy Baja",IF(I34&lt;='Listas y tablas'!$L$4,"Baja",IF(I34&lt;='Listas y tablas'!$L$5,"Media",IF(I34&lt;='Listas y tablas'!$L$6,"Alta","Muy Alta"))))),"")</f>
        <v/>
      </c>
      <c r="K34" s="155"/>
      <c r="L34" s="156"/>
      <c r="M34" s="150"/>
      <c r="N34" s="151"/>
      <c r="O34" s="151"/>
      <c r="P34" s="152"/>
      <c r="Q34" s="162"/>
      <c r="R34" s="151"/>
      <c r="S34" s="151"/>
      <c r="T34" s="151"/>
      <c r="U34" s="151"/>
      <c r="V34" s="165"/>
      <c r="W34" s="150"/>
      <c r="X34" s="151"/>
      <c r="Y34" s="151"/>
      <c r="Z34" s="151"/>
      <c r="AA34" s="151"/>
      <c r="AB34" s="151"/>
      <c r="AC34" s="163"/>
      <c r="AD34" s="151"/>
      <c r="AE34" s="152"/>
      <c r="AF34" s="173"/>
      <c r="AG34" s="185"/>
      <c r="AH34" s="185"/>
      <c r="AI34" s="186"/>
      <c r="AJ34" s="181"/>
      <c r="AK34" s="181"/>
      <c r="AL34" s="183"/>
      <c r="AM34" s="173"/>
      <c r="AN34" s="187"/>
      <c r="AO34" s="195"/>
      <c r="AP34" s="193"/>
      <c r="AQ34" s="193"/>
      <c r="AR34" s="193"/>
      <c r="AS34" s="193"/>
      <c r="AT34" s="193"/>
      <c r="AU34" s="193"/>
      <c r="AV34" s="194"/>
      <c r="AW34" s="193"/>
      <c r="AX34" s="207"/>
      <c r="AY34" s="208"/>
      <c r="AZ34" s="209"/>
      <c r="BA34" s="209"/>
      <c r="BB34" s="209"/>
      <c r="BC34" s="206"/>
      <c r="BD34" s="206"/>
      <c r="BE34" s="213"/>
      <c r="BF34" s="217"/>
      <c r="BG34" s="209"/>
      <c r="BH34" s="218"/>
      <c r="BI34" s="215"/>
      <c r="BJ34" s="215"/>
      <c r="BK34" s="215"/>
      <c r="BL34" s="215"/>
      <c r="BM34" s="215"/>
      <c r="BN34" s="215"/>
      <c r="BO34" s="216"/>
      <c r="BP34" s="215"/>
      <c r="BQ34" s="228"/>
      <c r="BR34" s="229"/>
      <c r="BS34" s="230"/>
      <c r="BT34" s="230"/>
      <c r="BU34" s="230"/>
      <c r="BV34" s="227"/>
      <c r="BW34" s="227"/>
      <c r="BX34" s="234"/>
      <c r="BY34" s="229"/>
      <c r="BZ34" s="230"/>
      <c r="CA34" s="235"/>
    </row>
    <row r="35" spans="1:79" ht="151.5" customHeight="1">
      <c r="A35" s="134" t="str">
        <f>IFERROR(INDEX(Riesgos!$A$7:$M$84,MATCH(E35,INDEX(Riesgos!$A$7:$M$84,,MATCH(E$7,Riesgos!$A$6:$M$6,0)),0),MATCH(A$7,Riesgos!$A$6:$M$6,0)),"")</f>
        <v/>
      </c>
      <c r="B35" s="135" t="str">
        <f>IFERROR(INDEX(Riesgos!$A$7:$M$84,MATCH(E35,INDEX(Riesgos!$A$7:$M$84,,MATCH(E$7,Riesgos!$A$6:$M$6,0)),0),MATCH(B$7,Riesgos!$A$6:$M$6,0)),"")</f>
        <v/>
      </c>
      <c r="C35" s="135"/>
      <c r="D35" s="136" t="str">
        <f>IFERROR(INDEX(Riesgos!$A$7:$M$84,MATCH(E35,INDEX(Riesgos!$A$7:$M$84,,MATCH(E$7,Riesgos!$A$6:$M$6,0)),0),MATCH(D$7,Riesgos!$A$6:$M$6,0)),"")</f>
        <v/>
      </c>
      <c r="E35" s="137"/>
      <c r="F35" s="137"/>
      <c r="G35" s="138" t="str">
        <f t="shared" si="0"/>
        <v/>
      </c>
      <c r="H35" s="139"/>
      <c r="I35" s="153" t="str">
        <f>IF(A34=A35,IFERROR(IF(AND(#REF!="Probabilidad",#REF!="Probabilidad"),(#REF!-(+#REF!*#REF!)),IF(#REF!="Probabilidad",(#REF!-(+#REF!*#REF!)),IF(#REF!="Impacto",#REF!,""))),""),IFERROR(IF(#REF!="Probabilidad",(#REF!-(+#REF!*#REF!)),IF(#REF!="Impacto",#REF!,"")),""))</f>
        <v/>
      </c>
      <c r="J35" s="154" t="str">
        <f>IFERROR(IF(I35="","",IF(I35&lt;='Listas y tablas'!$L$3,"Muy Baja",IF(I35&lt;='Listas y tablas'!$L$4,"Baja",IF(I35&lt;='Listas y tablas'!$L$5,"Media",IF(I35&lt;='Listas y tablas'!$L$6,"Alta","Muy Alta"))))),"")</f>
        <v/>
      </c>
      <c r="K35" s="155"/>
      <c r="L35" s="156"/>
      <c r="M35" s="150"/>
      <c r="N35" s="151"/>
      <c r="O35" s="151"/>
      <c r="P35" s="152"/>
      <c r="Q35" s="162"/>
      <c r="R35" s="151"/>
      <c r="S35" s="151"/>
      <c r="T35" s="151"/>
      <c r="U35" s="151"/>
      <c r="V35" s="165"/>
      <c r="W35" s="150"/>
      <c r="X35" s="151"/>
      <c r="Y35" s="151"/>
      <c r="Z35" s="151"/>
      <c r="AA35" s="151"/>
      <c r="AB35" s="151"/>
      <c r="AC35" s="163"/>
      <c r="AD35" s="151"/>
      <c r="AE35" s="152"/>
      <c r="AF35" s="173"/>
      <c r="AG35" s="185"/>
      <c r="AH35" s="185"/>
      <c r="AI35" s="186"/>
      <c r="AJ35" s="181"/>
      <c r="AK35" s="181"/>
      <c r="AL35" s="183"/>
      <c r="AM35" s="173"/>
      <c r="AN35" s="187"/>
      <c r="AO35" s="195"/>
      <c r="AP35" s="193"/>
      <c r="AQ35" s="193"/>
      <c r="AR35" s="193"/>
      <c r="AS35" s="193"/>
      <c r="AT35" s="193"/>
      <c r="AU35" s="193"/>
      <c r="AV35" s="194"/>
      <c r="AW35" s="193"/>
      <c r="AX35" s="207"/>
      <c r="AY35" s="208"/>
      <c r="AZ35" s="209"/>
      <c r="BA35" s="209"/>
      <c r="BB35" s="209"/>
      <c r="BC35" s="206"/>
      <c r="BD35" s="206"/>
      <c r="BE35" s="213"/>
      <c r="BF35" s="217"/>
      <c r="BG35" s="209"/>
      <c r="BH35" s="218"/>
      <c r="BI35" s="215"/>
      <c r="BJ35" s="215"/>
      <c r="BK35" s="215"/>
      <c r="BL35" s="215"/>
      <c r="BM35" s="215"/>
      <c r="BN35" s="215"/>
      <c r="BO35" s="216"/>
      <c r="BP35" s="215"/>
      <c r="BQ35" s="228"/>
      <c r="BR35" s="229"/>
      <c r="BS35" s="230"/>
      <c r="BT35" s="230"/>
      <c r="BU35" s="230"/>
      <c r="BV35" s="227"/>
      <c r="BW35" s="227"/>
      <c r="BX35" s="234"/>
      <c r="BY35" s="229"/>
      <c r="BZ35" s="230"/>
      <c r="CA35" s="235"/>
    </row>
    <row r="36" spans="1:79" ht="151.5" customHeight="1">
      <c r="A36" s="134" t="str">
        <f>IFERROR(INDEX(Riesgos!$A$7:$M$84,MATCH(E36,INDEX(Riesgos!$A$7:$M$84,,MATCH(E$7,Riesgos!$A$6:$M$6,0)),0),MATCH(A$7,Riesgos!$A$6:$M$6,0)),"")</f>
        <v/>
      </c>
      <c r="B36" s="135" t="str">
        <f>IFERROR(INDEX(Riesgos!$A$7:$M$84,MATCH(E36,INDEX(Riesgos!$A$7:$M$84,,MATCH(E$7,Riesgos!$A$6:$M$6,0)),0),MATCH(B$7,Riesgos!$A$6:$M$6,0)),"")</f>
        <v/>
      </c>
      <c r="C36" s="135"/>
      <c r="D36" s="136" t="str">
        <f>IFERROR(INDEX(Riesgos!$A$7:$M$84,MATCH(E36,INDEX(Riesgos!$A$7:$M$84,,MATCH(E$7,Riesgos!$A$6:$M$6,0)),0),MATCH(D$7,Riesgos!$A$6:$M$6,0)),"")</f>
        <v/>
      </c>
      <c r="E36" s="137"/>
      <c r="F36" s="137"/>
      <c r="G36" s="138" t="str">
        <f t="shared" si="0"/>
        <v/>
      </c>
      <c r="H36" s="139"/>
      <c r="I36" s="153" t="str">
        <f>IF(A35=A36,IFERROR(IF(AND(#REF!="Probabilidad",#REF!="Probabilidad"),(#REF!-(+#REF!*#REF!)),IF(#REF!="Probabilidad",(#REF!-(+#REF!*#REF!)),IF(#REF!="Impacto",#REF!,""))),""),IFERROR(IF(#REF!="Probabilidad",(#REF!-(+#REF!*#REF!)),IF(#REF!="Impacto",#REF!,"")),""))</f>
        <v/>
      </c>
      <c r="J36" s="154" t="str">
        <f>IFERROR(IF(I36="","",IF(I36&lt;='Listas y tablas'!$L$3,"Muy Baja",IF(I36&lt;='Listas y tablas'!$L$4,"Baja",IF(I36&lt;='Listas y tablas'!$L$5,"Media",IF(I36&lt;='Listas y tablas'!$L$6,"Alta","Muy Alta"))))),"")</f>
        <v/>
      </c>
      <c r="K36" s="155"/>
      <c r="L36" s="156"/>
      <c r="M36" s="150"/>
      <c r="N36" s="151"/>
      <c r="O36" s="151"/>
      <c r="P36" s="152"/>
      <c r="Q36" s="162"/>
      <c r="R36" s="151"/>
      <c r="S36" s="151"/>
      <c r="T36" s="151"/>
      <c r="U36" s="151"/>
      <c r="V36" s="165"/>
      <c r="W36" s="150"/>
      <c r="X36" s="151"/>
      <c r="Y36" s="151"/>
      <c r="Z36" s="151"/>
      <c r="AA36" s="151"/>
      <c r="AB36" s="151"/>
      <c r="AC36" s="163"/>
      <c r="AD36" s="151"/>
      <c r="AE36" s="152"/>
      <c r="AF36" s="173"/>
      <c r="AG36" s="185"/>
      <c r="AH36" s="185"/>
      <c r="AI36" s="186"/>
      <c r="AJ36" s="181"/>
      <c r="AK36" s="181"/>
      <c r="AL36" s="183"/>
      <c r="AM36" s="173"/>
      <c r="AN36" s="187"/>
      <c r="AO36" s="195"/>
      <c r="AP36" s="193"/>
      <c r="AQ36" s="193"/>
      <c r="AR36" s="193"/>
      <c r="AS36" s="193"/>
      <c r="AT36" s="193"/>
      <c r="AU36" s="193"/>
      <c r="AV36" s="194"/>
      <c r="AW36" s="193"/>
      <c r="AX36" s="207"/>
      <c r="AY36" s="208"/>
      <c r="AZ36" s="209"/>
      <c r="BA36" s="209"/>
      <c r="BB36" s="209"/>
      <c r="BC36" s="206"/>
      <c r="BD36" s="206"/>
      <c r="BE36" s="213"/>
      <c r="BF36" s="217"/>
      <c r="BG36" s="209"/>
      <c r="BH36" s="218"/>
      <c r="BI36" s="215"/>
      <c r="BJ36" s="215"/>
      <c r="BK36" s="215"/>
      <c r="BL36" s="215"/>
      <c r="BM36" s="215"/>
      <c r="BN36" s="215"/>
      <c r="BO36" s="216"/>
      <c r="BP36" s="215"/>
      <c r="BQ36" s="228"/>
      <c r="BR36" s="229"/>
      <c r="BS36" s="230"/>
      <c r="BT36" s="230"/>
      <c r="BU36" s="230"/>
      <c r="BV36" s="227"/>
      <c r="BW36" s="227"/>
      <c r="BX36" s="234"/>
      <c r="BY36" s="229"/>
      <c r="BZ36" s="230"/>
      <c r="CA36" s="235"/>
    </row>
    <row r="37" spans="1:79" ht="151.5" customHeight="1">
      <c r="A37" s="134" t="str">
        <f>IFERROR(INDEX(Riesgos!$A$7:$M$84,MATCH(E37,INDEX(Riesgos!$A$7:$M$84,,MATCH(E$7,Riesgos!$A$6:$M$6,0)),0),MATCH(A$7,Riesgos!$A$6:$M$6,0)),"")</f>
        <v/>
      </c>
      <c r="B37" s="135" t="str">
        <f>IFERROR(INDEX(Riesgos!$A$7:$M$84,MATCH(E37,INDEX(Riesgos!$A$7:$M$84,,MATCH(E$7,Riesgos!$A$6:$M$6,0)),0),MATCH(B$7,Riesgos!$A$6:$M$6,0)),"")</f>
        <v/>
      </c>
      <c r="C37" s="135"/>
      <c r="D37" s="136" t="str">
        <f>IFERROR(INDEX(Riesgos!$A$7:$M$84,MATCH(E37,INDEX(Riesgos!$A$7:$M$84,,MATCH(E$7,Riesgos!$A$6:$M$6,0)),0),MATCH(D$7,Riesgos!$A$6:$M$6,0)),"")</f>
        <v/>
      </c>
      <c r="E37" s="137"/>
      <c r="F37" s="137"/>
      <c r="G37" s="138" t="str">
        <f t="shared" si="0"/>
        <v/>
      </c>
      <c r="H37" s="139"/>
      <c r="I37" s="153" t="str">
        <f>IF(A36=A37,IFERROR(IF(AND(#REF!="Probabilidad",#REF!="Probabilidad"),(#REF!-(+#REF!*#REF!)),IF(#REF!="Probabilidad",(#REF!-(+#REF!*#REF!)),IF(#REF!="Impacto",#REF!,""))),""),IFERROR(IF(#REF!="Probabilidad",(#REF!-(+#REF!*#REF!)),IF(#REF!="Impacto",#REF!,"")),""))</f>
        <v/>
      </c>
      <c r="J37" s="154" t="str">
        <f>IFERROR(IF(I37="","",IF(I37&lt;='Listas y tablas'!$L$3,"Muy Baja",IF(I37&lt;='Listas y tablas'!$L$4,"Baja",IF(I37&lt;='Listas y tablas'!$L$5,"Media",IF(I37&lt;='Listas y tablas'!$L$6,"Alta","Muy Alta"))))),"")</f>
        <v/>
      </c>
      <c r="K37" s="155"/>
      <c r="L37" s="156"/>
      <c r="M37" s="150"/>
      <c r="N37" s="151"/>
      <c r="O37" s="151"/>
      <c r="P37" s="152"/>
      <c r="Q37" s="162"/>
      <c r="R37" s="151"/>
      <c r="S37" s="151"/>
      <c r="T37" s="151"/>
      <c r="U37" s="151"/>
      <c r="V37" s="165"/>
      <c r="W37" s="150"/>
      <c r="X37" s="151"/>
      <c r="Y37" s="151"/>
      <c r="Z37" s="151"/>
      <c r="AA37" s="151"/>
      <c r="AB37" s="151"/>
      <c r="AC37" s="163"/>
      <c r="AD37" s="151"/>
      <c r="AE37" s="152"/>
      <c r="AF37" s="173"/>
      <c r="AG37" s="185"/>
      <c r="AH37" s="185"/>
      <c r="AI37" s="186"/>
      <c r="AJ37" s="181"/>
      <c r="AK37" s="181"/>
      <c r="AL37" s="183"/>
      <c r="AM37" s="173"/>
      <c r="AN37" s="187"/>
      <c r="AO37" s="195"/>
      <c r="AP37" s="193"/>
      <c r="AQ37" s="193"/>
      <c r="AR37" s="193"/>
      <c r="AS37" s="193"/>
      <c r="AT37" s="193"/>
      <c r="AU37" s="193"/>
      <c r="AV37" s="194"/>
      <c r="AW37" s="193"/>
      <c r="AX37" s="207"/>
      <c r="AY37" s="208"/>
      <c r="AZ37" s="209"/>
      <c r="BA37" s="209"/>
      <c r="BB37" s="209"/>
      <c r="BC37" s="206"/>
      <c r="BD37" s="206"/>
      <c r="BE37" s="213"/>
      <c r="BF37" s="217"/>
      <c r="BG37" s="209"/>
      <c r="BH37" s="218"/>
      <c r="BI37" s="215"/>
      <c r="BJ37" s="215"/>
      <c r="BK37" s="215"/>
      <c r="BL37" s="215"/>
      <c r="BM37" s="215"/>
      <c r="BN37" s="215"/>
      <c r="BO37" s="216"/>
      <c r="BP37" s="215"/>
      <c r="BQ37" s="228"/>
      <c r="BR37" s="229"/>
      <c r="BS37" s="230"/>
      <c r="BT37" s="230"/>
      <c r="BU37" s="230"/>
      <c r="BV37" s="227"/>
      <c r="BW37" s="227"/>
      <c r="BX37" s="234"/>
      <c r="BY37" s="229"/>
      <c r="BZ37" s="230"/>
      <c r="CA37" s="235"/>
    </row>
    <row r="38" spans="1:79" ht="151.5" customHeight="1">
      <c r="A38" s="134" t="str">
        <f>IFERROR(INDEX(Riesgos!$A$7:$M$84,MATCH(E38,INDEX(Riesgos!$A$7:$M$84,,MATCH(E$7,Riesgos!$A$6:$M$6,0)),0),MATCH(A$7,Riesgos!$A$6:$M$6,0)),"")</f>
        <v/>
      </c>
      <c r="B38" s="135" t="str">
        <f>IFERROR(INDEX(Riesgos!$A$7:$M$84,MATCH(E38,INDEX(Riesgos!$A$7:$M$84,,MATCH(E$7,Riesgos!$A$6:$M$6,0)),0),MATCH(B$7,Riesgos!$A$6:$M$6,0)),"")</f>
        <v/>
      </c>
      <c r="C38" s="135"/>
      <c r="D38" s="136" t="str">
        <f>IFERROR(INDEX(Riesgos!$A$7:$M$84,MATCH(E38,INDEX(Riesgos!$A$7:$M$84,,MATCH(E$7,Riesgos!$A$6:$M$6,0)),0),MATCH(D$7,Riesgos!$A$6:$M$6,0)),"")</f>
        <v/>
      </c>
      <c r="E38" s="137"/>
      <c r="F38" s="137"/>
      <c r="G38" s="138" t="str">
        <f t="shared" si="0"/>
        <v/>
      </c>
      <c r="H38" s="139"/>
      <c r="I38" s="153" t="str">
        <f>IF(A37=A38,IFERROR(IF(AND(#REF!="Probabilidad",#REF!="Probabilidad"),(#REF!-(+#REF!*#REF!)),IF(#REF!="Probabilidad",(#REF!-(+#REF!*#REF!)),IF(#REF!="Impacto",#REF!,""))),""),IFERROR(IF(#REF!="Probabilidad",(#REF!-(+#REF!*#REF!)),IF(#REF!="Impacto",#REF!,"")),""))</f>
        <v/>
      </c>
      <c r="J38" s="154" t="str">
        <f>IFERROR(IF(I38="","",IF(I38&lt;='Listas y tablas'!$L$3,"Muy Baja",IF(I38&lt;='Listas y tablas'!$L$4,"Baja",IF(I38&lt;='Listas y tablas'!$L$5,"Media",IF(I38&lt;='Listas y tablas'!$L$6,"Alta","Muy Alta"))))),"")</f>
        <v/>
      </c>
      <c r="K38" s="155"/>
      <c r="L38" s="156"/>
      <c r="M38" s="150"/>
      <c r="N38" s="151"/>
      <c r="O38" s="151"/>
      <c r="P38" s="152"/>
      <c r="Q38" s="162"/>
      <c r="R38" s="151"/>
      <c r="S38" s="151"/>
      <c r="T38" s="151"/>
      <c r="U38" s="151"/>
      <c r="V38" s="165"/>
      <c r="W38" s="150"/>
      <c r="X38" s="151"/>
      <c r="Y38" s="151"/>
      <c r="Z38" s="151"/>
      <c r="AA38" s="151"/>
      <c r="AB38" s="151"/>
      <c r="AC38" s="163"/>
      <c r="AD38" s="151"/>
      <c r="AE38" s="152"/>
      <c r="AF38" s="173"/>
      <c r="AG38" s="185"/>
      <c r="AH38" s="185"/>
      <c r="AI38" s="186"/>
      <c r="AJ38" s="181"/>
      <c r="AK38" s="181"/>
      <c r="AL38" s="183"/>
      <c r="AM38" s="173"/>
      <c r="AN38" s="187"/>
      <c r="AO38" s="195"/>
      <c r="AP38" s="193"/>
      <c r="AQ38" s="193"/>
      <c r="AR38" s="193"/>
      <c r="AS38" s="193"/>
      <c r="AT38" s="193"/>
      <c r="AU38" s="193"/>
      <c r="AV38" s="194"/>
      <c r="AW38" s="193"/>
      <c r="AX38" s="207"/>
      <c r="AY38" s="208"/>
      <c r="AZ38" s="209"/>
      <c r="BA38" s="209"/>
      <c r="BB38" s="209"/>
      <c r="BC38" s="206"/>
      <c r="BD38" s="206"/>
      <c r="BE38" s="213"/>
      <c r="BF38" s="217"/>
      <c r="BG38" s="209"/>
      <c r="BH38" s="218"/>
      <c r="BI38" s="215"/>
      <c r="BJ38" s="215"/>
      <c r="BK38" s="215"/>
      <c r="BL38" s="215"/>
      <c r="BM38" s="215"/>
      <c r="BN38" s="215"/>
      <c r="BO38" s="216"/>
      <c r="BP38" s="215"/>
      <c r="BQ38" s="228"/>
      <c r="BR38" s="229"/>
      <c r="BS38" s="230"/>
      <c r="BT38" s="230"/>
      <c r="BU38" s="230"/>
      <c r="BV38" s="227"/>
      <c r="BW38" s="227"/>
      <c r="BX38" s="234"/>
      <c r="BY38" s="229"/>
      <c r="BZ38" s="230"/>
      <c r="CA38" s="235"/>
    </row>
    <row r="39" spans="1:79" ht="151.5" customHeight="1">
      <c r="A39" s="134" t="str">
        <f>IFERROR(INDEX(Riesgos!$A$7:$M$84,MATCH(E39,INDEX(Riesgos!$A$7:$M$84,,MATCH(E$7,Riesgos!$A$6:$M$6,0)),0),MATCH(A$7,Riesgos!$A$6:$M$6,0)),"")</f>
        <v/>
      </c>
      <c r="B39" s="135" t="str">
        <f>IFERROR(INDEX(Riesgos!$A$7:$M$84,MATCH(E39,INDEX(Riesgos!$A$7:$M$84,,MATCH(E$7,Riesgos!$A$6:$M$6,0)),0),MATCH(B$7,Riesgos!$A$6:$M$6,0)),"")</f>
        <v/>
      </c>
      <c r="C39" s="135"/>
      <c r="D39" s="136" t="str">
        <f>IFERROR(INDEX(Riesgos!$A$7:$M$84,MATCH(E39,INDEX(Riesgos!$A$7:$M$84,,MATCH(E$7,Riesgos!$A$6:$M$6,0)),0),MATCH(D$7,Riesgos!$A$6:$M$6,0)),"")</f>
        <v/>
      </c>
      <c r="E39" s="137"/>
      <c r="F39" s="137"/>
      <c r="G39" s="138" t="str">
        <f t="shared" si="0"/>
        <v/>
      </c>
      <c r="H39" s="139"/>
      <c r="I39" s="153" t="str">
        <f>IF(A38=A39,IFERROR(IF(AND(#REF!="Probabilidad",#REF!="Probabilidad"),(#REF!-(+#REF!*#REF!)),IF(#REF!="Probabilidad",(#REF!-(+#REF!*#REF!)),IF(#REF!="Impacto",#REF!,""))),""),IFERROR(IF(#REF!="Probabilidad",(#REF!-(+#REF!*#REF!)),IF(#REF!="Impacto",#REF!,"")),""))</f>
        <v/>
      </c>
      <c r="J39" s="154" t="str">
        <f>IFERROR(IF(I39="","",IF(I39&lt;='Listas y tablas'!$L$3,"Muy Baja",IF(I39&lt;='Listas y tablas'!$L$4,"Baja",IF(I39&lt;='Listas y tablas'!$L$5,"Media",IF(I39&lt;='Listas y tablas'!$L$6,"Alta","Muy Alta"))))),"")</f>
        <v/>
      </c>
      <c r="K39" s="155"/>
      <c r="L39" s="156"/>
      <c r="M39" s="150"/>
      <c r="N39" s="151"/>
      <c r="O39" s="151"/>
      <c r="P39" s="152"/>
      <c r="Q39" s="162"/>
      <c r="R39" s="151"/>
      <c r="S39" s="151"/>
      <c r="T39" s="151"/>
      <c r="U39" s="151"/>
      <c r="V39" s="165"/>
      <c r="W39" s="150"/>
      <c r="X39" s="151"/>
      <c r="Y39" s="151"/>
      <c r="Z39" s="151"/>
      <c r="AA39" s="151"/>
      <c r="AB39" s="151"/>
      <c r="AC39" s="163"/>
      <c r="AD39" s="151"/>
      <c r="AE39" s="152"/>
      <c r="AF39" s="173"/>
      <c r="AG39" s="185"/>
      <c r="AH39" s="185"/>
      <c r="AI39" s="186"/>
      <c r="AJ39" s="181"/>
      <c r="AK39" s="181"/>
      <c r="AL39" s="183"/>
      <c r="AM39" s="173"/>
      <c r="AN39" s="187"/>
      <c r="AO39" s="195"/>
      <c r="AP39" s="193"/>
      <c r="AQ39" s="193"/>
      <c r="AR39" s="193"/>
      <c r="AS39" s="193"/>
      <c r="AT39" s="193"/>
      <c r="AU39" s="193"/>
      <c r="AV39" s="194"/>
      <c r="AW39" s="193"/>
      <c r="AX39" s="207"/>
      <c r="AY39" s="208"/>
      <c r="AZ39" s="209"/>
      <c r="BA39" s="209"/>
      <c r="BB39" s="209"/>
      <c r="BC39" s="206"/>
      <c r="BD39" s="206"/>
      <c r="BE39" s="213"/>
      <c r="BF39" s="217"/>
      <c r="BG39" s="209"/>
      <c r="BH39" s="218"/>
      <c r="BI39" s="215"/>
      <c r="BJ39" s="215"/>
      <c r="BK39" s="215"/>
      <c r="BL39" s="215"/>
      <c r="BM39" s="215"/>
      <c r="BN39" s="215"/>
      <c r="BO39" s="216"/>
      <c r="BP39" s="215"/>
      <c r="BQ39" s="228"/>
      <c r="BR39" s="229"/>
      <c r="BS39" s="230"/>
      <c r="BT39" s="230"/>
      <c r="BU39" s="230"/>
      <c r="BV39" s="227"/>
      <c r="BW39" s="227"/>
      <c r="BX39" s="234"/>
      <c r="BY39" s="229"/>
      <c r="BZ39" s="230"/>
      <c r="CA39" s="235"/>
    </row>
    <row r="40" spans="1:79" ht="151.5" customHeight="1">
      <c r="A40" s="134" t="str">
        <f>IFERROR(INDEX(Riesgos!$A$7:$M$84,MATCH(E40,INDEX(Riesgos!$A$7:$M$84,,MATCH(E$7,Riesgos!$A$6:$M$6,0)),0),MATCH(A$7,Riesgos!$A$6:$M$6,0)),"")</f>
        <v/>
      </c>
      <c r="B40" s="135" t="str">
        <f>IFERROR(INDEX(Riesgos!$A$7:$M$84,MATCH(E40,INDEX(Riesgos!$A$7:$M$84,,MATCH(E$7,Riesgos!$A$6:$M$6,0)),0),MATCH(B$7,Riesgos!$A$6:$M$6,0)),"")</f>
        <v/>
      </c>
      <c r="C40" s="135"/>
      <c r="D40" s="136" t="str">
        <f>IFERROR(INDEX(Riesgos!$A$7:$M$84,MATCH(E40,INDEX(Riesgos!$A$7:$M$84,,MATCH(E$7,Riesgos!$A$6:$M$6,0)),0),MATCH(D$7,Riesgos!$A$6:$M$6,0)),"")</f>
        <v/>
      </c>
      <c r="E40" s="137"/>
      <c r="F40" s="137"/>
      <c r="G40" s="138" t="str">
        <f t="shared" si="0"/>
        <v/>
      </c>
      <c r="H40" s="140"/>
      <c r="I40" s="153" t="str">
        <f>IF(A39=A40,IFERROR(IF(AND(#REF!="Probabilidad",#REF!="Probabilidad"),(#REF!-(+#REF!*#REF!)),IF(#REF!="Probabilidad",(#REF!-(+#REF!*#REF!)),IF(#REF!="Impacto",#REF!,""))),""),IFERROR(IF(#REF!="Probabilidad",(#REF!-(+#REF!*#REF!)),IF(#REF!="Impacto",#REF!,"")),""))</f>
        <v/>
      </c>
      <c r="J40" s="154" t="str">
        <f>IFERROR(IF(I40="","",IF(I40&lt;='Listas y tablas'!$L$3,"Muy Baja",IF(I40&lt;='Listas y tablas'!$L$4,"Baja",IF(I40&lt;='Listas y tablas'!$L$5,"Media",IF(I40&lt;='Listas y tablas'!$L$6,"Alta","Muy Alta"))))),"")</f>
        <v/>
      </c>
      <c r="K40" s="155"/>
      <c r="L40" s="156"/>
      <c r="M40" s="150"/>
      <c r="N40" s="151"/>
      <c r="O40" s="151"/>
      <c r="P40" s="152"/>
      <c r="Q40" s="162"/>
      <c r="R40" s="151"/>
      <c r="S40" s="151"/>
      <c r="T40" s="151"/>
      <c r="U40" s="151"/>
      <c r="V40" s="165"/>
      <c r="W40" s="150"/>
      <c r="X40" s="151"/>
      <c r="Y40" s="151"/>
      <c r="Z40" s="151"/>
      <c r="AA40" s="151"/>
      <c r="AB40" s="151"/>
      <c r="AC40" s="163"/>
      <c r="AD40" s="151"/>
      <c r="AE40" s="152"/>
      <c r="AF40" s="173"/>
      <c r="AG40" s="185"/>
      <c r="AH40" s="185"/>
      <c r="AI40" s="186"/>
      <c r="AJ40" s="181"/>
      <c r="AK40" s="181"/>
      <c r="AL40" s="183"/>
      <c r="AM40" s="173"/>
      <c r="AN40" s="187"/>
      <c r="AO40" s="195"/>
      <c r="AP40" s="193"/>
      <c r="AQ40" s="193"/>
      <c r="AR40" s="193"/>
      <c r="AS40" s="193"/>
      <c r="AT40" s="193"/>
      <c r="AU40" s="193"/>
      <c r="AV40" s="194"/>
      <c r="AW40" s="193"/>
      <c r="AX40" s="207"/>
      <c r="AY40" s="208"/>
      <c r="AZ40" s="209"/>
      <c r="BA40" s="209"/>
      <c r="BB40" s="209"/>
      <c r="BC40" s="206"/>
      <c r="BD40" s="206"/>
      <c r="BE40" s="213"/>
      <c r="BF40" s="217"/>
      <c r="BG40" s="209"/>
      <c r="BH40" s="218"/>
      <c r="BI40" s="215"/>
      <c r="BJ40" s="215"/>
      <c r="BK40" s="215"/>
      <c r="BL40" s="215"/>
      <c r="BM40" s="215"/>
      <c r="BN40" s="215"/>
      <c r="BO40" s="216"/>
      <c r="BP40" s="215"/>
      <c r="BQ40" s="228"/>
      <c r="BR40" s="229"/>
      <c r="BS40" s="230"/>
      <c r="BT40" s="230"/>
      <c r="BU40" s="230"/>
      <c r="BV40" s="227"/>
      <c r="BW40" s="227"/>
      <c r="BX40" s="234"/>
      <c r="BY40" s="229"/>
      <c r="BZ40" s="230"/>
      <c r="CA40" s="235"/>
    </row>
    <row r="41" spans="1:79" ht="151.5" customHeight="1">
      <c r="A41" s="134" t="str">
        <f>IFERROR(INDEX(Riesgos!$A$7:$M$84,MATCH(E41,INDEX(Riesgos!$A$7:$M$84,,MATCH(E$7,Riesgos!$A$6:$M$6,0)),0),MATCH(A$7,Riesgos!$A$6:$M$6,0)),"")</f>
        <v/>
      </c>
      <c r="B41" s="135" t="str">
        <f>IFERROR(INDEX(Riesgos!$A$7:$M$84,MATCH(E41,INDEX(Riesgos!$A$7:$M$84,,MATCH(E$7,Riesgos!$A$6:$M$6,0)),0),MATCH(B$7,Riesgos!$A$6:$M$6,0)),"")</f>
        <v/>
      </c>
      <c r="C41" s="135"/>
      <c r="D41" s="136" t="str">
        <f>IFERROR(INDEX(Riesgos!$A$7:$M$84,MATCH(E41,INDEX(Riesgos!$A$7:$M$84,,MATCH(E$7,Riesgos!$A$6:$M$6,0)),0),MATCH(D$7,Riesgos!$A$6:$M$6,0)),"")</f>
        <v/>
      </c>
      <c r="E41" s="137"/>
      <c r="F41" s="137"/>
      <c r="G41" s="138" t="str">
        <f t="shared" ref="G41:G65" si="1">IF(ISTEXT(E41),1+G40,"")</f>
        <v/>
      </c>
      <c r="H41" s="139"/>
      <c r="I41" s="153" t="str">
        <f>IF(A40=A41,IFERROR(IF(AND(#REF!="Probabilidad",#REF!="Probabilidad"),(#REF!-(+#REF!*#REF!)),IF(#REF!="Probabilidad",(#REF!-(+#REF!*#REF!)),IF(#REF!="Impacto",#REF!,""))),""),IFERROR(IF(#REF!="Probabilidad",(#REF!-(+#REF!*#REF!)),IF(#REF!="Impacto",#REF!,"")),""))</f>
        <v/>
      </c>
      <c r="J41" s="154" t="str">
        <f>IFERROR(IF(I41="","",IF(I41&lt;='Listas y tablas'!$L$3,"Muy Baja",IF(I41&lt;='Listas y tablas'!$L$4,"Baja",IF(I41&lt;='Listas y tablas'!$L$5,"Media",IF(I41&lt;='Listas y tablas'!$L$6,"Alta","Muy Alta"))))),"")</f>
        <v/>
      </c>
      <c r="K41" s="155"/>
      <c r="L41" s="156"/>
      <c r="M41" s="150"/>
      <c r="N41" s="151"/>
      <c r="O41" s="151"/>
      <c r="P41" s="152"/>
      <c r="Q41" s="162"/>
      <c r="R41" s="151"/>
      <c r="S41" s="151"/>
      <c r="T41" s="151"/>
      <c r="U41" s="151"/>
      <c r="V41" s="165"/>
      <c r="W41" s="150"/>
      <c r="X41" s="151"/>
      <c r="Y41" s="151"/>
      <c r="Z41" s="151"/>
      <c r="AA41" s="151"/>
      <c r="AB41" s="151"/>
      <c r="AC41" s="163"/>
      <c r="AD41" s="151"/>
      <c r="AE41" s="152"/>
      <c r="AF41" s="173"/>
      <c r="AG41" s="185"/>
      <c r="AH41" s="185"/>
      <c r="AI41" s="186"/>
      <c r="AJ41" s="181"/>
      <c r="AK41" s="181"/>
      <c r="AL41" s="183"/>
      <c r="AM41" s="173"/>
      <c r="AN41" s="187"/>
      <c r="AO41" s="195"/>
      <c r="AP41" s="193"/>
      <c r="AQ41" s="193"/>
      <c r="AR41" s="193"/>
      <c r="AS41" s="193"/>
      <c r="AT41" s="193"/>
      <c r="AU41" s="193"/>
      <c r="AV41" s="194"/>
      <c r="AW41" s="193"/>
      <c r="AX41" s="207"/>
      <c r="AY41" s="208"/>
      <c r="AZ41" s="209"/>
      <c r="BA41" s="209"/>
      <c r="BB41" s="209"/>
      <c r="BC41" s="206"/>
      <c r="BD41" s="206"/>
      <c r="BE41" s="213"/>
      <c r="BF41" s="217"/>
      <c r="BG41" s="209"/>
      <c r="BH41" s="218"/>
      <c r="BI41" s="215"/>
      <c r="BJ41" s="215"/>
      <c r="BK41" s="215"/>
      <c r="BL41" s="215"/>
      <c r="BM41" s="215"/>
      <c r="BN41" s="215"/>
      <c r="BO41" s="216"/>
      <c r="BP41" s="215"/>
      <c r="BQ41" s="228"/>
      <c r="BR41" s="229"/>
      <c r="BS41" s="230"/>
      <c r="BT41" s="230"/>
      <c r="BU41" s="230"/>
      <c r="BV41" s="227"/>
      <c r="BW41" s="227"/>
      <c r="BX41" s="234"/>
      <c r="BY41" s="229"/>
      <c r="BZ41" s="230"/>
      <c r="CA41" s="235"/>
    </row>
    <row r="42" spans="1:79" ht="151.5" customHeight="1">
      <c r="A42" s="134" t="str">
        <f>IFERROR(INDEX(Riesgos!$A$7:$M$84,MATCH(E42,INDEX(Riesgos!$A$7:$M$84,,MATCH(E$7,Riesgos!$A$6:$M$6,0)),0),MATCH(A$7,Riesgos!$A$6:$M$6,0)),"")</f>
        <v/>
      </c>
      <c r="B42" s="135" t="str">
        <f>IFERROR(INDEX(Riesgos!$A$7:$M$84,MATCH(E42,INDEX(Riesgos!$A$7:$M$84,,MATCH(E$7,Riesgos!$A$6:$M$6,0)),0),MATCH(B$7,Riesgos!$A$6:$M$6,0)),"")</f>
        <v/>
      </c>
      <c r="C42" s="135"/>
      <c r="D42" s="136" t="str">
        <f>IFERROR(INDEX(Riesgos!$A$7:$M$84,MATCH(E42,INDEX(Riesgos!$A$7:$M$84,,MATCH(E$7,Riesgos!$A$6:$M$6,0)),0),MATCH(D$7,Riesgos!$A$6:$M$6,0)),"")</f>
        <v/>
      </c>
      <c r="E42" s="137"/>
      <c r="F42" s="137"/>
      <c r="G42" s="138" t="str">
        <f t="shared" si="1"/>
        <v/>
      </c>
      <c r="H42" s="139"/>
      <c r="I42" s="153" t="str">
        <f>IF(A41=A42,IFERROR(IF(AND(#REF!="Probabilidad",#REF!="Probabilidad"),(#REF!-(+#REF!*#REF!)),IF(#REF!="Probabilidad",(#REF!-(+#REF!*#REF!)),IF(#REF!="Impacto",#REF!,""))),""),IFERROR(IF(#REF!="Probabilidad",(#REF!-(+#REF!*#REF!)),IF(#REF!="Impacto",#REF!,"")),""))</f>
        <v/>
      </c>
      <c r="J42" s="154" t="str">
        <f>IFERROR(IF(I42="","",IF(I42&lt;='Listas y tablas'!$L$3,"Muy Baja",IF(I42&lt;='Listas y tablas'!$L$4,"Baja",IF(I42&lt;='Listas y tablas'!$L$5,"Media",IF(I42&lt;='Listas y tablas'!$L$6,"Alta","Muy Alta"))))),"")</f>
        <v/>
      </c>
      <c r="K42" s="155"/>
      <c r="L42" s="156"/>
      <c r="M42" s="150"/>
      <c r="N42" s="151"/>
      <c r="O42" s="151"/>
      <c r="P42" s="152"/>
      <c r="Q42" s="162"/>
      <c r="R42" s="151"/>
      <c r="S42" s="151"/>
      <c r="T42" s="151"/>
      <c r="U42" s="151"/>
      <c r="V42" s="165"/>
      <c r="W42" s="150"/>
      <c r="X42" s="151"/>
      <c r="Y42" s="151"/>
      <c r="Z42" s="151"/>
      <c r="AA42" s="151"/>
      <c r="AB42" s="151"/>
      <c r="AC42" s="163"/>
      <c r="AD42" s="151"/>
      <c r="AE42" s="152"/>
      <c r="AF42" s="173"/>
      <c r="AG42" s="185"/>
      <c r="AH42" s="185"/>
      <c r="AI42" s="186"/>
      <c r="AJ42" s="181"/>
      <c r="AK42" s="181"/>
      <c r="AL42" s="183"/>
      <c r="AM42" s="173"/>
      <c r="AN42" s="187"/>
      <c r="AO42" s="195"/>
      <c r="AP42" s="193"/>
      <c r="AQ42" s="193"/>
      <c r="AR42" s="193"/>
      <c r="AS42" s="193"/>
      <c r="AT42" s="193"/>
      <c r="AU42" s="193"/>
      <c r="AV42" s="194"/>
      <c r="AW42" s="193"/>
      <c r="AX42" s="207"/>
      <c r="AY42" s="208"/>
      <c r="AZ42" s="209"/>
      <c r="BA42" s="209"/>
      <c r="BB42" s="209"/>
      <c r="BC42" s="206"/>
      <c r="BD42" s="206"/>
      <c r="BE42" s="213"/>
      <c r="BF42" s="217"/>
      <c r="BG42" s="209"/>
      <c r="BH42" s="218"/>
      <c r="BI42" s="215"/>
      <c r="BJ42" s="215"/>
      <c r="BK42" s="215"/>
      <c r="BL42" s="215"/>
      <c r="BM42" s="215"/>
      <c r="BN42" s="215"/>
      <c r="BO42" s="216"/>
      <c r="BP42" s="215"/>
      <c r="BQ42" s="228"/>
      <c r="BR42" s="229"/>
      <c r="BS42" s="230"/>
      <c r="BT42" s="230"/>
      <c r="BU42" s="230"/>
      <c r="BV42" s="227"/>
      <c r="BW42" s="227"/>
      <c r="BX42" s="234"/>
      <c r="BY42" s="229"/>
      <c r="BZ42" s="230"/>
      <c r="CA42" s="235"/>
    </row>
    <row r="43" spans="1:79" ht="151.5" customHeight="1">
      <c r="A43" s="134" t="str">
        <f>IFERROR(INDEX(Riesgos!$A$7:$M$84,MATCH(E43,INDEX(Riesgos!$A$7:$M$84,,MATCH(E$7,Riesgos!$A$6:$M$6,0)),0),MATCH(A$7,Riesgos!$A$6:$M$6,0)),"")</f>
        <v/>
      </c>
      <c r="B43" s="135" t="str">
        <f>IFERROR(INDEX(Riesgos!$A$7:$M$84,MATCH(E43,INDEX(Riesgos!$A$7:$M$84,,MATCH(E$7,Riesgos!$A$6:$M$6,0)),0),MATCH(B$7,Riesgos!$A$6:$M$6,0)),"")</f>
        <v/>
      </c>
      <c r="C43" s="135"/>
      <c r="D43" s="136" t="str">
        <f>IFERROR(INDEX(Riesgos!$A$7:$M$84,MATCH(E43,INDEX(Riesgos!$A$7:$M$84,,MATCH(E$7,Riesgos!$A$6:$M$6,0)),0),MATCH(D$7,Riesgos!$A$6:$M$6,0)),"")</f>
        <v/>
      </c>
      <c r="E43" s="137"/>
      <c r="F43" s="137"/>
      <c r="G43" s="138" t="str">
        <f t="shared" si="1"/>
        <v/>
      </c>
      <c r="H43" s="139"/>
      <c r="I43" s="153" t="str">
        <f>IF(A42=A43,IFERROR(IF(AND(#REF!="Probabilidad",#REF!="Probabilidad"),(#REF!-(+#REF!*#REF!)),IF(#REF!="Probabilidad",(#REF!-(+#REF!*#REF!)),IF(#REF!="Impacto",#REF!,""))),""),IFERROR(IF(#REF!="Probabilidad",(#REF!-(+#REF!*#REF!)),IF(#REF!="Impacto",#REF!,"")),""))</f>
        <v/>
      </c>
      <c r="J43" s="154" t="str">
        <f>IFERROR(IF(I43="","",IF(I43&lt;='Listas y tablas'!$L$3,"Muy Baja",IF(I43&lt;='Listas y tablas'!$L$4,"Baja",IF(I43&lt;='Listas y tablas'!$L$5,"Media",IF(I43&lt;='Listas y tablas'!$L$6,"Alta","Muy Alta"))))),"")</f>
        <v/>
      </c>
      <c r="K43" s="155"/>
      <c r="L43" s="156"/>
      <c r="M43" s="150"/>
      <c r="N43" s="151"/>
      <c r="O43" s="151"/>
      <c r="P43" s="152"/>
      <c r="Q43" s="162"/>
      <c r="R43" s="151"/>
      <c r="S43" s="151"/>
      <c r="T43" s="151"/>
      <c r="U43" s="151"/>
      <c r="V43" s="165"/>
      <c r="W43" s="150"/>
      <c r="X43" s="151"/>
      <c r="Y43" s="151"/>
      <c r="Z43" s="151"/>
      <c r="AA43" s="151"/>
      <c r="AB43" s="151"/>
      <c r="AC43" s="163"/>
      <c r="AD43" s="151"/>
      <c r="AE43" s="152"/>
      <c r="AF43" s="173"/>
      <c r="AG43" s="185"/>
      <c r="AH43" s="185"/>
      <c r="AI43" s="186"/>
      <c r="AJ43" s="181"/>
      <c r="AK43" s="181"/>
      <c r="AL43" s="183"/>
      <c r="AM43" s="173"/>
      <c r="AN43" s="187"/>
      <c r="AO43" s="195"/>
      <c r="AP43" s="193"/>
      <c r="AQ43" s="193"/>
      <c r="AR43" s="193"/>
      <c r="AS43" s="193"/>
      <c r="AT43" s="193"/>
      <c r="AU43" s="193"/>
      <c r="AV43" s="194"/>
      <c r="AW43" s="193"/>
      <c r="AX43" s="207"/>
      <c r="AY43" s="208"/>
      <c r="AZ43" s="209"/>
      <c r="BA43" s="209"/>
      <c r="BB43" s="209"/>
      <c r="BC43" s="206"/>
      <c r="BD43" s="206"/>
      <c r="BE43" s="213"/>
      <c r="BF43" s="217"/>
      <c r="BG43" s="209"/>
      <c r="BH43" s="218"/>
      <c r="BI43" s="215"/>
      <c r="BJ43" s="215"/>
      <c r="BK43" s="215"/>
      <c r="BL43" s="215"/>
      <c r="BM43" s="215"/>
      <c r="BN43" s="215"/>
      <c r="BO43" s="216"/>
      <c r="BP43" s="215"/>
      <c r="BQ43" s="228"/>
      <c r="BR43" s="229"/>
      <c r="BS43" s="230"/>
      <c r="BT43" s="230"/>
      <c r="BU43" s="230"/>
      <c r="BV43" s="227"/>
      <c r="BW43" s="227"/>
      <c r="BX43" s="234"/>
      <c r="BY43" s="229"/>
      <c r="BZ43" s="230"/>
      <c r="CA43" s="235"/>
    </row>
    <row r="44" spans="1:79" ht="151.5" customHeight="1">
      <c r="A44" s="134" t="str">
        <f>IFERROR(INDEX(Riesgos!$A$7:$M$84,MATCH(E44,INDEX(Riesgos!$A$7:$M$84,,MATCH(E$7,Riesgos!$A$6:$M$6,0)),0),MATCH(A$7,Riesgos!$A$6:$M$6,0)),"")</f>
        <v/>
      </c>
      <c r="B44" s="135" t="str">
        <f>IFERROR(INDEX(Riesgos!$A$7:$M$84,MATCH(E44,INDEX(Riesgos!$A$7:$M$84,,MATCH(E$7,Riesgos!$A$6:$M$6,0)),0),MATCH(B$7,Riesgos!$A$6:$M$6,0)),"")</f>
        <v/>
      </c>
      <c r="C44" s="135"/>
      <c r="D44" s="136" t="str">
        <f>IFERROR(INDEX(Riesgos!$A$7:$M$84,MATCH(E44,INDEX(Riesgos!$A$7:$M$84,,MATCH(E$7,Riesgos!$A$6:$M$6,0)),0),MATCH(D$7,Riesgos!$A$6:$M$6,0)),"")</f>
        <v/>
      </c>
      <c r="E44" s="137"/>
      <c r="F44" s="137"/>
      <c r="G44" s="138" t="str">
        <f t="shared" si="1"/>
        <v/>
      </c>
      <c r="H44" s="139"/>
      <c r="I44" s="153" t="str">
        <f>IF(A43=A44,IFERROR(IF(AND(#REF!="Probabilidad",#REF!="Probabilidad"),(#REF!-(+#REF!*#REF!)),IF(#REF!="Probabilidad",(#REF!-(+#REF!*#REF!)),IF(#REF!="Impacto",#REF!,""))),""),IFERROR(IF(#REF!="Probabilidad",(#REF!-(+#REF!*#REF!)),IF(#REF!="Impacto",#REF!,"")),""))</f>
        <v/>
      </c>
      <c r="J44" s="154" t="str">
        <f>IFERROR(IF(I44="","",IF(I44&lt;='Listas y tablas'!$L$3,"Muy Baja",IF(I44&lt;='Listas y tablas'!$L$4,"Baja",IF(I44&lt;='Listas y tablas'!$L$5,"Media",IF(I44&lt;='Listas y tablas'!$L$6,"Alta","Muy Alta"))))),"")</f>
        <v/>
      </c>
      <c r="K44" s="155"/>
      <c r="L44" s="156"/>
      <c r="M44" s="150"/>
      <c r="N44" s="151"/>
      <c r="O44" s="151"/>
      <c r="P44" s="152"/>
      <c r="Q44" s="162"/>
      <c r="R44" s="151"/>
      <c r="S44" s="151"/>
      <c r="T44" s="151"/>
      <c r="U44" s="151"/>
      <c r="V44" s="165"/>
      <c r="W44" s="150"/>
      <c r="X44" s="151"/>
      <c r="Y44" s="151"/>
      <c r="Z44" s="151"/>
      <c r="AA44" s="151"/>
      <c r="AB44" s="151"/>
      <c r="AC44" s="163"/>
      <c r="AD44" s="151"/>
      <c r="AE44" s="152"/>
      <c r="AF44" s="173"/>
      <c r="AG44" s="185"/>
      <c r="AH44" s="185"/>
      <c r="AI44" s="186"/>
      <c r="AJ44" s="181"/>
      <c r="AK44" s="181"/>
      <c r="AL44" s="183"/>
      <c r="AM44" s="173"/>
      <c r="AN44" s="187"/>
      <c r="AO44" s="195"/>
      <c r="AP44" s="193"/>
      <c r="AQ44" s="193"/>
      <c r="AR44" s="193"/>
      <c r="AS44" s="193"/>
      <c r="AT44" s="193"/>
      <c r="AU44" s="193"/>
      <c r="AV44" s="194"/>
      <c r="AW44" s="193"/>
      <c r="AX44" s="207"/>
      <c r="AY44" s="208"/>
      <c r="AZ44" s="209"/>
      <c r="BA44" s="209"/>
      <c r="BB44" s="209"/>
      <c r="BC44" s="206"/>
      <c r="BD44" s="206"/>
      <c r="BE44" s="213"/>
      <c r="BF44" s="217"/>
      <c r="BG44" s="209"/>
      <c r="BH44" s="218"/>
      <c r="BI44" s="215"/>
      <c r="BJ44" s="215"/>
      <c r="BK44" s="215"/>
      <c r="BL44" s="215"/>
      <c r="BM44" s="215"/>
      <c r="BN44" s="215"/>
      <c r="BO44" s="216"/>
      <c r="BP44" s="215"/>
      <c r="BQ44" s="228"/>
      <c r="BR44" s="229"/>
      <c r="BS44" s="230"/>
      <c r="BT44" s="230"/>
      <c r="BU44" s="230"/>
      <c r="BV44" s="227"/>
      <c r="BW44" s="227"/>
      <c r="BX44" s="234"/>
      <c r="BY44" s="229"/>
      <c r="BZ44" s="230"/>
      <c r="CA44" s="235"/>
    </row>
    <row r="45" spans="1:79" ht="151.5" customHeight="1">
      <c r="A45" s="134" t="str">
        <f>IFERROR(INDEX(Riesgos!$A$7:$M$84,MATCH(E45,INDEX(Riesgos!$A$7:$M$84,,MATCH(E$7,Riesgos!$A$6:$M$6,0)),0),MATCH(A$7,Riesgos!$A$6:$M$6,0)),"")</f>
        <v/>
      </c>
      <c r="B45" s="135" t="str">
        <f>IFERROR(INDEX(Riesgos!$A$7:$M$84,MATCH(E45,INDEX(Riesgos!$A$7:$M$84,,MATCH(E$7,Riesgos!$A$6:$M$6,0)),0),MATCH(B$7,Riesgos!$A$6:$M$6,0)),"")</f>
        <v/>
      </c>
      <c r="C45" s="135"/>
      <c r="D45" s="136" t="str">
        <f>IFERROR(INDEX(Riesgos!$A$7:$M$84,MATCH(E45,INDEX(Riesgos!$A$7:$M$84,,MATCH(E$7,Riesgos!$A$6:$M$6,0)),0),MATCH(D$7,Riesgos!$A$6:$M$6,0)),"")</f>
        <v/>
      </c>
      <c r="E45" s="137"/>
      <c r="F45" s="137"/>
      <c r="G45" s="138" t="str">
        <f t="shared" si="1"/>
        <v/>
      </c>
      <c r="H45" s="139"/>
      <c r="I45" s="153" t="str">
        <f>IF(A44=A45,IFERROR(IF(AND(#REF!="Probabilidad",#REF!="Probabilidad"),(#REF!-(+#REF!*#REF!)),IF(#REF!="Probabilidad",(#REF!-(+#REF!*#REF!)),IF(#REF!="Impacto",#REF!,""))),""),IFERROR(IF(#REF!="Probabilidad",(#REF!-(+#REF!*#REF!)),IF(#REF!="Impacto",#REF!,"")),""))</f>
        <v/>
      </c>
      <c r="J45" s="154" t="str">
        <f>IFERROR(IF(I45="","",IF(I45&lt;='Listas y tablas'!$L$3,"Muy Baja",IF(I45&lt;='Listas y tablas'!$L$4,"Baja",IF(I45&lt;='Listas y tablas'!$L$5,"Media",IF(I45&lt;='Listas y tablas'!$L$6,"Alta","Muy Alta"))))),"")</f>
        <v/>
      </c>
      <c r="K45" s="155"/>
      <c r="L45" s="156"/>
      <c r="M45" s="150"/>
      <c r="N45" s="151"/>
      <c r="O45" s="151"/>
      <c r="P45" s="152"/>
      <c r="Q45" s="162"/>
      <c r="R45" s="151"/>
      <c r="S45" s="151"/>
      <c r="T45" s="151"/>
      <c r="U45" s="151"/>
      <c r="V45" s="165"/>
      <c r="W45" s="150"/>
      <c r="X45" s="151"/>
      <c r="Y45" s="151"/>
      <c r="Z45" s="151"/>
      <c r="AA45" s="151"/>
      <c r="AB45" s="151"/>
      <c r="AC45" s="163"/>
      <c r="AD45" s="151"/>
      <c r="AE45" s="152"/>
      <c r="AF45" s="173"/>
      <c r="AG45" s="185"/>
      <c r="AH45" s="185"/>
      <c r="AI45" s="186"/>
      <c r="AJ45" s="181"/>
      <c r="AK45" s="181"/>
      <c r="AL45" s="183"/>
      <c r="AM45" s="173"/>
      <c r="AN45" s="187"/>
      <c r="AO45" s="195"/>
      <c r="AP45" s="193"/>
      <c r="AQ45" s="193"/>
      <c r="AR45" s="193"/>
      <c r="AS45" s="193"/>
      <c r="AT45" s="193"/>
      <c r="AU45" s="193"/>
      <c r="AV45" s="194"/>
      <c r="AW45" s="193"/>
      <c r="AX45" s="207"/>
      <c r="AY45" s="208"/>
      <c r="AZ45" s="209"/>
      <c r="BA45" s="209"/>
      <c r="BB45" s="209"/>
      <c r="BC45" s="206"/>
      <c r="BD45" s="206"/>
      <c r="BE45" s="213"/>
      <c r="BF45" s="217"/>
      <c r="BG45" s="209"/>
      <c r="BH45" s="218"/>
      <c r="BI45" s="215"/>
      <c r="BJ45" s="215"/>
      <c r="BK45" s="215"/>
      <c r="BL45" s="215"/>
      <c r="BM45" s="215"/>
      <c r="BN45" s="215"/>
      <c r="BO45" s="216"/>
      <c r="BP45" s="215"/>
      <c r="BQ45" s="228"/>
      <c r="BR45" s="229"/>
      <c r="BS45" s="230"/>
      <c r="BT45" s="230"/>
      <c r="BU45" s="230"/>
      <c r="BV45" s="227"/>
      <c r="BW45" s="227"/>
      <c r="BX45" s="234"/>
      <c r="BY45" s="229"/>
      <c r="BZ45" s="230"/>
      <c r="CA45" s="235"/>
    </row>
    <row r="46" spans="1:79" ht="151.5" customHeight="1">
      <c r="A46" s="134" t="str">
        <f>IFERROR(INDEX(Riesgos!$A$7:$M$84,MATCH(E46,INDEX(Riesgos!$A$7:$M$84,,MATCH(E$7,Riesgos!$A$6:$M$6,0)),0),MATCH(A$7,Riesgos!$A$6:$M$6,0)),"")</f>
        <v/>
      </c>
      <c r="B46" s="135" t="str">
        <f>IFERROR(INDEX(Riesgos!$A$7:$M$84,MATCH(E46,INDEX(Riesgos!$A$7:$M$84,,MATCH(E$7,Riesgos!$A$6:$M$6,0)),0),MATCH(B$7,Riesgos!$A$6:$M$6,0)),"")</f>
        <v/>
      </c>
      <c r="C46" s="135"/>
      <c r="D46" s="136" t="str">
        <f>IFERROR(INDEX(Riesgos!$A$7:$M$84,MATCH(E46,INDEX(Riesgos!$A$7:$M$84,,MATCH(E$7,Riesgos!$A$6:$M$6,0)),0),MATCH(D$7,Riesgos!$A$6:$M$6,0)),"")</f>
        <v/>
      </c>
      <c r="E46" s="137"/>
      <c r="F46" s="137"/>
      <c r="G46" s="138" t="str">
        <f t="shared" si="1"/>
        <v/>
      </c>
      <c r="H46" s="140"/>
      <c r="I46" s="153" t="str">
        <f>IF(A45=A46,IFERROR(IF(AND(#REF!="Probabilidad",#REF!="Probabilidad"),(#REF!-(+#REF!*#REF!)),IF(#REF!="Probabilidad",(#REF!-(+#REF!*#REF!)),IF(#REF!="Impacto",#REF!,""))),""),IFERROR(IF(#REF!="Probabilidad",(#REF!-(+#REF!*#REF!)),IF(#REF!="Impacto",#REF!,"")),""))</f>
        <v/>
      </c>
      <c r="J46" s="154" t="str">
        <f>IFERROR(IF(I46="","",IF(I46&lt;='Listas y tablas'!$L$3,"Muy Baja",IF(I46&lt;='Listas y tablas'!$L$4,"Baja",IF(I46&lt;='Listas y tablas'!$L$5,"Media",IF(I46&lt;='Listas y tablas'!$L$6,"Alta","Muy Alta"))))),"")</f>
        <v/>
      </c>
      <c r="K46" s="155"/>
      <c r="L46" s="156"/>
      <c r="M46" s="150"/>
      <c r="N46" s="151"/>
      <c r="O46" s="151"/>
      <c r="P46" s="152"/>
      <c r="Q46" s="162"/>
      <c r="R46" s="151"/>
      <c r="S46" s="151"/>
      <c r="T46" s="151"/>
      <c r="U46" s="151"/>
      <c r="V46" s="165"/>
      <c r="W46" s="150"/>
      <c r="X46" s="151"/>
      <c r="Y46" s="151"/>
      <c r="Z46" s="151"/>
      <c r="AA46" s="151"/>
      <c r="AB46" s="151"/>
      <c r="AC46" s="163"/>
      <c r="AD46" s="151"/>
      <c r="AE46" s="152"/>
      <c r="AF46" s="173"/>
      <c r="AG46" s="185"/>
      <c r="AH46" s="185"/>
      <c r="AI46" s="186"/>
      <c r="AJ46" s="181"/>
      <c r="AK46" s="181"/>
      <c r="AL46" s="183"/>
      <c r="AM46" s="173"/>
      <c r="AN46" s="187"/>
      <c r="AO46" s="195"/>
      <c r="AP46" s="193"/>
      <c r="AQ46" s="193"/>
      <c r="AR46" s="193"/>
      <c r="AS46" s="193"/>
      <c r="AT46" s="193"/>
      <c r="AU46" s="193"/>
      <c r="AV46" s="194"/>
      <c r="AW46" s="193"/>
      <c r="AX46" s="207"/>
      <c r="AY46" s="208"/>
      <c r="AZ46" s="209"/>
      <c r="BA46" s="209"/>
      <c r="BB46" s="209"/>
      <c r="BC46" s="206"/>
      <c r="BD46" s="206"/>
      <c r="BE46" s="213"/>
      <c r="BF46" s="217"/>
      <c r="BG46" s="209"/>
      <c r="BH46" s="218"/>
      <c r="BI46" s="215"/>
      <c r="BJ46" s="215"/>
      <c r="BK46" s="215"/>
      <c r="BL46" s="215"/>
      <c r="BM46" s="215"/>
      <c r="BN46" s="215"/>
      <c r="BO46" s="216"/>
      <c r="BP46" s="215"/>
      <c r="BQ46" s="228"/>
      <c r="BR46" s="229"/>
      <c r="BS46" s="230"/>
      <c r="BT46" s="230"/>
      <c r="BU46" s="230"/>
      <c r="BV46" s="227"/>
      <c r="BW46" s="227"/>
      <c r="BX46" s="234"/>
      <c r="BY46" s="229"/>
      <c r="BZ46" s="230"/>
      <c r="CA46" s="235"/>
    </row>
    <row r="47" spans="1:79" ht="151.5" customHeight="1">
      <c r="A47" s="134" t="str">
        <f>IFERROR(INDEX(Riesgos!$A$7:$M$84,MATCH(E47,INDEX(Riesgos!$A$7:$M$84,,MATCH(E$7,Riesgos!$A$6:$M$6,0)),0),MATCH(A$7,Riesgos!$A$6:$M$6,0)),"")</f>
        <v/>
      </c>
      <c r="B47" s="135" t="str">
        <f>IFERROR(INDEX(Riesgos!$A$7:$M$84,MATCH(E47,INDEX(Riesgos!$A$7:$M$84,,MATCH(E$7,Riesgos!$A$6:$M$6,0)),0),MATCH(B$7,Riesgos!$A$6:$M$6,0)),"")</f>
        <v/>
      </c>
      <c r="C47" s="135"/>
      <c r="D47" s="136" t="str">
        <f>IFERROR(INDEX(Riesgos!$A$7:$M$84,MATCH(E47,INDEX(Riesgos!$A$7:$M$84,,MATCH(E$7,Riesgos!$A$6:$M$6,0)),0),MATCH(D$7,Riesgos!$A$6:$M$6,0)),"")</f>
        <v/>
      </c>
      <c r="E47" s="137"/>
      <c r="F47" s="137"/>
      <c r="G47" s="138" t="str">
        <f t="shared" si="1"/>
        <v/>
      </c>
      <c r="H47" s="139"/>
      <c r="I47" s="153" t="str">
        <f>IF(A46=A47,IFERROR(IF(AND(#REF!="Probabilidad",#REF!="Probabilidad"),(#REF!-(+#REF!*#REF!)),IF(#REF!="Probabilidad",(#REF!-(+#REF!*#REF!)),IF(#REF!="Impacto",#REF!,""))),""),IFERROR(IF(#REF!="Probabilidad",(#REF!-(+#REF!*#REF!)),IF(#REF!="Impacto",#REF!,"")),""))</f>
        <v/>
      </c>
      <c r="J47" s="154" t="str">
        <f>IFERROR(IF(I47="","",IF(I47&lt;='Listas y tablas'!$L$3,"Muy Baja",IF(I47&lt;='Listas y tablas'!$L$4,"Baja",IF(I47&lt;='Listas y tablas'!$L$5,"Media",IF(I47&lt;='Listas y tablas'!$L$6,"Alta","Muy Alta"))))),"")</f>
        <v/>
      </c>
      <c r="K47" s="155"/>
      <c r="L47" s="156"/>
      <c r="M47" s="150"/>
      <c r="N47" s="151"/>
      <c r="O47" s="151"/>
      <c r="P47" s="152"/>
      <c r="Q47" s="162"/>
      <c r="R47" s="151"/>
      <c r="S47" s="151"/>
      <c r="T47" s="151"/>
      <c r="U47" s="151"/>
      <c r="V47" s="165"/>
      <c r="W47" s="150"/>
      <c r="X47" s="151"/>
      <c r="Y47" s="151"/>
      <c r="Z47" s="151"/>
      <c r="AA47" s="151"/>
      <c r="AB47" s="151"/>
      <c r="AC47" s="163"/>
      <c r="AD47" s="151"/>
      <c r="AE47" s="152"/>
      <c r="AF47" s="173"/>
      <c r="AG47" s="185"/>
      <c r="AH47" s="185"/>
      <c r="AI47" s="186"/>
      <c r="AJ47" s="181"/>
      <c r="AK47" s="181"/>
      <c r="AL47" s="183"/>
      <c r="AM47" s="173"/>
      <c r="AN47" s="187"/>
      <c r="AO47" s="195"/>
      <c r="AP47" s="193"/>
      <c r="AQ47" s="193"/>
      <c r="AR47" s="193"/>
      <c r="AS47" s="193"/>
      <c r="AT47" s="193"/>
      <c r="AU47" s="193"/>
      <c r="AV47" s="194"/>
      <c r="AW47" s="193"/>
      <c r="AX47" s="207"/>
      <c r="AY47" s="208"/>
      <c r="AZ47" s="209"/>
      <c r="BA47" s="209"/>
      <c r="BB47" s="209"/>
      <c r="BC47" s="206"/>
      <c r="BD47" s="206"/>
      <c r="BE47" s="213"/>
      <c r="BF47" s="217"/>
      <c r="BG47" s="209"/>
      <c r="BH47" s="218"/>
      <c r="BI47" s="215"/>
      <c r="BJ47" s="215"/>
      <c r="BK47" s="215"/>
      <c r="BL47" s="215"/>
      <c r="BM47" s="215"/>
      <c r="BN47" s="215"/>
      <c r="BO47" s="216"/>
      <c r="BP47" s="215"/>
      <c r="BQ47" s="228"/>
      <c r="BR47" s="229"/>
      <c r="BS47" s="230"/>
      <c r="BT47" s="230"/>
      <c r="BU47" s="230"/>
      <c r="BV47" s="227"/>
      <c r="BW47" s="227"/>
      <c r="BX47" s="234"/>
      <c r="BY47" s="229"/>
      <c r="BZ47" s="230"/>
      <c r="CA47" s="235"/>
    </row>
    <row r="48" spans="1:79" ht="151.5" customHeight="1">
      <c r="A48" s="134" t="str">
        <f>IFERROR(INDEX(Riesgos!$A$7:$M$84,MATCH(E48,INDEX(Riesgos!$A$7:$M$84,,MATCH(E$7,Riesgos!$A$6:$M$6,0)),0),MATCH(A$7,Riesgos!$A$6:$M$6,0)),"")</f>
        <v/>
      </c>
      <c r="B48" s="135" t="str">
        <f>IFERROR(INDEX(Riesgos!$A$7:$M$84,MATCH(E48,INDEX(Riesgos!$A$7:$M$84,,MATCH(E$7,Riesgos!$A$6:$M$6,0)),0),MATCH(B$7,Riesgos!$A$6:$M$6,0)),"")</f>
        <v/>
      </c>
      <c r="C48" s="135"/>
      <c r="D48" s="136" t="str">
        <f>IFERROR(INDEX(Riesgos!$A$7:$M$84,MATCH(E48,INDEX(Riesgos!$A$7:$M$84,,MATCH(E$7,Riesgos!$A$6:$M$6,0)),0),MATCH(D$7,Riesgos!$A$6:$M$6,0)),"")</f>
        <v/>
      </c>
      <c r="E48" s="137"/>
      <c r="F48" s="137"/>
      <c r="G48" s="138" t="str">
        <f t="shared" si="1"/>
        <v/>
      </c>
      <c r="H48" s="139"/>
      <c r="I48" s="153" t="str">
        <f>IF(A47=A48,IFERROR(IF(AND(#REF!="Probabilidad",#REF!="Probabilidad"),(#REF!-(+#REF!*#REF!)),IF(#REF!="Probabilidad",(#REF!-(+#REF!*#REF!)),IF(#REF!="Impacto",#REF!,""))),""),IFERROR(IF(#REF!="Probabilidad",(#REF!-(+#REF!*#REF!)),IF(#REF!="Impacto",#REF!,"")),""))</f>
        <v/>
      </c>
      <c r="J48" s="154" t="str">
        <f>IFERROR(IF(I48="","",IF(I48&lt;='Listas y tablas'!$L$3,"Muy Baja",IF(I48&lt;='Listas y tablas'!$L$4,"Baja",IF(I48&lt;='Listas y tablas'!$L$5,"Media",IF(I48&lt;='Listas y tablas'!$L$6,"Alta","Muy Alta"))))),"")</f>
        <v/>
      </c>
      <c r="K48" s="155"/>
      <c r="L48" s="156"/>
      <c r="M48" s="150"/>
      <c r="N48" s="151"/>
      <c r="O48" s="151"/>
      <c r="P48" s="152"/>
      <c r="Q48" s="162"/>
      <c r="R48" s="151"/>
      <c r="S48" s="151"/>
      <c r="T48" s="151"/>
      <c r="U48" s="151"/>
      <c r="V48" s="165"/>
      <c r="W48" s="150"/>
      <c r="X48" s="151"/>
      <c r="Y48" s="151"/>
      <c r="Z48" s="151"/>
      <c r="AA48" s="151"/>
      <c r="AB48" s="151"/>
      <c r="AC48" s="163"/>
      <c r="AD48" s="151"/>
      <c r="AE48" s="152"/>
      <c r="AF48" s="173"/>
      <c r="AG48" s="185"/>
      <c r="AH48" s="185"/>
      <c r="AI48" s="186"/>
      <c r="AJ48" s="181"/>
      <c r="AK48" s="181"/>
      <c r="AL48" s="183"/>
      <c r="AM48" s="173"/>
      <c r="AN48" s="187"/>
      <c r="AO48" s="195"/>
      <c r="AP48" s="193"/>
      <c r="AQ48" s="193"/>
      <c r="AR48" s="193"/>
      <c r="AS48" s="193"/>
      <c r="AT48" s="193"/>
      <c r="AU48" s="193"/>
      <c r="AV48" s="194"/>
      <c r="AW48" s="193"/>
      <c r="AX48" s="207"/>
      <c r="AY48" s="208"/>
      <c r="AZ48" s="209"/>
      <c r="BA48" s="209"/>
      <c r="BB48" s="209"/>
      <c r="BC48" s="206"/>
      <c r="BD48" s="206"/>
      <c r="BE48" s="213"/>
      <c r="BF48" s="217"/>
      <c r="BG48" s="209"/>
      <c r="BH48" s="218"/>
      <c r="BI48" s="215"/>
      <c r="BJ48" s="215"/>
      <c r="BK48" s="215"/>
      <c r="BL48" s="215"/>
      <c r="BM48" s="215"/>
      <c r="BN48" s="215"/>
      <c r="BO48" s="216"/>
      <c r="BP48" s="215"/>
      <c r="BQ48" s="228"/>
      <c r="BR48" s="229"/>
      <c r="BS48" s="230"/>
      <c r="BT48" s="230"/>
      <c r="BU48" s="230"/>
      <c r="BV48" s="227"/>
      <c r="BW48" s="227"/>
      <c r="BX48" s="234"/>
      <c r="BY48" s="229"/>
      <c r="BZ48" s="230"/>
      <c r="CA48" s="235"/>
    </row>
    <row r="49" spans="1:79" ht="151.5" customHeight="1">
      <c r="A49" s="134" t="str">
        <f>IFERROR(INDEX(Riesgos!$A$7:$M$84,MATCH(E49,INDEX(Riesgos!$A$7:$M$84,,MATCH(E$7,Riesgos!$A$6:$M$6,0)),0),MATCH(A$7,Riesgos!$A$6:$M$6,0)),"")</f>
        <v/>
      </c>
      <c r="B49" s="135" t="str">
        <f>IFERROR(INDEX(Riesgos!$A$7:$M$84,MATCH(E49,INDEX(Riesgos!$A$7:$M$84,,MATCH(E$7,Riesgos!$A$6:$M$6,0)),0),MATCH(B$7,Riesgos!$A$6:$M$6,0)),"")</f>
        <v/>
      </c>
      <c r="C49" s="135"/>
      <c r="D49" s="136" t="str">
        <f>IFERROR(INDEX(Riesgos!$A$7:$M$84,MATCH(E49,INDEX(Riesgos!$A$7:$M$84,,MATCH(E$7,Riesgos!$A$6:$M$6,0)),0),MATCH(D$7,Riesgos!$A$6:$M$6,0)),"")</f>
        <v/>
      </c>
      <c r="E49" s="137"/>
      <c r="F49" s="137"/>
      <c r="G49" s="138" t="str">
        <f t="shared" si="1"/>
        <v/>
      </c>
      <c r="H49" s="139"/>
      <c r="I49" s="153" t="str">
        <f>IF(A48=A49,IFERROR(IF(AND(#REF!="Probabilidad",#REF!="Probabilidad"),(#REF!-(+#REF!*#REF!)),IF(#REF!="Probabilidad",(#REF!-(+#REF!*#REF!)),IF(#REF!="Impacto",#REF!,""))),""),IFERROR(IF(#REF!="Probabilidad",(#REF!-(+#REF!*#REF!)),IF(#REF!="Impacto",#REF!,"")),""))</f>
        <v/>
      </c>
      <c r="J49" s="154" t="str">
        <f>IFERROR(IF(I49="","",IF(I49&lt;='Listas y tablas'!$L$3,"Muy Baja",IF(I49&lt;='Listas y tablas'!$L$4,"Baja",IF(I49&lt;='Listas y tablas'!$L$5,"Media",IF(I49&lt;='Listas y tablas'!$L$6,"Alta","Muy Alta"))))),"")</f>
        <v/>
      </c>
      <c r="K49" s="155"/>
      <c r="L49" s="156"/>
      <c r="M49" s="150"/>
      <c r="N49" s="151"/>
      <c r="O49" s="151"/>
      <c r="P49" s="152"/>
      <c r="Q49" s="162"/>
      <c r="R49" s="151"/>
      <c r="S49" s="151"/>
      <c r="T49" s="151"/>
      <c r="U49" s="151"/>
      <c r="V49" s="165"/>
      <c r="W49" s="150"/>
      <c r="X49" s="151"/>
      <c r="Y49" s="151"/>
      <c r="Z49" s="151"/>
      <c r="AA49" s="151"/>
      <c r="AB49" s="151"/>
      <c r="AC49" s="163"/>
      <c r="AD49" s="151"/>
      <c r="AE49" s="152"/>
      <c r="AF49" s="173"/>
      <c r="AG49" s="185"/>
      <c r="AH49" s="185"/>
      <c r="AI49" s="186"/>
      <c r="AJ49" s="181"/>
      <c r="AK49" s="181"/>
      <c r="AL49" s="183"/>
      <c r="AM49" s="173"/>
      <c r="AN49" s="187"/>
      <c r="AO49" s="195"/>
      <c r="AP49" s="193"/>
      <c r="AQ49" s="193"/>
      <c r="AR49" s="193"/>
      <c r="AS49" s="193"/>
      <c r="AT49" s="193"/>
      <c r="AU49" s="193"/>
      <c r="AV49" s="194"/>
      <c r="AW49" s="193"/>
      <c r="AX49" s="207"/>
      <c r="AY49" s="208"/>
      <c r="AZ49" s="209"/>
      <c r="BA49" s="209"/>
      <c r="BB49" s="209"/>
      <c r="BC49" s="206"/>
      <c r="BD49" s="206"/>
      <c r="BE49" s="213"/>
      <c r="BF49" s="217"/>
      <c r="BG49" s="209"/>
      <c r="BH49" s="218"/>
      <c r="BI49" s="215"/>
      <c r="BJ49" s="215"/>
      <c r="BK49" s="215"/>
      <c r="BL49" s="215"/>
      <c r="BM49" s="215"/>
      <c r="BN49" s="215"/>
      <c r="BO49" s="216"/>
      <c r="BP49" s="215"/>
      <c r="BQ49" s="228"/>
      <c r="BR49" s="229"/>
      <c r="BS49" s="230"/>
      <c r="BT49" s="230"/>
      <c r="BU49" s="230"/>
      <c r="BV49" s="227"/>
      <c r="BW49" s="227"/>
      <c r="BX49" s="234"/>
      <c r="BY49" s="229"/>
      <c r="BZ49" s="230"/>
      <c r="CA49" s="235"/>
    </row>
    <row r="50" spans="1:79" ht="151.5" customHeight="1">
      <c r="A50" s="134" t="str">
        <f>IFERROR(INDEX(Riesgos!$A$7:$M$84,MATCH(E50,INDEX(Riesgos!$A$7:$M$84,,MATCH(E$7,Riesgos!$A$6:$M$6,0)),0),MATCH(A$7,Riesgos!$A$6:$M$6,0)),"")</f>
        <v/>
      </c>
      <c r="B50" s="135" t="str">
        <f>IFERROR(INDEX(Riesgos!$A$7:$M$84,MATCH(E50,INDEX(Riesgos!$A$7:$M$84,,MATCH(E$7,Riesgos!$A$6:$M$6,0)),0),MATCH(B$7,Riesgos!$A$6:$M$6,0)),"")</f>
        <v/>
      </c>
      <c r="C50" s="135"/>
      <c r="D50" s="136" t="str">
        <f>IFERROR(INDEX(Riesgos!$A$7:$M$84,MATCH(E50,INDEX(Riesgos!$A$7:$M$84,,MATCH(E$7,Riesgos!$A$6:$M$6,0)),0),MATCH(D$7,Riesgos!$A$6:$M$6,0)),"")</f>
        <v/>
      </c>
      <c r="E50" s="137"/>
      <c r="F50" s="137"/>
      <c r="G50" s="138" t="str">
        <f t="shared" si="1"/>
        <v/>
      </c>
      <c r="H50" s="139"/>
      <c r="I50" s="153" t="str">
        <f>IF(A49=A50,IFERROR(IF(AND(#REF!="Probabilidad",#REF!="Probabilidad"),(#REF!-(+#REF!*#REF!)),IF(#REF!="Probabilidad",(#REF!-(+#REF!*#REF!)),IF(#REF!="Impacto",#REF!,""))),""),IFERROR(IF(#REF!="Probabilidad",(#REF!-(+#REF!*#REF!)),IF(#REF!="Impacto",#REF!,"")),""))</f>
        <v/>
      </c>
      <c r="J50" s="154" t="str">
        <f>IFERROR(IF(I50="","",IF(I50&lt;='Listas y tablas'!$L$3,"Muy Baja",IF(I50&lt;='Listas y tablas'!$L$4,"Baja",IF(I50&lt;='Listas y tablas'!$L$5,"Media",IF(I50&lt;='Listas y tablas'!$L$6,"Alta","Muy Alta"))))),"")</f>
        <v/>
      </c>
      <c r="K50" s="155"/>
      <c r="L50" s="156"/>
      <c r="M50" s="150"/>
      <c r="N50" s="151"/>
      <c r="O50" s="151"/>
      <c r="P50" s="152"/>
      <c r="Q50" s="162"/>
      <c r="R50" s="151"/>
      <c r="S50" s="151"/>
      <c r="T50" s="151"/>
      <c r="U50" s="151"/>
      <c r="V50" s="165"/>
      <c r="W50" s="150"/>
      <c r="X50" s="151"/>
      <c r="Y50" s="151"/>
      <c r="Z50" s="151"/>
      <c r="AA50" s="151"/>
      <c r="AB50" s="151"/>
      <c r="AC50" s="163"/>
      <c r="AD50" s="151"/>
      <c r="AE50" s="152"/>
      <c r="AF50" s="173"/>
      <c r="AG50" s="185"/>
      <c r="AH50" s="185"/>
      <c r="AI50" s="186"/>
      <c r="AJ50" s="181"/>
      <c r="AK50" s="181"/>
      <c r="AL50" s="183"/>
      <c r="AM50" s="173"/>
      <c r="AN50" s="187"/>
      <c r="AO50" s="195"/>
      <c r="AP50" s="193"/>
      <c r="AQ50" s="193"/>
      <c r="AR50" s="193"/>
      <c r="AS50" s="193"/>
      <c r="AT50" s="193"/>
      <c r="AU50" s="193"/>
      <c r="AV50" s="194"/>
      <c r="AW50" s="193"/>
      <c r="AX50" s="207"/>
      <c r="AY50" s="208"/>
      <c r="AZ50" s="209"/>
      <c r="BA50" s="209"/>
      <c r="BB50" s="209"/>
      <c r="BC50" s="206"/>
      <c r="BD50" s="206"/>
      <c r="BE50" s="213"/>
      <c r="BF50" s="217"/>
      <c r="BG50" s="209"/>
      <c r="BH50" s="218"/>
      <c r="BI50" s="215"/>
      <c r="BJ50" s="215"/>
      <c r="BK50" s="215"/>
      <c r="BL50" s="215"/>
      <c r="BM50" s="215"/>
      <c r="BN50" s="215"/>
      <c r="BO50" s="216"/>
      <c r="BP50" s="215"/>
      <c r="BQ50" s="228"/>
      <c r="BR50" s="229"/>
      <c r="BS50" s="230"/>
      <c r="BT50" s="230"/>
      <c r="BU50" s="230"/>
      <c r="BV50" s="227"/>
      <c r="BW50" s="227"/>
      <c r="BX50" s="234"/>
      <c r="BY50" s="229"/>
      <c r="BZ50" s="230"/>
      <c r="CA50" s="235"/>
    </row>
    <row r="51" spans="1:79" ht="151.5" customHeight="1">
      <c r="A51" s="134" t="str">
        <f>IFERROR(INDEX(Riesgos!$A$7:$M$84,MATCH(E51,INDEX(Riesgos!$A$7:$M$84,,MATCH(E$7,Riesgos!$A$6:$M$6,0)),0),MATCH(A$7,Riesgos!$A$6:$M$6,0)),"")</f>
        <v/>
      </c>
      <c r="B51" s="135" t="str">
        <f>IFERROR(INDEX(Riesgos!$A$7:$M$84,MATCH(E51,INDEX(Riesgos!$A$7:$M$84,,MATCH(E$7,Riesgos!$A$6:$M$6,0)),0),MATCH(B$7,Riesgos!$A$6:$M$6,0)),"")</f>
        <v/>
      </c>
      <c r="C51" s="135"/>
      <c r="D51" s="136" t="str">
        <f>IFERROR(INDEX(Riesgos!$A$7:$M$84,MATCH(E51,INDEX(Riesgos!$A$7:$M$84,,MATCH(E$7,Riesgos!$A$6:$M$6,0)),0),MATCH(D$7,Riesgos!$A$6:$M$6,0)),"")</f>
        <v/>
      </c>
      <c r="E51" s="137"/>
      <c r="F51" s="137"/>
      <c r="G51" s="138" t="str">
        <f t="shared" si="1"/>
        <v/>
      </c>
      <c r="H51" s="139"/>
      <c r="I51" s="153" t="str">
        <f>IF(A50=A51,IFERROR(IF(AND(#REF!="Probabilidad",#REF!="Probabilidad"),(#REF!-(+#REF!*#REF!)),IF(#REF!="Probabilidad",(#REF!-(+#REF!*#REF!)),IF(#REF!="Impacto",#REF!,""))),""),IFERROR(IF(#REF!="Probabilidad",(#REF!-(+#REF!*#REF!)),IF(#REF!="Impacto",#REF!,"")),""))</f>
        <v/>
      </c>
      <c r="J51" s="154" t="str">
        <f>IFERROR(IF(I51="","",IF(I51&lt;='Listas y tablas'!$L$3,"Muy Baja",IF(I51&lt;='Listas y tablas'!$L$4,"Baja",IF(I51&lt;='Listas y tablas'!$L$5,"Media",IF(I51&lt;='Listas y tablas'!$L$6,"Alta","Muy Alta"))))),"")</f>
        <v/>
      </c>
      <c r="K51" s="155"/>
      <c r="L51" s="156"/>
      <c r="M51" s="150"/>
      <c r="N51" s="151"/>
      <c r="O51" s="151"/>
      <c r="P51" s="152"/>
      <c r="Q51" s="162"/>
      <c r="R51" s="151"/>
      <c r="S51" s="151"/>
      <c r="T51" s="151"/>
      <c r="U51" s="151"/>
      <c r="V51" s="165"/>
      <c r="W51" s="150"/>
      <c r="X51" s="151"/>
      <c r="Y51" s="151"/>
      <c r="Z51" s="151"/>
      <c r="AA51" s="151"/>
      <c r="AB51" s="151"/>
      <c r="AC51" s="163"/>
      <c r="AD51" s="151"/>
      <c r="AE51" s="152"/>
      <c r="AF51" s="173"/>
      <c r="AG51" s="185"/>
      <c r="AH51" s="185"/>
      <c r="AI51" s="186"/>
      <c r="AJ51" s="181"/>
      <c r="AK51" s="181"/>
      <c r="AL51" s="183"/>
      <c r="AM51" s="173"/>
      <c r="AN51" s="187"/>
      <c r="AO51" s="195"/>
      <c r="AP51" s="193"/>
      <c r="AQ51" s="193"/>
      <c r="AR51" s="193"/>
      <c r="AS51" s="193"/>
      <c r="AT51" s="193"/>
      <c r="AU51" s="193"/>
      <c r="AV51" s="194"/>
      <c r="AW51" s="193"/>
      <c r="AX51" s="207"/>
      <c r="AY51" s="208"/>
      <c r="AZ51" s="209"/>
      <c r="BA51" s="209"/>
      <c r="BB51" s="209"/>
      <c r="BC51" s="206"/>
      <c r="BD51" s="206"/>
      <c r="BE51" s="213"/>
      <c r="BF51" s="217"/>
      <c r="BG51" s="209"/>
      <c r="BH51" s="218"/>
      <c r="BI51" s="215"/>
      <c r="BJ51" s="215"/>
      <c r="BK51" s="215"/>
      <c r="BL51" s="215"/>
      <c r="BM51" s="215"/>
      <c r="BN51" s="215"/>
      <c r="BO51" s="216"/>
      <c r="BP51" s="215"/>
      <c r="BQ51" s="228"/>
      <c r="BR51" s="229"/>
      <c r="BS51" s="230"/>
      <c r="BT51" s="230"/>
      <c r="BU51" s="230"/>
      <c r="BV51" s="227"/>
      <c r="BW51" s="227"/>
      <c r="BX51" s="234"/>
      <c r="BY51" s="229"/>
      <c r="BZ51" s="230"/>
      <c r="CA51" s="235"/>
    </row>
    <row r="52" spans="1:79" ht="151.5" customHeight="1">
      <c r="A52" s="134" t="str">
        <f>IFERROR(INDEX(Riesgos!$A$7:$M$84,MATCH(E52,INDEX(Riesgos!$A$7:$M$84,,MATCH(E$7,Riesgos!$A$6:$M$6,0)),0),MATCH(A$7,Riesgos!$A$6:$M$6,0)),"")</f>
        <v/>
      </c>
      <c r="B52" s="135" t="str">
        <f>IFERROR(INDEX(Riesgos!$A$7:$M$84,MATCH(E52,INDEX(Riesgos!$A$7:$M$84,,MATCH(E$7,Riesgos!$A$6:$M$6,0)),0),MATCH(B$7,Riesgos!$A$6:$M$6,0)),"")</f>
        <v/>
      </c>
      <c r="C52" s="135"/>
      <c r="D52" s="136" t="str">
        <f>IFERROR(INDEX(Riesgos!$A$7:$M$84,MATCH(E52,INDEX(Riesgos!$A$7:$M$84,,MATCH(E$7,Riesgos!$A$6:$M$6,0)),0),MATCH(D$7,Riesgos!$A$6:$M$6,0)),"")</f>
        <v/>
      </c>
      <c r="E52" s="137"/>
      <c r="F52" s="137"/>
      <c r="G52" s="138" t="str">
        <f t="shared" si="1"/>
        <v/>
      </c>
      <c r="H52" s="140"/>
      <c r="I52" s="153" t="str">
        <f>IF(A51=A52,IFERROR(IF(AND(#REF!="Probabilidad",#REF!="Probabilidad"),(#REF!-(+#REF!*#REF!)),IF(#REF!="Probabilidad",(#REF!-(+#REF!*#REF!)),IF(#REF!="Impacto",#REF!,""))),""),IFERROR(IF(#REF!="Probabilidad",(#REF!-(+#REF!*#REF!)),IF(#REF!="Impacto",#REF!,"")),""))</f>
        <v/>
      </c>
      <c r="J52" s="154" t="str">
        <f>IFERROR(IF(I52="","",IF(I52&lt;='Listas y tablas'!$L$3,"Muy Baja",IF(I52&lt;='Listas y tablas'!$L$4,"Baja",IF(I52&lt;='Listas y tablas'!$L$5,"Media",IF(I52&lt;='Listas y tablas'!$L$6,"Alta","Muy Alta"))))),"")</f>
        <v/>
      </c>
      <c r="K52" s="155"/>
      <c r="L52" s="156"/>
      <c r="M52" s="150"/>
      <c r="N52" s="151"/>
      <c r="O52" s="151"/>
      <c r="P52" s="152"/>
      <c r="Q52" s="162"/>
      <c r="R52" s="151"/>
      <c r="S52" s="151"/>
      <c r="T52" s="151"/>
      <c r="U52" s="151"/>
      <c r="V52" s="165"/>
      <c r="W52" s="150"/>
      <c r="X52" s="151"/>
      <c r="Y52" s="151"/>
      <c r="Z52" s="151"/>
      <c r="AA52" s="151"/>
      <c r="AB52" s="151"/>
      <c r="AC52" s="163"/>
      <c r="AD52" s="151"/>
      <c r="AE52" s="152"/>
      <c r="AF52" s="173"/>
      <c r="AG52" s="185"/>
      <c r="AH52" s="185"/>
      <c r="AI52" s="186"/>
      <c r="AJ52" s="181"/>
      <c r="AK52" s="181"/>
      <c r="AL52" s="183"/>
      <c r="AM52" s="173"/>
      <c r="AN52" s="187"/>
      <c r="AO52" s="195"/>
      <c r="AP52" s="193"/>
      <c r="AQ52" s="193"/>
      <c r="AR52" s="193"/>
      <c r="AS52" s="193"/>
      <c r="AT52" s="193"/>
      <c r="AU52" s="193"/>
      <c r="AV52" s="194"/>
      <c r="AW52" s="193"/>
      <c r="AX52" s="207"/>
      <c r="AY52" s="208"/>
      <c r="AZ52" s="209"/>
      <c r="BA52" s="209"/>
      <c r="BB52" s="209"/>
      <c r="BC52" s="206"/>
      <c r="BD52" s="206"/>
      <c r="BE52" s="213"/>
      <c r="BF52" s="217"/>
      <c r="BG52" s="209"/>
      <c r="BH52" s="218"/>
      <c r="BI52" s="215"/>
      <c r="BJ52" s="215"/>
      <c r="BK52" s="215"/>
      <c r="BL52" s="215"/>
      <c r="BM52" s="215"/>
      <c r="BN52" s="215"/>
      <c r="BO52" s="216"/>
      <c r="BP52" s="215"/>
      <c r="BQ52" s="228"/>
      <c r="BR52" s="229"/>
      <c r="BS52" s="230"/>
      <c r="BT52" s="230"/>
      <c r="BU52" s="230"/>
      <c r="BV52" s="227"/>
      <c r="BW52" s="227"/>
      <c r="BX52" s="234"/>
      <c r="BY52" s="229"/>
      <c r="BZ52" s="230"/>
      <c r="CA52" s="235"/>
    </row>
    <row r="53" spans="1:79" ht="151.5" customHeight="1">
      <c r="A53" s="134" t="str">
        <f>IFERROR(INDEX(Riesgos!$A$7:$M$84,MATCH(E53,INDEX(Riesgos!$A$7:$M$84,,MATCH(E$7,Riesgos!$A$6:$M$6,0)),0),MATCH(A$7,Riesgos!$A$6:$M$6,0)),"")</f>
        <v/>
      </c>
      <c r="B53" s="135" t="str">
        <f>IFERROR(INDEX(Riesgos!$A$7:$M$84,MATCH(E53,INDEX(Riesgos!$A$7:$M$84,,MATCH(E$7,Riesgos!$A$6:$M$6,0)),0),MATCH(B$7,Riesgos!$A$6:$M$6,0)),"")</f>
        <v/>
      </c>
      <c r="C53" s="135"/>
      <c r="D53" s="136" t="str">
        <f>IFERROR(INDEX(Riesgos!$A$7:$M$84,MATCH(E53,INDEX(Riesgos!$A$7:$M$84,,MATCH(E$7,Riesgos!$A$6:$M$6,0)),0),MATCH(D$7,Riesgos!$A$6:$M$6,0)),"")</f>
        <v/>
      </c>
      <c r="E53" s="137"/>
      <c r="F53" s="137"/>
      <c r="G53" s="138" t="str">
        <f t="shared" si="1"/>
        <v/>
      </c>
      <c r="H53" s="139"/>
      <c r="I53" s="153" t="str">
        <f>IF(A52=A53,IFERROR(IF(AND(#REF!="Probabilidad",#REF!="Probabilidad"),(#REF!-(+#REF!*#REF!)),IF(#REF!="Probabilidad",(#REF!-(+#REF!*#REF!)),IF(#REF!="Impacto",#REF!,""))),""),IFERROR(IF(#REF!="Probabilidad",(#REF!-(+#REF!*#REF!)),IF(#REF!="Impacto",#REF!,"")),""))</f>
        <v/>
      </c>
      <c r="J53" s="154" t="str">
        <f>IFERROR(IF(I53="","",IF(I53&lt;='Listas y tablas'!$L$3,"Muy Baja",IF(I53&lt;='Listas y tablas'!$L$4,"Baja",IF(I53&lt;='Listas y tablas'!$L$5,"Media",IF(I53&lt;='Listas y tablas'!$L$6,"Alta","Muy Alta"))))),"")</f>
        <v/>
      </c>
      <c r="K53" s="155"/>
      <c r="L53" s="156"/>
      <c r="M53" s="150"/>
      <c r="N53" s="151"/>
      <c r="O53" s="151"/>
      <c r="P53" s="152"/>
      <c r="Q53" s="162"/>
      <c r="R53" s="151"/>
      <c r="S53" s="151"/>
      <c r="T53" s="151"/>
      <c r="U53" s="151"/>
      <c r="V53" s="165"/>
      <c r="W53" s="150"/>
      <c r="X53" s="151"/>
      <c r="Y53" s="151"/>
      <c r="Z53" s="151"/>
      <c r="AA53" s="151"/>
      <c r="AB53" s="151"/>
      <c r="AC53" s="163"/>
      <c r="AD53" s="151"/>
      <c r="AE53" s="152"/>
      <c r="AF53" s="173"/>
      <c r="AG53" s="185"/>
      <c r="AH53" s="185"/>
      <c r="AI53" s="186"/>
      <c r="AJ53" s="181"/>
      <c r="AK53" s="181"/>
      <c r="AL53" s="183"/>
      <c r="AM53" s="173"/>
      <c r="AN53" s="187"/>
      <c r="AO53" s="195"/>
      <c r="AP53" s="193"/>
      <c r="AQ53" s="193"/>
      <c r="AR53" s="193"/>
      <c r="AS53" s="193"/>
      <c r="AT53" s="193"/>
      <c r="AU53" s="193"/>
      <c r="AV53" s="194"/>
      <c r="AW53" s="193"/>
      <c r="AX53" s="207"/>
      <c r="AY53" s="208"/>
      <c r="AZ53" s="209"/>
      <c r="BA53" s="209"/>
      <c r="BB53" s="209"/>
      <c r="BC53" s="206"/>
      <c r="BD53" s="206"/>
      <c r="BE53" s="213"/>
      <c r="BF53" s="217"/>
      <c r="BG53" s="209"/>
      <c r="BH53" s="218"/>
      <c r="BI53" s="215"/>
      <c r="BJ53" s="215"/>
      <c r="BK53" s="215"/>
      <c r="BL53" s="215"/>
      <c r="BM53" s="215"/>
      <c r="BN53" s="215"/>
      <c r="BO53" s="216"/>
      <c r="BP53" s="215"/>
      <c r="BQ53" s="228"/>
      <c r="BR53" s="229"/>
      <c r="BS53" s="230"/>
      <c r="BT53" s="230"/>
      <c r="BU53" s="230"/>
      <c r="BV53" s="227"/>
      <c r="BW53" s="227"/>
      <c r="BX53" s="234"/>
      <c r="BY53" s="229"/>
      <c r="BZ53" s="230"/>
      <c r="CA53" s="235"/>
    </row>
    <row r="54" spans="1:79" ht="151.5" customHeight="1">
      <c r="A54" s="134" t="str">
        <f>IFERROR(INDEX(Riesgos!$A$7:$M$84,MATCH(E54,INDEX(Riesgos!$A$7:$M$84,,MATCH(E$7,Riesgos!$A$6:$M$6,0)),0),MATCH(A$7,Riesgos!$A$6:$M$6,0)),"")</f>
        <v/>
      </c>
      <c r="B54" s="135" t="str">
        <f>IFERROR(INDEX(Riesgos!$A$7:$M$84,MATCH(E54,INDEX(Riesgos!$A$7:$M$84,,MATCH(E$7,Riesgos!$A$6:$M$6,0)),0),MATCH(B$7,Riesgos!$A$6:$M$6,0)),"")</f>
        <v/>
      </c>
      <c r="C54" s="135"/>
      <c r="D54" s="136" t="str">
        <f>IFERROR(INDEX(Riesgos!$A$7:$M$84,MATCH(E54,INDEX(Riesgos!$A$7:$M$84,,MATCH(E$7,Riesgos!$A$6:$M$6,0)),0),MATCH(D$7,Riesgos!$A$6:$M$6,0)),"")</f>
        <v/>
      </c>
      <c r="E54" s="137"/>
      <c r="F54" s="137"/>
      <c r="G54" s="138" t="str">
        <f t="shared" si="1"/>
        <v/>
      </c>
      <c r="H54" s="139"/>
      <c r="I54" s="153" t="str">
        <f>IF(A53=A54,IFERROR(IF(AND(#REF!="Probabilidad",#REF!="Probabilidad"),(#REF!-(+#REF!*#REF!)),IF(#REF!="Probabilidad",(#REF!-(+#REF!*#REF!)),IF(#REF!="Impacto",#REF!,""))),""),IFERROR(IF(#REF!="Probabilidad",(#REF!-(+#REF!*#REF!)),IF(#REF!="Impacto",#REF!,"")),""))</f>
        <v/>
      </c>
      <c r="J54" s="154" t="str">
        <f>IFERROR(IF(I54="","",IF(I54&lt;='Listas y tablas'!$L$3,"Muy Baja",IF(I54&lt;='Listas y tablas'!$L$4,"Baja",IF(I54&lt;='Listas y tablas'!$L$5,"Media",IF(I54&lt;='Listas y tablas'!$L$6,"Alta","Muy Alta"))))),"")</f>
        <v/>
      </c>
      <c r="K54" s="155"/>
      <c r="L54" s="156"/>
      <c r="M54" s="150"/>
      <c r="N54" s="151"/>
      <c r="O54" s="151"/>
      <c r="P54" s="152"/>
      <c r="Q54" s="162"/>
      <c r="R54" s="151"/>
      <c r="S54" s="151"/>
      <c r="T54" s="151"/>
      <c r="U54" s="151"/>
      <c r="V54" s="165"/>
      <c r="W54" s="150"/>
      <c r="X54" s="151"/>
      <c r="Y54" s="151"/>
      <c r="Z54" s="151"/>
      <c r="AA54" s="151"/>
      <c r="AB54" s="151"/>
      <c r="AC54" s="163"/>
      <c r="AD54" s="151"/>
      <c r="AE54" s="152"/>
      <c r="AF54" s="173"/>
      <c r="AG54" s="185"/>
      <c r="AH54" s="185"/>
      <c r="AI54" s="186"/>
      <c r="AJ54" s="181"/>
      <c r="AK54" s="181"/>
      <c r="AL54" s="183"/>
      <c r="AM54" s="173"/>
      <c r="AN54" s="187"/>
      <c r="AO54" s="195"/>
      <c r="AP54" s="193"/>
      <c r="AQ54" s="193"/>
      <c r="AR54" s="193"/>
      <c r="AS54" s="193"/>
      <c r="AT54" s="193"/>
      <c r="AU54" s="193"/>
      <c r="AV54" s="194"/>
      <c r="AW54" s="193"/>
      <c r="AX54" s="207"/>
      <c r="AY54" s="208"/>
      <c r="AZ54" s="209"/>
      <c r="BA54" s="209"/>
      <c r="BB54" s="209"/>
      <c r="BC54" s="206"/>
      <c r="BD54" s="206"/>
      <c r="BE54" s="213"/>
      <c r="BF54" s="217"/>
      <c r="BG54" s="209"/>
      <c r="BH54" s="218"/>
      <c r="BI54" s="215"/>
      <c r="BJ54" s="215"/>
      <c r="BK54" s="215"/>
      <c r="BL54" s="215"/>
      <c r="BM54" s="215"/>
      <c r="BN54" s="215"/>
      <c r="BO54" s="216"/>
      <c r="BP54" s="215"/>
      <c r="BQ54" s="228"/>
      <c r="BR54" s="229"/>
      <c r="BS54" s="230"/>
      <c r="BT54" s="230"/>
      <c r="BU54" s="230"/>
      <c r="BV54" s="227"/>
      <c r="BW54" s="227"/>
      <c r="BX54" s="234"/>
      <c r="BY54" s="229"/>
      <c r="BZ54" s="230"/>
      <c r="CA54" s="235"/>
    </row>
    <row r="55" spans="1:79" ht="151.5" customHeight="1">
      <c r="A55" s="134" t="str">
        <f>IFERROR(INDEX(Riesgos!$A$7:$M$84,MATCH(E55,INDEX(Riesgos!$A$7:$M$84,,MATCH(E$7,Riesgos!$A$6:$M$6,0)),0),MATCH(A$7,Riesgos!$A$6:$M$6,0)),"")</f>
        <v/>
      </c>
      <c r="B55" s="135" t="str">
        <f>IFERROR(INDEX(Riesgos!$A$7:$M$84,MATCH(E55,INDEX(Riesgos!$A$7:$M$84,,MATCH(E$7,Riesgos!$A$6:$M$6,0)),0),MATCH(B$7,Riesgos!$A$6:$M$6,0)),"")</f>
        <v/>
      </c>
      <c r="C55" s="135"/>
      <c r="D55" s="136" t="str">
        <f>IFERROR(INDEX(Riesgos!$A$7:$M$84,MATCH(E55,INDEX(Riesgos!$A$7:$M$84,,MATCH(E$7,Riesgos!$A$6:$M$6,0)),0),MATCH(D$7,Riesgos!$A$6:$M$6,0)),"")</f>
        <v/>
      </c>
      <c r="E55" s="137"/>
      <c r="F55" s="137"/>
      <c r="G55" s="138" t="str">
        <f t="shared" si="1"/>
        <v/>
      </c>
      <c r="H55" s="139"/>
      <c r="I55" s="153" t="str">
        <f>IF(A54=A55,IFERROR(IF(AND(#REF!="Probabilidad",#REF!="Probabilidad"),(#REF!-(+#REF!*#REF!)),IF(#REF!="Probabilidad",(#REF!-(+#REF!*#REF!)),IF(#REF!="Impacto",#REF!,""))),""),IFERROR(IF(#REF!="Probabilidad",(#REF!-(+#REF!*#REF!)),IF(#REF!="Impacto",#REF!,"")),""))</f>
        <v/>
      </c>
      <c r="J55" s="154" t="str">
        <f>IFERROR(IF(I55="","",IF(I55&lt;='Listas y tablas'!$L$3,"Muy Baja",IF(I55&lt;='Listas y tablas'!$L$4,"Baja",IF(I55&lt;='Listas y tablas'!$L$5,"Media",IF(I55&lt;='Listas y tablas'!$L$6,"Alta","Muy Alta"))))),"")</f>
        <v/>
      </c>
      <c r="K55" s="155"/>
      <c r="L55" s="156"/>
      <c r="M55" s="150"/>
      <c r="N55" s="151"/>
      <c r="O55" s="151"/>
      <c r="P55" s="152"/>
      <c r="Q55" s="162"/>
      <c r="R55" s="151"/>
      <c r="S55" s="151"/>
      <c r="T55" s="151"/>
      <c r="U55" s="151"/>
      <c r="V55" s="165"/>
      <c r="W55" s="150"/>
      <c r="X55" s="151"/>
      <c r="Y55" s="151"/>
      <c r="Z55" s="151"/>
      <c r="AA55" s="151"/>
      <c r="AB55" s="151"/>
      <c r="AC55" s="163"/>
      <c r="AD55" s="151"/>
      <c r="AE55" s="152"/>
      <c r="AF55" s="173"/>
      <c r="AG55" s="185"/>
      <c r="AH55" s="185"/>
      <c r="AI55" s="186"/>
      <c r="AJ55" s="181"/>
      <c r="AK55" s="181"/>
      <c r="AL55" s="183"/>
      <c r="AM55" s="173"/>
      <c r="AN55" s="187"/>
      <c r="AO55" s="195"/>
      <c r="AP55" s="193"/>
      <c r="AQ55" s="193"/>
      <c r="AR55" s="193"/>
      <c r="AS55" s="193"/>
      <c r="AT55" s="193"/>
      <c r="AU55" s="193"/>
      <c r="AV55" s="194"/>
      <c r="AW55" s="193"/>
      <c r="AX55" s="207"/>
      <c r="AY55" s="208"/>
      <c r="AZ55" s="209"/>
      <c r="BA55" s="209"/>
      <c r="BB55" s="209"/>
      <c r="BC55" s="206"/>
      <c r="BD55" s="206"/>
      <c r="BE55" s="213"/>
      <c r="BF55" s="217"/>
      <c r="BG55" s="209"/>
      <c r="BH55" s="218"/>
      <c r="BI55" s="215"/>
      <c r="BJ55" s="215"/>
      <c r="BK55" s="215"/>
      <c r="BL55" s="215"/>
      <c r="BM55" s="215"/>
      <c r="BN55" s="215"/>
      <c r="BO55" s="216"/>
      <c r="BP55" s="215"/>
      <c r="BQ55" s="228"/>
      <c r="BR55" s="229"/>
      <c r="BS55" s="230"/>
      <c r="BT55" s="230"/>
      <c r="BU55" s="230"/>
      <c r="BV55" s="227"/>
      <c r="BW55" s="227"/>
      <c r="BX55" s="234"/>
      <c r="BY55" s="229"/>
      <c r="BZ55" s="230"/>
      <c r="CA55" s="235"/>
    </row>
    <row r="56" spans="1:79" ht="151.5" customHeight="1">
      <c r="A56" s="134" t="str">
        <f>IFERROR(INDEX(Riesgos!$A$7:$M$84,MATCH(E56,INDEX(Riesgos!$A$7:$M$84,,MATCH(E$7,Riesgos!$A$6:$M$6,0)),0),MATCH(A$7,Riesgos!$A$6:$M$6,0)),"")</f>
        <v/>
      </c>
      <c r="B56" s="135" t="str">
        <f>IFERROR(INDEX(Riesgos!$A$7:$M$84,MATCH(E56,INDEX(Riesgos!$A$7:$M$84,,MATCH(E$7,Riesgos!$A$6:$M$6,0)),0),MATCH(B$7,Riesgos!$A$6:$M$6,0)),"")</f>
        <v/>
      </c>
      <c r="C56" s="135"/>
      <c r="D56" s="136" t="str">
        <f>IFERROR(INDEX(Riesgos!$A$7:$M$84,MATCH(E56,INDEX(Riesgos!$A$7:$M$84,,MATCH(E$7,Riesgos!$A$6:$M$6,0)),0),MATCH(D$7,Riesgos!$A$6:$M$6,0)),"")</f>
        <v/>
      </c>
      <c r="E56" s="137"/>
      <c r="F56" s="137"/>
      <c r="G56" s="138" t="str">
        <f t="shared" si="1"/>
        <v/>
      </c>
      <c r="H56" s="139"/>
      <c r="I56" s="153" t="str">
        <f>IF(A55=A56,IFERROR(IF(AND(#REF!="Probabilidad",#REF!="Probabilidad"),(#REF!-(+#REF!*#REF!)),IF(#REF!="Probabilidad",(#REF!-(+#REF!*#REF!)),IF(#REF!="Impacto",#REF!,""))),""),IFERROR(IF(#REF!="Probabilidad",(#REF!-(+#REF!*#REF!)),IF(#REF!="Impacto",#REF!,"")),""))</f>
        <v/>
      </c>
      <c r="J56" s="154" t="str">
        <f>IFERROR(IF(I56="","",IF(I56&lt;='Listas y tablas'!$L$3,"Muy Baja",IF(I56&lt;='Listas y tablas'!$L$4,"Baja",IF(I56&lt;='Listas y tablas'!$L$5,"Media",IF(I56&lt;='Listas y tablas'!$L$6,"Alta","Muy Alta"))))),"")</f>
        <v/>
      </c>
      <c r="K56" s="155"/>
      <c r="L56" s="156"/>
      <c r="M56" s="150"/>
      <c r="N56" s="151"/>
      <c r="O56" s="151"/>
      <c r="P56" s="152"/>
      <c r="Q56" s="162"/>
      <c r="R56" s="151"/>
      <c r="S56" s="151"/>
      <c r="T56" s="151"/>
      <c r="U56" s="151"/>
      <c r="V56" s="165"/>
      <c r="W56" s="150"/>
      <c r="X56" s="151"/>
      <c r="Y56" s="151"/>
      <c r="Z56" s="151"/>
      <c r="AA56" s="151"/>
      <c r="AB56" s="151"/>
      <c r="AC56" s="163"/>
      <c r="AD56" s="151"/>
      <c r="AE56" s="152"/>
      <c r="AF56" s="173"/>
      <c r="AG56" s="185"/>
      <c r="AH56" s="185"/>
      <c r="AI56" s="186"/>
      <c r="AJ56" s="181"/>
      <c r="AK56" s="181"/>
      <c r="AL56" s="183"/>
      <c r="AM56" s="173"/>
      <c r="AN56" s="187"/>
      <c r="AO56" s="195"/>
      <c r="AP56" s="193"/>
      <c r="AQ56" s="193"/>
      <c r="AR56" s="193"/>
      <c r="AS56" s="193"/>
      <c r="AT56" s="193"/>
      <c r="AU56" s="193"/>
      <c r="AV56" s="194"/>
      <c r="AW56" s="193"/>
      <c r="AX56" s="207"/>
      <c r="AY56" s="208"/>
      <c r="AZ56" s="209"/>
      <c r="BA56" s="209"/>
      <c r="BB56" s="209"/>
      <c r="BC56" s="206"/>
      <c r="BD56" s="206"/>
      <c r="BE56" s="213"/>
      <c r="BF56" s="217"/>
      <c r="BG56" s="209"/>
      <c r="BH56" s="218"/>
      <c r="BI56" s="215"/>
      <c r="BJ56" s="215"/>
      <c r="BK56" s="215"/>
      <c r="BL56" s="215"/>
      <c r="BM56" s="215"/>
      <c r="BN56" s="215"/>
      <c r="BO56" s="216"/>
      <c r="BP56" s="215"/>
      <c r="BQ56" s="228"/>
      <c r="BR56" s="229"/>
      <c r="BS56" s="230"/>
      <c r="BT56" s="230"/>
      <c r="BU56" s="230"/>
      <c r="BV56" s="227"/>
      <c r="BW56" s="227"/>
      <c r="BX56" s="234"/>
      <c r="BY56" s="229"/>
      <c r="BZ56" s="230"/>
      <c r="CA56" s="235"/>
    </row>
    <row r="57" spans="1:79" ht="151.5" customHeight="1">
      <c r="A57" s="134" t="str">
        <f>IFERROR(INDEX(Riesgos!$A$7:$M$84,MATCH(E57,INDEX(Riesgos!$A$7:$M$84,,MATCH(E$7,Riesgos!$A$6:$M$6,0)),0),MATCH(A$7,Riesgos!$A$6:$M$6,0)),"")</f>
        <v/>
      </c>
      <c r="B57" s="135" t="str">
        <f>IFERROR(INDEX(Riesgos!$A$7:$M$84,MATCH(E57,INDEX(Riesgos!$A$7:$M$84,,MATCH(E$7,Riesgos!$A$6:$M$6,0)),0),MATCH(B$7,Riesgos!$A$6:$M$6,0)),"")</f>
        <v/>
      </c>
      <c r="C57" s="135"/>
      <c r="D57" s="136" t="str">
        <f>IFERROR(INDEX(Riesgos!$A$7:$M$84,MATCH(E57,INDEX(Riesgos!$A$7:$M$84,,MATCH(E$7,Riesgos!$A$6:$M$6,0)),0),MATCH(D$7,Riesgos!$A$6:$M$6,0)),"")</f>
        <v/>
      </c>
      <c r="E57" s="137"/>
      <c r="F57" s="137"/>
      <c r="G57" s="138" t="str">
        <f t="shared" si="1"/>
        <v/>
      </c>
      <c r="H57" s="139"/>
      <c r="I57" s="153" t="str">
        <f>IF(A56=A57,IFERROR(IF(AND(#REF!="Probabilidad",#REF!="Probabilidad"),(#REF!-(+#REF!*#REF!)),IF(#REF!="Probabilidad",(#REF!-(+#REF!*#REF!)),IF(#REF!="Impacto",#REF!,""))),""),IFERROR(IF(#REF!="Probabilidad",(#REF!-(+#REF!*#REF!)),IF(#REF!="Impacto",#REF!,"")),""))</f>
        <v/>
      </c>
      <c r="J57" s="154" t="str">
        <f>IFERROR(IF(I57="","",IF(I57&lt;='Listas y tablas'!$L$3,"Muy Baja",IF(I57&lt;='Listas y tablas'!$L$4,"Baja",IF(I57&lt;='Listas y tablas'!$L$5,"Media",IF(I57&lt;='Listas y tablas'!$L$6,"Alta","Muy Alta"))))),"")</f>
        <v/>
      </c>
      <c r="K57" s="155"/>
      <c r="L57" s="156"/>
      <c r="M57" s="150"/>
      <c r="N57" s="151"/>
      <c r="O57" s="151"/>
      <c r="P57" s="152"/>
      <c r="Q57" s="162"/>
      <c r="R57" s="151"/>
      <c r="S57" s="151"/>
      <c r="T57" s="151"/>
      <c r="U57" s="151"/>
      <c r="V57" s="165"/>
      <c r="W57" s="150"/>
      <c r="X57" s="151"/>
      <c r="Y57" s="151"/>
      <c r="Z57" s="151"/>
      <c r="AA57" s="151"/>
      <c r="AB57" s="151"/>
      <c r="AC57" s="163"/>
      <c r="AD57" s="151"/>
      <c r="AE57" s="152"/>
      <c r="AF57" s="173"/>
      <c r="AG57" s="185"/>
      <c r="AH57" s="185"/>
      <c r="AI57" s="186"/>
      <c r="AJ57" s="181"/>
      <c r="AK57" s="181"/>
      <c r="AL57" s="183"/>
      <c r="AM57" s="173"/>
      <c r="AN57" s="187"/>
      <c r="AO57" s="195"/>
      <c r="AP57" s="193"/>
      <c r="AQ57" s="193"/>
      <c r="AR57" s="193"/>
      <c r="AS57" s="193"/>
      <c r="AT57" s="193"/>
      <c r="AU57" s="193"/>
      <c r="AV57" s="194"/>
      <c r="AW57" s="193"/>
      <c r="AX57" s="207"/>
      <c r="AY57" s="208"/>
      <c r="AZ57" s="209"/>
      <c r="BA57" s="209"/>
      <c r="BB57" s="209"/>
      <c r="BC57" s="206"/>
      <c r="BD57" s="206"/>
      <c r="BE57" s="213"/>
      <c r="BF57" s="217"/>
      <c r="BG57" s="209"/>
      <c r="BH57" s="218"/>
      <c r="BI57" s="215"/>
      <c r="BJ57" s="215"/>
      <c r="BK57" s="215"/>
      <c r="BL57" s="215"/>
      <c r="BM57" s="215"/>
      <c r="BN57" s="215"/>
      <c r="BO57" s="216"/>
      <c r="BP57" s="215"/>
      <c r="BQ57" s="228"/>
      <c r="BR57" s="229"/>
      <c r="BS57" s="230"/>
      <c r="BT57" s="230"/>
      <c r="BU57" s="230"/>
      <c r="BV57" s="227"/>
      <c r="BW57" s="227"/>
      <c r="BX57" s="234"/>
      <c r="BY57" s="229"/>
      <c r="BZ57" s="230"/>
      <c r="CA57" s="235"/>
    </row>
    <row r="58" spans="1:79" ht="151.5" customHeight="1">
      <c r="A58" s="134" t="str">
        <f>IFERROR(INDEX(Riesgos!$A$7:$M$84,MATCH(E58,INDEX(Riesgos!$A$7:$M$84,,MATCH(E$7,Riesgos!$A$6:$M$6,0)),0),MATCH(A$7,Riesgos!$A$6:$M$6,0)),"")</f>
        <v/>
      </c>
      <c r="B58" s="135" t="str">
        <f>IFERROR(INDEX(Riesgos!$A$7:$M$84,MATCH(E58,INDEX(Riesgos!$A$7:$M$84,,MATCH(E$7,Riesgos!$A$6:$M$6,0)),0),MATCH(B$7,Riesgos!$A$6:$M$6,0)),"")</f>
        <v/>
      </c>
      <c r="C58" s="135"/>
      <c r="D58" s="136" t="str">
        <f>IFERROR(INDEX(Riesgos!$A$7:$M$84,MATCH(E58,INDEX(Riesgos!$A$7:$M$84,,MATCH(E$7,Riesgos!$A$6:$M$6,0)),0),MATCH(D$7,Riesgos!$A$6:$M$6,0)),"")</f>
        <v/>
      </c>
      <c r="E58" s="137"/>
      <c r="F58" s="137"/>
      <c r="G58" s="138" t="str">
        <f t="shared" si="1"/>
        <v/>
      </c>
      <c r="H58" s="140"/>
      <c r="I58" s="153" t="str">
        <f>IF(A57=A58,IFERROR(IF(AND(#REF!="Probabilidad",#REF!="Probabilidad"),(#REF!-(+#REF!*#REF!)),IF(#REF!="Probabilidad",(#REF!-(+#REF!*#REF!)),IF(#REF!="Impacto",#REF!,""))),""),IFERROR(IF(#REF!="Probabilidad",(#REF!-(+#REF!*#REF!)),IF(#REF!="Impacto",#REF!,"")),""))</f>
        <v/>
      </c>
      <c r="J58" s="154" t="str">
        <f>IFERROR(IF(I58="","",IF(I58&lt;='Listas y tablas'!$L$3,"Muy Baja",IF(I58&lt;='Listas y tablas'!$L$4,"Baja",IF(I58&lt;='Listas y tablas'!$L$5,"Media",IF(I58&lt;='Listas y tablas'!$L$6,"Alta","Muy Alta"))))),"")</f>
        <v/>
      </c>
      <c r="K58" s="155"/>
      <c r="L58" s="156"/>
      <c r="M58" s="150"/>
      <c r="N58" s="151"/>
      <c r="O58" s="151"/>
      <c r="P58" s="152"/>
      <c r="Q58" s="162"/>
      <c r="R58" s="151"/>
      <c r="S58" s="151"/>
      <c r="T58" s="151"/>
      <c r="U58" s="151"/>
      <c r="V58" s="165"/>
      <c r="W58" s="150"/>
      <c r="X58" s="151"/>
      <c r="Y58" s="151"/>
      <c r="Z58" s="151"/>
      <c r="AA58" s="151"/>
      <c r="AB58" s="151"/>
      <c r="AC58" s="163"/>
      <c r="AD58" s="151"/>
      <c r="AE58" s="152"/>
      <c r="AF58" s="173"/>
      <c r="AG58" s="185"/>
      <c r="AH58" s="185"/>
      <c r="AI58" s="186"/>
      <c r="AJ58" s="181"/>
      <c r="AK58" s="181"/>
      <c r="AL58" s="183"/>
      <c r="AM58" s="173"/>
      <c r="AN58" s="187"/>
      <c r="AO58" s="195"/>
      <c r="AP58" s="193"/>
      <c r="AQ58" s="193"/>
      <c r="AR58" s="193"/>
      <c r="AS58" s="193"/>
      <c r="AT58" s="193"/>
      <c r="AU58" s="193"/>
      <c r="AV58" s="194"/>
      <c r="AW58" s="193"/>
      <c r="AX58" s="207"/>
      <c r="AY58" s="208"/>
      <c r="AZ58" s="209"/>
      <c r="BA58" s="209"/>
      <c r="BB58" s="209"/>
      <c r="BC58" s="206"/>
      <c r="BD58" s="206"/>
      <c r="BE58" s="213"/>
      <c r="BF58" s="217"/>
      <c r="BG58" s="209"/>
      <c r="BH58" s="218"/>
      <c r="BI58" s="215"/>
      <c r="BJ58" s="215"/>
      <c r="BK58" s="215"/>
      <c r="BL58" s="215"/>
      <c r="BM58" s="215"/>
      <c r="BN58" s="215"/>
      <c r="BO58" s="216"/>
      <c r="BP58" s="215"/>
      <c r="BQ58" s="228"/>
      <c r="BR58" s="229"/>
      <c r="BS58" s="230"/>
      <c r="BT58" s="230"/>
      <c r="BU58" s="230"/>
      <c r="BV58" s="227"/>
      <c r="BW58" s="227"/>
      <c r="BX58" s="234"/>
      <c r="BY58" s="229"/>
      <c r="BZ58" s="230"/>
      <c r="CA58" s="235"/>
    </row>
    <row r="59" spans="1:79" ht="151.5" customHeight="1">
      <c r="A59" s="134" t="str">
        <f>IFERROR(INDEX(Riesgos!$A$7:$M$84,MATCH(E59,INDEX(Riesgos!$A$7:$M$84,,MATCH(E$7,Riesgos!$A$6:$M$6,0)),0),MATCH(A$7,Riesgos!$A$6:$M$6,0)),"")</f>
        <v/>
      </c>
      <c r="B59" s="135" t="str">
        <f>IFERROR(INDEX(Riesgos!$A$7:$M$84,MATCH(E59,INDEX(Riesgos!$A$7:$M$84,,MATCH(E$7,Riesgos!$A$6:$M$6,0)),0),MATCH(B$7,Riesgos!$A$6:$M$6,0)),"")</f>
        <v/>
      </c>
      <c r="C59" s="135"/>
      <c r="D59" s="136" t="str">
        <f>IFERROR(INDEX(Riesgos!$A$7:$M$84,MATCH(E59,INDEX(Riesgos!$A$7:$M$84,,MATCH(E$7,Riesgos!$A$6:$M$6,0)),0),MATCH(D$7,Riesgos!$A$6:$M$6,0)),"")</f>
        <v/>
      </c>
      <c r="E59" s="137"/>
      <c r="F59" s="137"/>
      <c r="G59" s="138" t="str">
        <f t="shared" si="1"/>
        <v/>
      </c>
      <c r="H59" s="139"/>
      <c r="I59" s="153" t="str">
        <f>IF(A58=A59,IFERROR(IF(AND(#REF!="Probabilidad",#REF!="Probabilidad"),(#REF!-(+#REF!*#REF!)),IF(#REF!="Probabilidad",(#REF!-(+#REF!*#REF!)),IF(#REF!="Impacto",#REF!,""))),""),IFERROR(IF(#REF!="Probabilidad",(#REF!-(+#REF!*#REF!)),IF(#REF!="Impacto",#REF!,"")),""))</f>
        <v/>
      </c>
      <c r="J59" s="154" t="str">
        <f>IFERROR(IF(I59="","",IF(I59&lt;='Listas y tablas'!$L$3,"Muy Baja",IF(I59&lt;='Listas y tablas'!$L$4,"Baja",IF(I59&lt;='Listas y tablas'!$L$5,"Media",IF(I59&lt;='Listas y tablas'!$L$6,"Alta","Muy Alta"))))),"")</f>
        <v/>
      </c>
      <c r="K59" s="155"/>
      <c r="L59" s="156"/>
      <c r="M59" s="150"/>
      <c r="N59" s="151"/>
      <c r="O59" s="151"/>
      <c r="P59" s="152"/>
      <c r="Q59" s="162"/>
      <c r="R59" s="151"/>
      <c r="S59" s="151"/>
      <c r="T59" s="151"/>
      <c r="U59" s="151"/>
      <c r="V59" s="165"/>
      <c r="W59" s="150"/>
      <c r="X59" s="151"/>
      <c r="Y59" s="151"/>
      <c r="Z59" s="151"/>
      <c r="AA59" s="151"/>
      <c r="AB59" s="151"/>
      <c r="AC59" s="163"/>
      <c r="AD59" s="151"/>
      <c r="AE59" s="152"/>
      <c r="AF59" s="173"/>
      <c r="AG59" s="185"/>
      <c r="AH59" s="185"/>
      <c r="AI59" s="186"/>
      <c r="AJ59" s="181"/>
      <c r="AK59" s="181"/>
      <c r="AL59" s="183"/>
      <c r="AM59" s="173"/>
      <c r="AN59" s="187"/>
      <c r="AO59" s="195"/>
      <c r="AP59" s="193"/>
      <c r="AQ59" s="193"/>
      <c r="AR59" s="193"/>
      <c r="AS59" s="193"/>
      <c r="AT59" s="193"/>
      <c r="AU59" s="193"/>
      <c r="AV59" s="194"/>
      <c r="AW59" s="193"/>
      <c r="AX59" s="207"/>
      <c r="AY59" s="208"/>
      <c r="AZ59" s="209"/>
      <c r="BA59" s="209"/>
      <c r="BB59" s="209"/>
      <c r="BC59" s="206"/>
      <c r="BD59" s="206"/>
      <c r="BE59" s="213"/>
      <c r="BF59" s="217"/>
      <c r="BG59" s="209"/>
      <c r="BH59" s="218"/>
      <c r="BI59" s="215"/>
      <c r="BJ59" s="215"/>
      <c r="BK59" s="215"/>
      <c r="BL59" s="215"/>
      <c r="BM59" s="215"/>
      <c r="BN59" s="215"/>
      <c r="BO59" s="216"/>
      <c r="BP59" s="215"/>
      <c r="BQ59" s="228"/>
      <c r="BR59" s="229"/>
      <c r="BS59" s="230"/>
      <c r="BT59" s="230"/>
      <c r="BU59" s="230"/>
      <c r="BV59" s="227"/>
      <c r="BW59" s="227"/>
      <c r="BX59" s="234"/>
      <c r="BY59" s="229"/>
      <c r="BZ59" s="230"/>
      <c r="CA59" s="235"/>
    </row>
    <row r="60" spans="1:79" ht="151.5" customHeight="1">
      <c r="A60" s="134" t="str">
        <f>IFERROR(INDEX(Riesgos!$A$7:$M$84,MATCH(E60,INDEX(Riesgos!$A$7:$M$84,,MATCH(E$7,Riesgos!$A$6:$M$6,0)),0),MATCH(A$7,Riesgos!$A$6:$M$6,0)),"")</f>
        <v/>
      </c>
      <c r="B60" s="135" t="str">
        <f>IFERROR(INDEX(Riesgos!$A$7:$M$84,MATCH(E60,INDEX(Riesgos!$A$7:$M$84,,MATCH(E$7,Riesgos!$A$6:$M$6,0)),0),MATCH(B$7,Riesgos!$A$6:$M$6,0)),"")</f>
        <v/>
      </c>
      <c r="C60" s="135"/>
      <c r="D60" s="136" t="str">
        <f>IFERROR(INDEX(Riesgos!$A$7:$M$84,MATCH(E60,INDEX(Riesgos!$A$7:$M$84,,MATCH(E$7,Riesgos!$A$6:$M$6,0)),0),MATCH(D$7,Riesgos!$A$6:$M$6,0)),"")</f>
        <v/>
      </c>
      <c r="E60" s="137"/>
      <c r="F60" s="137"/>
      <c r="G60" s="138" t="str">
        <f t="shared" si="1"/>
        <v/>
      </c>
      <c r="H60" s="139"/>
      <c r="I60" s="153" t="str">
        <f>IF(A59=A60,IFERROR(IF(AND(#REF!="Probabilidad",#REF!="Probabilidad"),(#REF!-(+#REF!*#REF!)),IF(#REF!="Probabilidad",(#REF!-(+#REF!*#REF!)),IF(#REF!="Impacto",#REF!,""))),""),IFERROR(IF(#REF!="Probabilidad",(#REF!-(+#REF!*#REF!)),IF(#REF!="Impacto",#REF!,"")),""))</f>
        <v/>
      </c>
      <c r="J60" s="154" t="str">
        <f>IFERROR(IF(I60="","",IF(I60&lt;='Listas y tablas'!$L$3,"Muy Baja",IF(I60&lt;='Listas y tablas'!$L$4,"Baja",IF(I60&lt;='Listas y tablas'!$L$5,"Media",IF(I60&lt;='Listas y tablas'!$L$6,"Alta","Muy Alta"))))),"")</f>
        <v/>
      </c>
      <c r="K60" s="155"/>
      <c r="L60" s="156"/>
      <c r="M60" s="150"/>
      <c r="N60" s="151"/>
      <c r="O60" s="151"/>
      <c r="P60" s="152"/>
      <c r="Q60" s="162"/>
      <c r="R60" s="151"/>
      <c r="S60" s="151"/>
      <c r="T60" s="151"/>
      <c r="U60" s="151"/>
      <c r="V60" s="165"/>
      <c r="W60" s="150"/>
      <c r="X60" s="151"/>
      <c r="Y60" s="151"/>
      <c r="Z60" s="151"/>
      <c r="AA60" s="151"/>
      <c r="AB60" s="151"/>
      <c r="AC60" s="163"/>
      <c r="AD60" s="151"/>
      <c r="AE60" s="152"/>
      <c r="AF60" s="173"/>
      <c r="AG60" s="185"/>
      <c r="AH60" s="185"/>
      <c r="AI60" s="186"/>
      <c r="AJ60" s="181"/>
      <c r="AK60" s="181"/>
      <c r="AL60" s="183"/>
      <c r="AM60" s="173"/>
      <c r="AN60" s="187"/>
      <c r="AO60" s="195"/>
      <c r="AP60" s="193"/>
      <c r="AQ60" s="193"/>
      <c r="AR60" s="193"/>
      <c r="AS60" s="193"/>
      <c r="AT60" s="193"/>
      <c r="AU60" s="193"/>
      <c r="AV60" s="194"/>
      <c r="AW60" s="193"/>
      <c r="AX60" s="207"/>
      <c r="AY60" s="208"/>
      <c r="AZ60" s="209"/>
      <c r="BA60" s="209"/>
      <c r="BB60" s="209"/>
      <c r="BC60" s="206"/>
      <c r="BD60" s="206"/>
      <c r="BE60" s="213"/>
      <c r="BF60" s="217"/>
      <c r="BG60" s="209"/>
      <c r="BH60" s="218"/>
      <c r="BI60" s="215"/>
      <c r="BJ60" s="215"/>
      <c r="BK60" s="215"/>
      <c r="BL60" s="215"/>
      <c r="BM60" s="215"/>
      <c r="BN60" s="215"/>
      <c r="BO60" s="216"/>
      <c r="BP60" s="215"/>
      <c r="BQ60" s="228"/>
      <c r="BR60" s="229"/>
      <c r="BS60" s="230"/>
      <c r="BT60" s="230"/>
      <c r="BU60" s="230"/>
      <c r="BV60" s="227"/>
      <c r="BW60" s="227"/>
      <c r="BX60" s="234"/>
      <c r="BY60" s="229"/>
      <c r="BZ60" s="230"/>
      <c r="CA60" s="235"/>
    </row>
    <row r="61" spans="1:79" ht="151.5" customHeight="1">
      <c r="A61" s="134" t="str">
        <f>IFERROR(INDEX(Riesgos!$A$7:$M$84,MATCH(E61,INDEX(Riesgos!$A$7:$M$84,,MATCH(E$7,Riesgos!$A$6:$M$6,0)),0),MATCH(A$7,Riesgos!$A$6:$M$6,0)),"")</f>
        <v/>
      </c>
      <c r="B61" s="135" t="str">
        <f>IFERROR(INDEX(Riesgos!$A$7:$M$84,MATCH(E61,INDEX(Riesgos!$A$7:$M$84,,MATCH(E$7,Riesgos!$A$6:$M$6,0)),0),MATCH(B$7,Riesgos!$A$6:$M$6,0)),"")</f>
        <v/>
      </c>
      <c r="C61" s="135"/>
      <c r="D61" s="136" t="str">
        <f>IFERROR(INDEX(Riesgos!$A$7:$M$84,MATCH(E61,INDEX(Riesgos!$A$7:$M$84,,MATCH(E$7,Riesgos!$A$6:$M$6,0)),0),MATCH(D$7,Riesgos!$A$6:$M$6,0)),"")</f>
        <v/>
      </c>
      <c r="E61" s="137"/>
      <c r="F61" s="137"/>
      <c r="G61" s="138" t="str">
        <f t="shared" si="1"/>
        <v/>
      </c>
      <c r="H61" s="139"/>
      <c r="I61" s="153" t="str">
        <f>IF(A60=A61,IFERROR(IF(AND(#REF!="Probabilidad",#REF!="Probabilidad"),(#REF!-(+#REF!*#REF!)),IF(#REF!="Probabilidad",(#REF!-(+#REF!*#REF!)),IF(#REF!="Impacto",#REF!,""))),""),IFERROR(IF(#REF!="Probabilidad",(#REF!-(+#REF!*#REF!)),IF(#REF!="Impacto",#REF!,"")),""))</f>
        <v/>
      </c>
      <c r="J61" s="154" t="str">
        <f>IFERROR(IF(I61="","",IF(I61&lt;='Listas y tablas'!$L$3,"Muy Baja",IF(I61&lt;='Listas y tablas'!$L$4,"Baja",IF(I61&lt;='Listas y tablas'!$L$5,"Media",IF(I61&lt;='Listas y tablas'!$L$6,"Alta","Muy Alta"))))),"")</f>
        <v/>
      </c>
      <c r="K61" s="155"/>
      <c r="L61" s="156"/>
      <c r="M61" s="150"/>
      <c r="N61" s="151"/>
      <c r="O61" s="151"/>
      <c r="P61" s="152"/>
      <c r="Q61" s="162"/>
      <c r="R61" s="151"/>
      <c r="S61" s="151"/>
      <c r="T61" s="151"/>
      <c r="U61" s="151"/>
      <c r="V61" s="165"/>
      <c r="W61" s="150"/>
      <c r="X61" s="151"/>
      <c r="Y61" s="151"/>
      <c r="Z61" s="151"/>
      <c r="AA61" s="151"/>
      <c r="AB61" s="151"/>
      <c r="AC61" s="163"/>
      <c r="AD61" s="151"/>
      <c r="AE61" s="152"/>
      <c r="AF61" s="173"/>
      <c r="AG61" s="185"/>
      <c r="AH61" s="185"/>
      <c r="AI61" s="186"/>
      <c r="AJ61" s="181"/>
      <c r="AK61" s="181"/>
      <c r="AL61" s="183"/>
      <c r="AM61" s="173"/>
      <c r="AN61" s="187"/>
      <c r="AO61" s="195"/>
      <c r="AP61" s="193"/>
      <c r="AQ61" s="193"/>
      <c r="AR61" s="193"/>
      <c r="AS61" s="193"/>
      <c r="AT61" s="193"/>
      <c r="AU61" s="193"/>
      <c r="AV61" s="194"/>
      <c r="AW61" s="193"/>
      <c r="AX61" s="207"/>
      <c r="AY61" s="208"/>
      <c r="AZ61" s="209"/>
      <c r="BA61" s="209"/>
      <c r="BB61" s="209"/>
      <c r="BC61" s="206"/>
      <c r="BD61" s="206"/>
      <c r="BE61" s="213"/>
      <c r="BF61" s="217"/>
      <c r="BG61" s="209"/>
      <c r="BH61" s="218"/>
      <c r="BI61" s="215"/>
      <c r="BJ61" s="215"/>
      <c r="BK61" s="215"/>
      <c r="BL61" s="215"/>
      <c r="BM61" s="215"/>
      <c r="BN61" s="215"/>
      <c r="BO61" s="216"/>
      <c r="BP61" s="215"/>
      <c r="BQ61" s="228"/>
      <c r="BR61" s="229"/>
      <c r="BS61" s="230"/>
      <c r="BT61" s="230"/>
      <c r="BU61" s="230"/>
      <c r="BV61" s="227"/>
      <c r="BW61" s="227"/>
      <c r="BX61" s="234"/>
      <c r="BY61" s="229"/>
      <c r="BZ61" s="230"/>
      <c r="CA61" s="235"/>
    </row>
    <row r="62" spans="1:79" ht="151.5" customHeight="1">
      <c r="A62" s="134" t="str">
        <f>IFERROR(INDEX(Riesgos!$A$7:$M$84,MATCH(E62,INDEX(Riesgos!$A$7:$M$84,,MATCH(E$7,Riesgos!$A$6:$M$6,0)),0),MATCH(A$7,Riesgos!$A$6:$M$6,0)),"")</f>
        <v/>
      </c>
      <c r="B62" s="135" t="str">
        <f>IFERROR(INDEX(Riesgos!$A$7:$M$84,MATCH(E62,INDEX(Riesgos!$A$7:$M$84,,MATCH(E$7,Riesgos!$A$6:$M$6,0)),0),MATCH(B$7,Riesgos!$A$6:$M$6,0)),"")</f>
        <v/>
      </c>
      <c r="C62" s="135"/>
      <c r="D62" s="136" t="str">
        <f>IFERROR(INDEX(Riesgos!$A$7:$M$84,MATCH(E62,INDEX(Riesgos!$A$7:$M$84,,MATCH(E$7,Riesgos!$A$6:$M$6,0)),0),MATCH(D$7,Riesgos!$A$6:$M$6,0)),"")</f>
        <v/>
      </c>
      <c r="E62" s="137"/>
      <c r="F62" s="137"/>
      <c r="G62" s="138" t="str">
        <f t="shared" si="1"/>
        <v/>
      </c>
      <c r="H62" s="139"/>
      <c r="I62" s="153" t="str">
        <f>IF(A61=A62,IFERROR(IF(AND(#REF!="Probabilidad",#REF!="Probabilidad"),(#REF!-(+#REF!*#REF!)),IF(#REF!="Probabilidad",(#REF!-(+#REF!*#REF!)),IF(#REF!="Impacto",#REF!,""))),""),IFERROR(IF(#REF!="Probabilidad",(#REF!-(+#REF!*#REF!)),IF(#REF!="Impacto",#REF!,"")),""))</f>
        <v/>
      </c>
      <c r="J62" s="154" t="str">
        <f>IFERROR(IF(I62="","",IF(I62&lt;='Listas y tablas'!$L$3,"Muy Baja",IF(I62&lt;='Listas y tablas'!$L$4,"Baja",IF(I62&lt;='Listas y tablas'!$L$5,"Media",IF(I62&lt;='Listas y tablas'!$L$6,"Alta","Muy Alta"))))),"")</f>
        <v/>
      </c>
      <c r="K62" s="155"/>
      <c r="L62" s="156"/>
      <c r="M62" s="150"/>
      <c r="N62" s="151"/>
      <c r="O62" s="151"/>
      <c r="P62" s="152"/>
      <c r="Q62" s="162"/>
      <c r="R62" s="151"/>
      <c r="S62" s="151"/>
      <c r="T62" s="151"/>
      <c r="U62" s="151"/>
      <c r="V62" s="165"/>
      <c r="W62" s="150"/>
      <c r="X62" s="151"/>
      <c r="Y62" s="151"/>
      <c r="Z62" s="151"/>
      <c r="AA62" s="151"/>
      <c r="AB62" s="151"/>
      <c r="AC62" s="163"/>
      <c r="AD62" s="151"/>
      <c r="AE62" s="152"/>
      <c r="AF62" s="173"/>
      <c r="AG62" s="185"/>
      <c r="AH62" s="185"/>
      <c r="AI62" s="186"/>
      <c r="AJ62" s="181"/>
      <c r="AK62" s="181"/>
      <c r="AL62" s="183"/>
      <c r="AM62" s="173"/>
      <c r="AN62" s="187"/>
      <c r="AO62" s="195"/>
      <c r="AP62" s="193"/>
      <c r="AQ62" s="193"/>
      <c r="AR62" s="193"/>
      <c r="AS62" s="193"/>
      <c r="AT62" s="193"/>
      <c r="AU62" s="193"/>
      <c r="AV62" s="194"/>
      <c r="AW62" s="193"/>
      <c r="AX62" s="207"/>
      <c r="AY62" s="208"/>
      <c r="AZ62" s="209"/>
      <c r="BA62" s="209"/>
      <c r="BB62" s="209"/>
      <c r="BC62" s="206"/>
      <c r="BD62" s="206"/>
      <c r="BE62" s="213"/>
      <c r="BF62" s="217"/>
      <c r="BG62" s="209"/>
      <c r="BH62" s="218"/>
      <c r="BI62" s="215"/>
      <c r="BJ62" s="215"/>
      <c r="BK62" s="215"/>
      <c r="BL62" s="215"/>
      <c r="BM62" s="215"/>
      <c r="BN62" s="215"/>
      <c r="BO62" s="216"/>
      <c r="BP62" s="215"/>
      <c r="BQ62" s="228"/>
      <c r="BR62" s="229"/>
      <c r="BS62" s="230"/>
      <c r="BT62" s="230"/>
      <c r="BU62" s="230"/>
      <c r="BV62" s="227"/>
      <c r="BW62" s="227"/>
      <c r="BX62" s="234"/>
      <c r="BY62" s="229"/>
      <c r="BZ62" s="230"/>
      <c r="CA62" s="235"/>
    </row>
    <row r="63" spans="1:79" ht="151.5" customHeight="1">
      <c r="A63" s="134" t="str">
        <f>IFERROR(INDEX(Riesgos!$A$7:$M$84,MATCH(E63,INDEX(Riesgos!$A$7:$M$84,,MATCH(E$7,Riesgos!$A$6:$M$6,0)),0),MATCH(A$7,Riesgos!$A$6:$M$6,0)),"")</f>
        <v/>
      </c>
      <c r="B63" s="135" t="str">
        <f>IFERROR(INDEX(Riesgos!$A$7:$M$84,MATCH(E63,INDEX(Riesgos!$A$7:$M$84,,MATCH(E$7,Riesgos!$A$6:$M$6,0)),0),MATCH(B$7,Riesgos!$A$6:$M$6,0)),"")</f>
        <v/>
      </c>
      <c r="C63" s="135"/>
      <c r="D63" s="136" t="str">
        <f>IFERROR(INDEX(Riesgos!$A$7:$M$84,MATCH(E63,INDEX(Riesgos!$A$7:$M$84,,MATCH(E$7,Riesgos!$A$6:$M$6,0)),0),MATCH(D$7,Riesgos!$A$6:$M$6,0)),"")</f>
        <v/>
      </c>
      <c r="E63" s="137"/>
      <c r="F63" s="137"/>
      <c r="G63" s="138" t="str">
        <f t="shared" si="1"/>
        <v/>
      </c>
      <c r="H63" s="139"/>
      <c r="I63" s="153" t="str">
        <f>IF(A62=A63,IFERROR(IF(AND(#REF!="Probabilidad",#REF!="Probabilidad"),(#REF!-(+#REF!*#REF!)),IF(#REF!="Probabilidad",(#REF!-(+#REF!*#REF!)),IF(#REF!="Impacto",#REF!,""))),""),IFERROR(IF(#REF!="Probabilidad",(#REF!-(+#REF!*#REF!)),IF(#REF!="Impacto",#REF!,"")),""))</f>
        <v/>
      </c>
      <c r="J63" s="154" t="str">
        <f>IFERROR(IF(I63="","",IF(I63&lt;='Listas y tablas'!$L$3,"Muy Baja",IF(I63&lt;='Listas y tablas'!$L$4,"Baja",IF(I63&lt;='Listas y tablas'!$L$5,"Media",IF(I63&lt;='Listas y tablas'!$L$6,"Alta","Muy Alta"))))),"")</f>
        <v/>
      </c>
      <c r="K63" s="155"/>
      <c r="L63" s="156"/>
      <c r="M63" s="150"/>
      <c r="N63" s="151"/>
      <c r="O63" s="151"/>
      <c r="P63" s="152"/>
      <c r="Q63" s="162"/>
      <c r="R63" s="151"/>
      <c r="S63" s="151"/>
      <c r="T63" s="151"/>
      <c r="U63" s="151"/>
      <c r="V63" s="165"/>
      <c r="W63" s="150"/>
      <c r="X63" s="151"/>
      <c r="Y63" s="151"/>
      <c r="Z63" s="151"/>
      <c r="AA63" s="151"/>
      <c r="AB63" s="151"/>
      <c r="AC63" s="163"/>
      <c r="AD63" s="151"/>
      <c r="AE63" s="152"/>
      <c r="AF63" s="173"/>
      <c r="AG63" s="185"/>
      <c r="AH63" s="185"/>
      <c r="AI63" s="186"/>
      <c r="AJ63" s="181"/>
      <c r="AK63" s="181"/>
      <c r="AL63" s="183"/>
      <c r="AM63" s="173"/>
      <c r="AN63" s="187"/>
      <c r="AO63" s="195"/>
      <c r="AP63" s="193"/>
      <c r="AQ63" s="193"/>
      <c r="AR63" s="193"/>
      <c r="AS63" s="193"/>
      <c r="AT63" s="193"/>
      <c r="AU63" s="193"/>
      <c r="AV63" s="194"/>
      <c r="AW63" s="193"/>
      <c r="AX63" s="207"/>
      <c r="AY63" s="208"/>
      <c r="AZ63" s="209"/>
      <c r="BA63" s="209"/>
      <c r="BB63" s="209"/>
      <c r="BC63" s="206"/>
      <c r="BD63" s="206"/>
      <c r="BE63" s="213"/>
      <c r="BF63" s="217"/>
      <c r="BG63" s="209"/>
      <c r="BH63" s="218"/>
      <c r="BI63" s="215"/>
      <c r="BJ63" s="215"/>
      <c r="BK63" s="215"/>
      <c r="BL63" s="215"/>
      <c r="BM63" s="215"/>
      <c r="BN63" s="215"/>
      <c r="BO63" s="216"/>
      <c r="BP63" s="215"/>
      <c r="BQ63" s="228"/>
      <c r="BR63" s="229"/>
      <c r="BS63" s="230"/>
      <c r="BT63" s="230"/>
      <c r="BU63" s="230"/>
      <c r="BV63" s="227"/>
      <c r="BW63" s="227"/>
      <c r="BX63" s="234"/>
      <c r="BY63" s="229"/>
      <c r="BZ63" s="230"/>
      <c r="CA63" s="235"/>
    </row>
    <row r="64" spans="1:79" ht="151.5" customHeight="1">
      <c r="A64" s="134" t="str">
        <f>IFERROR(INDEX(Riesgos!$A$7:$M$84,MATCH(E64,INDEX(Riesgos!$A$7:$M$84,,MATCH(E$7,Riesgos!$A$6:$M$6,0)),0),MATCH(A$7,Riesgos!$A$6:$M$6,0)),"")</f>
        <v/>
      </c>
      <c r="B64" s="135" t="str">
        <f>IFERROR(INDEX(Riesgos!$A$7:$M$84,MATCH(E64,INDEX(Riesgos!$A$7:$M$84,,MATCH(E$7,Riesgos!$A$6:$M$6,0)),0),MATCH(B$7,Riesgos!$A$6:$M$6,0)),"")</f>
        <v/>
      </c>
      <c r="C64" s="135"/>
      <c r="D64" s="136" t="str">
        <f>IFERROR(INDEX(Riesgos!$A$7:$M$84,MATCH(E64,INDEX(Riesgos!$A$7:$M$84,,MATCH(E$7,Riesgos!$A$6:$M$6,0)),0),MATCH(D$7,Riesgos!$A$6:$M$6,0)),"")</f>
        <v/>
      </c>
      <c r="E64" s="137"/>
      <c r="F64" s="137"/>
      <c r="G64" s="138" t="str">
        <f t="shared" si="1"/>
        <v/>
      </c>
      <c r="H64" s="140"/>
      <c r="I64" s="153" t="str">
        <f>IF(A63=A64,IFERROR(IF(AND(#REF!="Probabilidad",#REF!="Probabilidad"),(#REF!-(+#REF!*#REF!)),IF(#REF!="Probabilidad",(#REF!-(+#REF!*#REF!)),IF(#REF!="Impacto",#REF!,""))),""),IFERROR(IF(#REF!="Probabilidad",(#REF!-(+#REF!*#REF!)),IF(#REF!="Impacto",#REF!,"")),""))</f>
        <v/>
      </c>
      <c r="J64" s="154" t="str">
        <f>IFERROR(IF(I64="","",IF(I64&lt;='Listas y tablas'!$L$3,"Muy Baja",IF(I64&lt;='Listas y tablas'!$L$4,"Baja",IF(I64&lt;='Listas y tablas'!$L$5,"Media",IF(I64&lt;='Listas y tablas'!$L$6,"Alta","Muy Alta"))))),"")</f>
        <v/>
      </c>
      <c r="K64" s="155"/>
      <c r="L64" s="156"/>
      <c r="M64" s="150"/>
      <c r="N64" s="151"/>
      <c r="O64" s="151"/>
      <c r="P64" s="152"/>
      <c r="Q64" s="162"/>
      <c r="R64" s="151"/>
      <c r="S64" s="151"/>
      <c r="T64" s="151"/>
      <c r="U64" s="151"/>
      <c r="V64" s="165"/>
      <c r="W64" s="150"/>
      <c r="X64" s="151"/>
      <c r="Y64" s="151"/>
      <c r="Z64" s="151"/>
      <c r="AA64" s="151"/>
      <c r="AB64" s="151"/>
      <c r="AC64" s="163"/>
      <c r="AD64" s="151"/>
      <c r="AE64" s="152"/>
      <c r="AF64" s="173"/>
      <c r="AG64" s="185"/>
      <c r="AH64" s="185"/>
      <c r="AI64" s="186"/>
      <c r="AJ64" s="181"/>
      <c r="AK64" s="181"/>
      <c r="AL64" s="183"/>
      <c r="AM64" s="173"/>
      <c r="AN64" s="187"/>
      <c r="AO64" s="195"/>
      <c r="AP64" s="193"/>
      <c r="AQ64" s="193"/>
      <c r="AR64" s="193"/>
      <c r="AS64" s="193"/>
      <c r="AT64" s="193"/>
      <c r="AU64" s="193"/>
      <c r="AV64" s="194"/>
      <c r="AW64" s="193"/>
      <c r="AX64" s="207"/>
      <c r="AY64" s="208"/>
      <c r="AZ64" s="209"/>
      <c r="BA64" s="209"/>
      <c r="BB64" s="209"/>
      <c r="BC64" s="206"/>
      <c r="BD64" s="206"/>
      <c r="BE64" s="213"/>
      <c r="BF64" s="217"/>
      <c r="BG64" s="209"/>
      <c r="BH64" s="218"/>
      <c r="BI64" s="215"/>
      <c r="BJ64" s="215"/>
      <c r="BK64" s="215"/>
      <c r="BL64" s="215"/>
      <c r="BM64" s="215"/>
      <c r="BN64" s="215"/>
      <c r="BO64" s="216"/>
      <c r="BP64" s="215"/>
      <c r="BQ64" s="228"/>
      <c r="BR64" s="229"/>
      <c r="BS64" s="230"/>
      <c r="BT64" s="230"/>
      <c r="BU64" s="230"/>
      <c r="BV64" s="227"/>
      <c r="BW64" s="227"/>
      <c r="BX64" s="234"/>
      <c r="BY64" s="229"/>
      <c r="BZ64" s="230"/>
      <c r="CA64" s="235"/>
    </row>
    <row r="65" spans="1:79" ht="151.5" customHeight="1">
      <c r="A65" s="134" t="str">
        <f>IFERROR(INDEX(Riesgos!$A$7:$M$84,MATCH(E65,INDEX(Riesgos!$A$7:$M$84,,MATCH(E$7,Riesgos!$A$6:$M$6,0)),0),MATCH(A$7,Riesgos!$A$6:$M$6,0)),"")</f>
        <v/>
      </c>
      <c r="B65" s="135" t="str">
        <f>IFERROR(INDEX(Riesgos!$A$7:$M$84,MATCH(E65,INDEX(Riesgos!$A$7:$M$84,,MATCH(E$7,Riesgos!$A$6:$M$6,0)),0),MATCH(B$7,Riesgos!$A$6:$M$6,0)),"")</f>
        <v/>
      </c>
      <c r="C65" s="135"/>
      <c r="D65" s="136" t="str">
        <f>IFERROR(INDEX(Riesgos!$A$7:$M$84,MATCH(E65,INDEX(Riesgos!$A$7:$M$84,,MATCH(E$7,Riesgos!$A$6:$M$6,0)),0),MATCH(D$7,Riesgos!$A$6:$M$6,0)),"")</f>
        <v/>
      </c>
      <c r="E65" s="137"/>
      <c r="F65" s="137"/>
      <c r="G65" s="138" t="str">
        <f t="shared" si="1"/>
        <v/>
      </c>
      <c r="H65" s="139"/>
      <c r="I65" s="153" t="str">
        <f>IF(A64=A65,IFERROR(IF(AND(#REF!="Probabilidad",#REF!="Probabilidad"),(#REF!-(+#REF!*#REF!)),IF(#REF!="Probabilidad",(#REF!-(+#REF!*#REF!)),IF(#REF!="Impacto",#REF!,""))),""),IFERROR(IF(#REF!="Probabilidad",(#REF!-(+#REF!*#REF!)),IF(#REF!="Impacto",#REF!,"")),""))</f>
        <v/>
      </c>
      <c r="J65" s="154" t="str">
        <f>IFERROR(IF(I65="","",IF(I65&lt;='Listas y tablas'!$L$3,"Muy Baja",IF(I65&lt;='Listas y tablas'!$L$4,"Baja",IF(I65&lt;='Listas y tablas'!$L$5,"Media",IF(I65&lt;='Listas y tablas'!$L$6,"Alta","Muy Alta"))))),"")</f>
        <v/>
      </c>
      <c r="K65" s="155"/>
      <c r="L65" s="156"/>
      <c r="M65" s="150"/>
      <c r="N65" s="151"/>
      <c r="O65" s="151"/>
      <c r="P65" s="152"/>
      <c r="Q65" s="162"/>
      <c r="R65" s="151"/>
      <c r="S65" s="151"/>
      <c r="T65" s="151"/>
      <c r="U65" s="151"/>
      <c r="V65" s="165"/>
      <c r="W65" s="150"/>
      <c r="X65" s="151"/>
      <c r="Y65" s="151"/>
      <c r="Z65" s="151"/>
      <c r="AA65" s="151"/>
      <c r="AB65" s="151"/>
      <c r="AC65" s="163"/>
      <c r="AD65" s="151"/>
      <c r="AE65" s="152"/>
      <c r="AF65" s="173"/>
      <c r="AG65" s="185"/>
      <c r="AH65" s="185"/>
      <c r="AI65" s="186"/>
      <c r="AJ65" s="181"/>
      <c r="AK65" s="181"/>
      <c r="AL65" s="183"/>
      <c r="AM65" s="173"/>
      <c r="AN65" s="187"/>
      <c r="AO65" s="195"/>
      <c r="AP65" s="193"/>
      <c r="AQ65" s="193"/>
      <c r="AR65" s="193"/>
      <c r="AS65" s="193"/>
      <c r="AT65" s="193"/>
      <c r="AU65" s="193"/>
      <c r="AV65" s="194"/>
      <c r="AW65" s="193"/>
      <c r="AX65" s="207"/>
      <c r="AY65" s="208"/>
      <c r="AZ65" s="209"/>
      <c r="BA65" s="209"/>
      <c r="BB65" s="209"/>
      <c r="BC65" s="206"/>
      <c r="BD65" s="206"/>
      <c r="BE65" s="213"/>
      <c r="BF65" s="217"/>
      <c r="BG65" s="209"/>
      <c r="BH65" s="218"/>
      <c r="BI65" s="215"/>
      <c r="BJ65" s="215"/>
      <c r="BK65" s="215"/>
      <c r="BL65" s="215"/>
      <c r="BM65" s="215"/>
      <c r="BN65" s="215"/>
      <c r="BO65" s="216"/>
      <c r="BP65" s="215"/>
      <c r="BQ65" s="228"/>
      <c r="BR65" s="229"/>
      <c r="BS65" s="230"/>
      <c r="BT65" s="230"/>
      <c r="BU65" s="230"/>
      <c r="BV65" s="227"/>
      <c r="BW65" s="227"/>
      <c r="BX65" s="234"/>
      <c r="BY65" s="229"/>
      <c r="BZ65" s="230"/>
      <c r="CA65" s="235"/>
    </row>
    <row r="66" spans="1:79" ht="151.5" customHeight="1">
      <c r="A66" s="134" t="str">
        <f>IFERROR(INDEX(Riesgos!$A$7:$M$84,MATCH(E66,INDEX(Riesgos!$A$7:$M$84,,MATCH(E$7,Riesgos!$A$6:$M$6,0)),0),MATCH(A$7,Riesgos!$A$6:$M$6,0)),"")</f>
        <v/>
      </c>
      <c r="B66" s="135" t="str">
        <f>IFERROR(INDEX(Riesgos!$A$7:$M$84,MATCH(E66,INDEX(Riesgos!$A$7:$M$84,,MATCH(E$7,Riesgos!$A$6:$M$6,0)),0),MATCH(B$7,Riesgos!$A$6:$M$6,0)),"")</f>
        <v/>
      </c>
      <c r="C66" s="135"/>
      <c r="D66" s="136" t="str">
        <f>IFERROR(INDEX(Riesgos!$A$7:$M$84,MATCH(E66,INDEX(Riesgos!$A$7:$M$84,,MATCH(E$7,Riesgos!$A$6:$M$6,0)),0),MATCH(D$7,Riesgos!$A$6:$M$6,0)),"")</f>
        <v/>
      </c>
      <c r="E66" s="137"/>
      <c r="F66" s="137"/>
      <c r="G66" s="138" t="str">
        <f t="shared" ref="G66:G129" si="2">IF(ISTEXT(E66),1+G65,"")</f>
        <v/>
      </c>
      <c r="H66" s="139"/>
      <c r="I66" s="153" t="str">
        <f>IF(A65=A66,IFERROR(IF(AND(#REF!="Probabilidad",#REF!="Probabilidad"),(#REF!-(+#REF!*#REF!)),IF(#REF!="Probabilidad",(#REF!-(+#REF!*#REF!)),IF(#REF!="Impacto",#REF!,""))),""),IFERROR(IF(#REF!="Probabilidad",(#REF!-(+#REF!*#REF!)),IF(#REF!="Impacto",#REF!,"")),""))</f>
        <v/>
      </c>
      <c r="J66" s="154" t="str">
        <f>IFERROR(IF(I66="","",IF(I66&lt;='Listas y tablas'!$L$3,"Muy Baja",IF(I66&lt;='Listas y tablas'!$L$4,"Baja",IF(I66&lt;='Listas y tablas'!$L$5,"Media",IF(I66&lt;='Listas y tablas'!$L$6,"Alta","Muy Alta"))))),"")</f>
        <v/>
      </c>
      <c r="K66" s="155"/>
      <c r="L66" s="156"/>
      <c r="M66" s="150"/>
      <c r="N66" s="151"/>
      <c r="O66" s="151"/>
      <c r="P66" s="152"/>
      <c r="Q66" s="162"/>
      <c r="R66" s="151"/>
      <c r="S66" s="151"/>
      <c r="T66" s="151"/>
      <c r="U66" s="151"/>
      <c r="V66" s="165"/>
      <c r="W66" s="150"/>
      <c r="X66" s="151"/>
      <c r="Y66" s="151"/>
      <c r="Z66" s="151"/>
      <c r="AA66" s="151"/>
      <c r="AB66" s="151"/>
      <c r="AC66" s="163"/>
      <c r="AD66" s="151"/>
      <c r="AE66" s="152"/>
      <c r="AF66" s="173"/>
      <c r="AG66" s="185"/>
      <c r="AH66" s="185"/>
      <c r="AI66" s="186"/>
      <c r="AJ66" s="181"/>
      <c r="AK66" s="181"/>
      <c r="AL66" s="183"/>
      <c r="AM66" s="173"/>
      <c r="AN66" s="187"/>
      <c r="AO66" s="195"/>
      <c r="AP66" s="193"/>
      <c r="AQ66" s="193"/>
      <c r="AR66" s="193"/>
      <c r="AS66" s="193"/>
      <c r="AT66" s="193"/>
      <c r="AU66" s="193"/>
      <c r="AV66" s="194"/>
      <c r="AW66" s="193"/>
      <c r="AX66" s="207"/>
      <c r="AY66" s="208"/>
      <c r="AZ66" s="209"/>
      <c r="BA66" s="209"/>
      <c r="BB66" s="209"/>
      <c r="BC66" s="206"/>
      <c r="BD66" s="206"/>
      <c r="BE66" s="213"/>
      <c r="BF66" s="217"/>
      <c r="BG66" s="209"/>
      <c r="BH66" s="218"/>
      <c r="BI66" s="215"/>
      <c r="BJ66" s="215"/>
      <c r="BK66" s="215"/>
      <c r="BL66" s="215"/>
      <c r="BM66" s="215"/>
      <c r="BN66" s="215"/>
      <c r="BO66" s="216"/>
      <c r="BP66" s="215"/>
      <c r="BQ66" s="228"/>
      <c r="BR66" s="229"/>
      <c r="BS66" s="230"/>
      <c r="BT66" s="230"/>
      <c r="BU66" s="230"/>
      <c r="BV66" s="227"/>
      <c r="BW66" s="227"/>
      <c r="BX66" s="234"/>
      <c r="BY66" s="229"/>
      <c r="BZ66" s="230"/>
      <c r="CA66" s="235"/>
    </row>
    <row r="67" spans="1:79" ht="151.5" customHeight="1">
      <c r="A67" s="134" t="str">
        <f>IFERROR(INDEX(Riesgos!$A$7:$M$84,MATCH(E67,INDEX(Riesgos!$A$7:$M$84,,MATCH(E$7,Riesgos!$A$6:$M$6,0)),0),MATCH(A$7,Riesgos!$A$6:$M$6,0)),"")</f>
        <v/>
      </c>
      <c r="B67" s="135" t="str">
        <f>IFERROR(INDEX(Riesgos!$A$7:$M$84,MATCH(E67,INDEX(Riesgos!$A$7:$M$84,,MATCH(E$7,Riesgos!$A$6:$M$6,0)),0),MATCH(B$7,Riesgos!$A$6:$M$6,0)),"")</f>
        <v/>
      </c>
      <c r="C67" s="135"/>
      <c r="D67" s="136" t="str">
        <f>IFERROR(INDEX(Riesgos!$A$7:$M$84,MATCH(E67,INDEX(Riesgos!$A$7:$M$84,,MATCH(E$7,Riesgos!$A$6:$M$6,0)),0),MATCH(D$7,Riesgos!$A$6:$M$6,0)),"")</f>
        <v/>
      </c>
      <c r="E67" s="137"/>
      <c r="F67" s="137"/>
      <c r="G67" s="138" t="str">
        <f t="shared" si="2"/>
        <v/>
      </c>
      <c r="H67" s="139"/>
      <c r="I67" s="153" t="str">
        <f>IF(A66=A67,IFERROR(IF(AND(#REF!="Probabilidad",#REF!="Probabilidad"),(#REF!-(+#REF!*#REF!)),IF(#REF!="Probabilidad",(#REF!-(+#REF!*#REF!)),IF(#REF!="Impacto",#REF!,""))),""),IFERROR(IF(#REF!="Probabilidad",(#REF!-(+#REF!*#REF!)),IF(#REF!="Impacto",#REF!,"")),""))</f>
        <v/>
      </c>
      <c r="J67" s="154" t="str">
        <f>IFERROR(IF(I67="","",IF(I67&lt;='Listas y tablas'!$L$3,"Muy Baja",IF(I67&lt;='Listas y tablas'!$L$4,"Baja",IF(I67&lt;='Listas y tablas'!$L$5,"Media",IF(I67&lt;='Listas y tablas'!$L$6,"Alta","Muy Alta"))))),"")</f>
        <v/>
      </c>
      <c r="K67" s="155"/>
      <c r="L67" s="156"/>
      <c r="M67" s="150"/>
      <c r="N67" s="151"/>
      <c r="O67" s="151"/>
      <c r="P67" s="152"/>
      <c r="Q67" s="162"/>
      <c r="R67" s="151"/>
      <c r="S67" s="151"/>
      <c r="T67" s="151"/>
      <c r="U67" s="151"/>
      <c r="V67" s="165"/>
      <c r="W67" s="150"/>
      <c r="X67" s="151"/>
      <c r="Y67" s="151"/>
      <c r="Z67" s="151"/>
      <c r="AA67" s="151"/>
      <c r="AB67" s="151"/>
      <c r="AC67" s="163"/>
      <c r="AD67" s="151"/>
      <c r="AE67" s="152"/>
      <c r="AF67" s="173"/>
      <c r="AG67" s="185"/>
      <c r="AH67" s="185"/>
      <c r="AI67" s="186"/>
      <c r="AJ67" s="181"/>
      <c r="AK67" s="181"/>
      <c r="AL67" s="183"/>
      <c r="AM67" s="173"/>
      <c r="AN67" s="187"/>
      <c r="AO67" s="195"/>
      <c r="AP67" s="193"/>
      <c r="AQ67" s="193"/>
      <c r="AR67" s="193"/>
      <c r="AS67" s="193"/>
      <c r="AT67" s="193"/>
      <c r="AU67" s="193"/>
      <c r="AV67" s="194"/>
      <c r="AW67" s="193"/>
      <c r="AX67" s="207"/>
      <c r="AY67" s="208"/>
      <c r="AZ67" s="209"/>
      <c r="BA67" s="209"/>
      <c r="BB67" s="209"/>
      <c r="BC67" s="206"/>
      <c r="BD67" s="206"/>
      <c r="BE67" s="213"/>
      <c r="BF67" s="217"/>
      <c r="BG67" s="209"/>
      <c r="BH67" s="218"/>
      <c r="BI67" s="215"/>
      <c r="BJ67" s="215"/>
      <c r="BK67" s="215"/>
      <c r="BL67" s="215"/>
      <c r="BM67" s="215"/>
      <c r="BN67" s="215"/>
      <c r="BO67" s="216"/>
      <c r="BP67" s="215"/>
      <c r="BQ67" s="228"/>
      <c r="BR67" s="229"/>
      <c r="BS67" s="230"/>
      <c r="BT67" s="230"/>
      <c r="BU67" s="230"/>
      <c r="BV67" s="227"/>
      <c r="BW67" s="227"/>
      <c r="BX67" s="234"/>
      <c r="BY67" s="229"/>
      <c r="BZ67" s="230"/>
      <c r="CA67" s="235"/>
    </row>
    <row r="68" spans="1:79" ht="151.5" customHeight="1">
      <c r="A68" s="134" t="str">
        <f>IFERROR(INDEX(Riesgos!$A$7:$M$84,MATCH(E68,INDEX(Riesgos!$A$7:$M$84,,MATCH(E$7,Riesgos!$A$6:$M$6,0)),0),MATCH(A$7,Riesgos!$A$6:$M$6,0)),"")</f>
        <v/>
      </c>
      <c r="B68" s="135" t="str">
        <f>IFERROR(INDEX(Riesgos!$A$7:$M$84,MATCH(E68,INDEX(Riesgos!$A$7:$M$84,,MATCH(E$7,Riesgos!$A$6:$M$6,0)),0),MATCH(B$7,Riesgos!$A$6:$M$6,0)),"")</f>
        <v/>
      </c>
      <c r="C68" s="135"/>
      <c r="D68" s="136" t="str">
        <f>IFERROR(INDEX(Riesgos!$A$7:$M$84,MATCH(E68,INDEX(Riesgos!$A$7:$M$84,,MATCH(E$7,Riesgos!$A$6:$M$6,0)),0),MATCH(D$7,Riesgos!$A$6:$M$6,0)),"")</f>
        <v/>
      </c>
      <c r="E68" s="137"/>
      <c r="F68" s="137"/>
      <c r="G68" s="138" t="str">
        <f t="shared" si="2"/>
        <v/>
      </c>
      <c r="H68" s="139"/>
      <c r="I68" s="153" t="str">
        <f>IF(A67=A68,IFERROR(IF(AND(#REF!="Probabilidad",#REF!="Probabilidad"),(#REF!-(+#REF!*#REF!)),IF(#REF!="Probabilidad",(#REF!-(+#REF!*#REF!)),IF(#REF!="Impacto",#REF!,""))),""),IFERROR(IF(#REF!="Probabilidad",(#REF!-(+#REF!*#REF!)),IF(#REF!="Impacto",#REF!,"")),""))</f>
        <v/>
      </c>
      <c r="J68" s="154" t="str">
        <f>IFERROR(IF(I68="","",IF(I68&lt;='Listas y tablas'!$L$3,"Muy Baja",IF(I68&lt;='Listas y tablas'!$L$4,"Baja",IF(I68&lt;='Listas y tablas'!$L$5,"Media",IF(I68&lt;='Listas y tablas'!$L$6,"Alta","Muy Alta"))))),"")</f>
        <v/>
      </c>
      <c r="K68" s="155"/>
      <c r="L68" s="156"/>
      <c r="M68" s="150"/>
      <c r="N68" s="151"/>
      <c r="O68" s="151"/>
      <c r="P68" s="152"/>
      <c r="Q68" s="162"/>
      <c r="R68" s="151"/>
      <c r="S68" s="151"/>
      <c r="T68" s="151"/>
      <c r="U68" s="151"/>
      <c r="V68" s="165"/>
      <c r="W68" s="150"/>
      <c r="X68" s="151"/>
      <c r="Y68" s="151"/>
      <c r="Z68" s="151"/>
      <c r="AA68" s="151"/>
      <c r="AB68" s="151"/>
      <c r="AC68" s="163"/>
      <c r="AD68" s="151"/>
      <c r="AE68" s="152"/>
      <c r="AF68" s="173"/>
      <c r="AG68" s="185"/>
      <c r="AH68" s="185"/>
      <c r="AI68" s="186"/>
      <c r="AJ68" s="181"/>
      <c r="AK68" s="181"/>
      <c r="AL68" s="183"/>
      <c r="AM68" s="173"/>
      <c r="AN68" s="187"/>
      <c r="AO68" s="195"/>
      <c r="AP68" s="193"/>
      <c r="AQ68" s="193"/>
      <c r="AR68" s="193"/>
      <c r="AS68" s="193"/>
      <c r="AT68" s="193"/>
      <c r="AU68" s="193"/>
      <c r="AV68" s="194"/>
      <c r="AW68" s="193"/>
      <c r="AX68" s="207"/>
      <c r="AY68" s="208"/>
      <c r="AZ68" s="209"/>
      <c r="BA68" s="209"/>
      <c r="BB68" s="209"/>
      <c r="BC68" s="206"/>
      <c r="BD68" s="206"/>
      <c r="BE68" s="213"/>
      <c r="BF68" s="217"/>
      <c r="BG68" s="209"/>
      <c r="BH68" s="218"/>
      <c r="BI68" s="215"/>
      <c r="BJ68" s="215"/>
      <c r="BK68" s="215"/>
      <c r="BL68" s="215"/>
      <c r="BM68" s="215"/>
      <c r="BN68" s="215"/>
      <c r="BO68" s="216"/>
      <c r="BP68" s="215"/>
      <c r="BQ68" s="228"/>
      <c r="BR68" s="229"/>
      <c r="BS68" s="230"/>
      <c r="BT68" s="230"/>
      <c r="BU68" s="230"/>
      <c r="BV68" s="227"/>
      <c r="BW68" s="227"/>
      <c r="BX68" s="234"/>
      <c r="BY68" s="229"/>
      <c r="BZ68" s="230"/>
      <c r="CA68" s="235"/>
    </row>
    <row r="69" spans="1:79" ht="151.5" customHeight="1">
      <c r="A69" s="134" t="str">
        <f>IFERROR(INDEX(Riesgos!$A$7:$M$84,MATCH(E69,INDEX(Riesgos!$A$7:$M$84,,MATCH(E$7,Riesgos!$A$6:$M$6,0)),0),MATCH(A$7,Riesgos!$A$6:$M$6,0)),"")</f>
        <v/>
      </c>
      <c r="B69" s="135" t="str">
        <f>IFERROR(INDEX(Riesgos!$A$7:$M$84,MATCH(E69,INDEX(Riesgos!$A$7:$M$84,,MATCH(E$7,Riesgos!$A$6:$M$6,0)),0),MATCH(B$7,Riesgos!$A$6:$M$6,0)),"")</f>
        <v/>
      </c>
      <c r="C69" s="135"/>
      <c r="D69" s="136" t="str">
        <f>IFERROR(INDEX(Riesgos!$A$7:$M$84,MATCH(E69,INDEX(Riesgos!$A$7:$M$84,,MATCH(E$7,Riesgos!$A$6:$M$6,0)),0),MATCH(D$7,Riesgos!$A$6:$M$6,0)),"")</f>
        <v/>
      </c>
      <c r="E69" s="137"/>
      <c r="F69" s="137"/>
      <c r="G69" s="138" t="str">
        <f t="shared" si="2"/>
        <v/>
      </c>
      <c r="H69" s="139"/>
      <c r="I69" s="153" t="str">
        <f>IF(A68=A69,IFERROR(IF(AND(#REF!="Probabilidad",#REF!="Probabilidad"),(#REF!-(+#REF!*#REF!)),IF(#REF!="Probabilidad",(#REF!-(+#REF!*#REF!)),IF(#REF!="Impacto",#REF!,""))),""),IFERROR(IF(#REF!="Probabilidad",(#REF!-(+#REF!*#REF!)),IF(#REF!="Impacto",#REF!,"")),""))</f>
        <v/>
      </c>
      <c r="J69" s="154" t="str">
        <f>IFERROR(IF(I69="","",IF(I69&lt;='Listas y tablas'!$L$3,"Muy Baja",IF(I69&lt;='Listas y tablas'!$L$4,"Baja",IF(I69&lt;='Listas y tablas'!$L$5,"Media",IF(I69&lt;='Listas y tablas'!$L$6,"Alta","Muy Alta"))))),"")</f>
        <v/>
      </c>
      <c r="K69" s="155"/>
      <c r="L69" s="156"/>
      <c r="M69" s="150"/>
      <c r="N69" s="151"/>
      <c r="O69" s="151"/>
      <c r="P69" s="152"/>
      <c r="Q69" s="162"/>
      <c r="R69" s="151"/>
      <c r="S69" s="151"/>
      <c r="T69" s="151"/>
      <c r="U69" s="151"/>
      <c r="V69" s="165"/>
      <c r="W69" s="150"/>
      <c r="X69" s="151"/>
      <c r="Y69" s="151"/>
      <c r="Z69" s="151"/>
      <c r="AA69" s="151"/>
      <c r="AB69" s="151"/>
      <c r="AC69" s="163"/>
      <c r="AD69" s="151"/>
      <c r="AE69" s="152"/>
      <c r="AF69" s="173"/>
      <c r="AG69" s="185"/>
      <c r="AH69" s="185"/>
      <c r="AI69" s="186"/>
      <c r="AJ69" s="181"/>
      <c r="AK69" s="181"/>
      <c r="AL69" s="183"/>
      <c r="AM69" s="173"/>
      <c r="AN69" s="187"/>
      <c r="AO69" s="195"/>
      <c r="AP69" s="193"/>
      <c r="AQ69" s="193"/>
      <c r="AR69" s="193"/>
      <c r="AS69" s="193"/>
      <c r="AT69" s="193"/>
      <c r="AU69" s="193"/>
      <c r="AV69" s="194"/>
      <c r="AW69" s="193"/>
      <c r="AX69" s="207"/>
      <c r="AY69" s="208"/>
      <c r="AZ69" s="209"/>
      <c r="BA69" s="209"/>
      <c r="BB69" s="209"/>
      <c r="BC69" s="206"/>
      <c r="BD69" s="206"/>
      <c r="BE69" s="213"/>
      <c r="BF69" s="217"/>
      <c r="BG69" s="209"/>
      <c r="BH69" s="218"/>
      <c r="BI69" s="215"/>
      <c r="BJ69" s="215"/>
      <c r="BK69" s="215"/>
      <c r="BL69" s="215"/>
      <c r="BM69" s="215"/>
      <c r="BN69" s="215"/>
      <c r="BO69" s="216"/>
      <c r="BP69" s="215"/>
      <c r="BQ69" s="228"/>
      <c r="BR69" s="229"/>
      <c r="BS69" s="230"/>
      <c r="BT69" s="230"/>
      <c r="BU69" s="230"/>
      <c r="BV69" s="227"/>
      <c r="BW69" s="227"/>
      <c r="BX69" s="234"/>
      <c r="BY69" s="229"/>
      <c r="BZ69" s="230"/>
      <c r="CA69" s="235"/>
    </row>
    <row r="70" spans="1:79" ht="151.5" customHeight="1">
      <c r="A70" s="134" t="str">
        <f>IFERROR(INDEX(Riesgos!$A$7:$M$84,MATCH(E70,INDEX(Riesgos!$A$7:$M$84,,MATCH(E$7,Riesgos!$A$6:$M$6,0)),0),MATCH(A$7,Riesgos!$A$6:$M$6,0)),"")</f>
        <v/>
      </c>
      <c r="B70" s="135" t="str">
        <f>IFERROR(INDEX(Riesgos!$A$7:$M$84,MATCH(E70,INDEX(Riesgos!$A$7:$M$84,,MATCH(E$7,Riesgos!$A$6:$M$6,0)),0),MATCH(B$7,Riesgos!$A$6:$M$6,0)),"")</f>
        <v/>
      </c>
      <c r="C70" s="135"/>
      <c r="D70" s="136" t="str">
        <f>IFERROR(INDEX(Riesgos!$A$7:$M$84,MATCH(E70,INDEX(Riesgos!$A$7:$M$84,,MATCH(E$7,Riesgos!$A$6:$M$6,0)),0),MATCH(D$7,Riesgos!$A$6:$M$6,0)),"")</f>
        <v/>
      </c>
      <c r="E70" s="137"/>
      <c r="F70" s="137"/>
      <c r="G70" s="138" t="str">
        <f t="shared" si="2"/>
        <v/>
      </c>
      <c r="H70" s="139"/>
      <c r="I70" s="153" t="str">
        <f>IF(A69=A70,IFERROR(IF(AND(#REF!="Probabilidad",#REF!="Probabilidad"),(#REF!-(+#REF!*#REF!)),IF(#REF!="Probabilidad",(#REF!-(+#REF!*#REF!)),IF(#REF!="Impacto",#REF!,""))),""),IFERROR(IF(#REF!="Probabilidad",(#REF!-(+#REF!*#REF!)),IF(#REF!="Impacto",#REF!,"")),""))</f>
        <v/>
      </c>
      <c r="J70" s="154" t="str">
        <f>IFERROR(IF(I70="","",IF(I70&lt;='Listas y tablas'!$L$3,"Muy Baja",IF(I70&lt;='Listas y tablas'!$L$4,"Baja",IF(I70&lt;='Listas y tablas'!$L$5,"Media",IF(I70&lt;='Listas y tablas'!$L$6,"Alta","Muy Alta"))))),"")</f>
        <v/>
      </c>
      <c r="K70" s="155"/>
      <c r="L70" s="156"/>
      <c r="M70" s="150"/>
      <c r="N70" s="151"/>
      <c r="O70" s="151"/>
      <c r="P70" s="152"/>
      <c r="Q70" s="162"/>
      <c r="R70" s="151"/>
      <c r="S70" s="151"/>
      <c r="T70" s="151"/>
      <c r="U70" s="151"/>
      <c r="V70" s="165"/>
      <c r="W70" s="150"/>
      <c r="X70" s="151"/>
      <c r="Y70" s="151"/>
      <c r="Z70" s="151"/>
      <c r="AA70" s="151"/>
      <c r="AB70" s="151"/>
      <c r="AC70" s="163"/>
      <c r="AD70" s="151"/>
      <c r="AE70" s="152"/>
      <c r="AF70" s="173"/>
      <c r="AG70" s="185"/>
      <c r="AH70" s="185"/>
      <c r="AI70" s="186"/>
      <c r="AJ70" s="181"/>
      <c r="AK70" s="181"/>
      <c r="AL70" s="183"/>
      <c r="AM70" s="173"/>
      <c r="AN70" s="187"/>
      <c r="AO70" s="195"/>
      <c r="AP70" s="193"/>
      <c r="AQ70" s="193"/>
      <c r="AR70" s="193"/>
      <c r="AS70" s="193"/>
      <c r="AT70" s="193"/>
      <c r="AU70" s="193"/>
      <c r="AV70" s="194"/>
      <c r="AW70" s="193"/>
      <c r="AX70" s="207"/>
      <c r="AY70" s="208"/>
      <c r="AZ70" s="209"/>
      <c r="BA70" s="209"/>
      <c r="BB70" s="209"/>
      <c r="BC70" s="206"/>
      <c r="BD70" s="206"/>
      <c r="BE70" s="213"/>
      <c r="BF70" s="217"/>
      <c r="BG70" s="209"/>
      <c r="BH70" s="218"/>
      <c r="BI70" s="215"/>
      <c r="BJ70" s="215"/>
      <c r="BK70" s="215"/>
      <c r="BL70" s="215"/>
      <c r="BM70" s="215"/>
      <c r="BN70" s="215"/>
      <c r="BO70" s="216"/>
      <c r="BP70" s="215"/>
      <c r="BQ70" s="228"/>
      <c r="BR70" s="229"/>
      <c r="BS70" s="230"/>
      <c r="BT70" s="230"/>
      <c r="BU70" s="230"/>
      <c r="BV70" s="227"/>
      <c r="BW70" s="227"/>
      <c r="BX70" s="234"/>
      <c r="BY70" s="229"/>
      <c r="BZ70" s="230"/>
      <c r="CA70" s="235"/>
    </row>
    <row r="71" spans="1:79" ht="151.5" customHeight="1">
      <c r="A71" s="134" t="str">
        <f>IFERROR(INDEX(Riesgos!$A$7:$M$84,MATCH(E71,INDEX(Riesgos!$A$7:$M$84,,MATCH(E$7,Riesgos!$A$6:$M$6,0)),0),MATCH(A$7,Riesgos!$A$6:$M$6,0)),"")</f>
        <v/>
      </c>
      <c r="B71" s="135" t="str">
        <f>IFERROR(INDEX(Riesgos!$A$7:$M$84,MATCH(E71,INDEX(Riesgos!$A$7:$M$84,,MATCH(E$7,Riesgos!$A$6:$M$6,0)),0),MATCH(B$7,Riesgos!$A$6:$M$6,0)),"")</f>
        <v/>
      </c>
      <c r="C71" s="135"/>
      <c r="D71" s="136" t="str">
        <f>IFERROR(INDEX(Riesgos!$A$7:$M$84,MATCH(E71,INDEX(Riesgos!$A$7:$M$84,,MATCH(E$7,Riesgos!$A$6:$M$6,0)),0),MATCH(D$7,Riesgos!$A$6:$M$6,0)),"")</f>
        <v/>
      </c>
      <c r="E71" s="137"/>
      <c r="F71" s="137"/>
      <c r="G71" s="138" t="str">
        <f t="shared" si="2"/>
        <v/>
      </c>
      <c r="H71" s="139"/>
      <c r="I71" s="153" t="str">
        <f>IF(A70=A71,IFERROR(IF(AND(#REF!="Probabilidad",#REF!="Probabilidad"),(#REF!-(+#REF!*#REF!)),IF(#REF!="Probabilidad",(#REF!-(+#REF!*#REF!)),IF(#REF!="Impacto",#REF!,""))),""),IFERROR(IF(#REF!="Probabilidad",(#REF!-(+#REF!*#REF!)),IF(#REF!="Impacto",#REF!,"")),""))</f>
        <v/>
      </c>
      <c r="J71" s="154" t="str">
        <f>IFERROR(IF(I71="","",IF(I71&lt;='Listas y tablas'!$L$3,"Muy Baja",IF(I71&lt;='Listas y tablas'!$L$4,"Baja",IF(I71&lt;='Listas y tablas'!$L$5,"Media",IF(I71&lt;='Listas y tablas'!$L$6,"Alta","Muy Alta"))))),"")</f>
        <v/>
      </c>
      <c r="K71" s="155"/>
      <c r="L71" s="156"/>
      <c r="M71" s="150"/>
      <c r="N71" s="151"/>
      <c r="O71" s="151"/>
      <c r="P71" s="152"/>
      <c r="Q71" s="162"/>
      <c r="R71" s="151"/>
      <c r="S71" s="151"/>
      <c r="T71" s="151"/>
      <c r="U71" s="151"/>
      <c r="V71" s="165"/>
      <c r="W71" s="150"/>
      <c r="X71" s="151"/>
      <c r="Y71" s="151"/>
      <c r="Z71" s="151"/>
      <c r="AA71" s="151"/>
      <c r="AB71" s="151"/>
      <c r="AC71" s="163"/>
      <c r="AD71" s="151"/>
      <c r="AE71" s="152"/>
      <c r="AF71" s="173"/>
      <c r="AG71" s="185"/>
      <c r="AH71" s="185"/>
      <c r="AI71" s="186"/>
      <c r="AJ71" s="181"/>
      <c r="AK71" s="181"/>
      <c r="AL71" s="183"/>
      <c r="AM71" s="173"/>
      <c r="AN71" s="187"/>
      <c r="AO71" s="195"/>
      <c r="AP71" s="193"/>
      <c r="AQ71" s="193"/>
      <c r="AR71" s="193"/>
      <c r="AS71" s="193"/>
      <c r="AT71" s="193"/>
      <c r="AU71" s="193"/>
      <c r="AV71" s="194"/>
      <c r="AW71" s="193"/>
      <c r="AX71" s="207"/>
      <c r="AY71" s="208"/>
      <c r="AZ71" s="209"/>
      <c r="BA71" s="209"/>
      <c r="BB71" s="209"/>
      <c r="BC71" s="206"/>
      <c r="BD71" s="206"/>
      <c r="BE71" s="213"/>
      <c r="BF71" s="217"/>
      <c r="BG71" s="209"/>
      <c r="BH71" s="218"/>
      <c r="BI71" s="215"/>
      <c r="BJ71" s="215"/>
      <c r="BK71" s="215"/>
      <c r="BL71" s="215"/>
      <c r="BM71" s="215"/>
      <c r="BN71" s="215"/>
      <c r="BO71" s="216"/>
      <c r="BP71" s="215"/>
      <c r="BQ71" s="228"/>
      <c r="BR71" s="229"/>
      <c r="BS71" s="230"/>
      <c r="BT71" s="230"/>
      <c r="BU71" s="230"/>
      <c r="BV71" s="227"/>
      <c r="BW71" s="227"/>
      <c r="BX71" s="234"/>
      <c r="BY71" s="229"/>
      <c r="BZ71" s="230"/>
      <c r="CA71" s="235"/>
    </row>
    <row r="72" spans="1:79" ht="151.5" customHeight="1">
      <c r="A72" s="134" t="str">
        <f>IFERROR(INDEX(Riesgos!$A$7:$M$84,MATCH(E72,INDEX(Riesgos!$A$7:$M$84,,MATCH(E$7,Riesgos!$A$6:$M$6,0)),0),MATCH(A$7,Riesgos!$A$6:$M$6,0)),"")</f>
        <v/>
      </c>
      <c r="B72" s="135" t="str">
        <f>IFERROR(INDEX(Riesgos!$A$7:$M$84,MATCH(E72,INDEX(Riesgos!$A$7:$M$84,,MATCH(E$7,Riesgos!$A$6:$M$6,0)),0),MATCH(B$7,Riesgos!$A$6:$M$6,0)),"")</f>
        <v/>
      </c>
      <c r="C72" s="135"/>
      <c r="D72" s="136" t="str">
        <f>IFERROR(INDEX(Riesgos!$A$7:$M$84,MATCH(E72,INDEX(Riesgos!$A$7:$M$84,,MATCH(E$7,Riesgos!$A$6:$M$6,0)),0),MATCH(D$7,Riesgos!$A$6:$M$6,0)),"")</f>
        <v/>
      </c>
      <c r="E72" s="137"/>
      <c r="F72" s="137"/>
      <c r="G72" s="138" t="str">
        <f t="shared" si="2"/>
        <v/>
      </c>
      <c r="H72" s="139"/>
      <c r="I72" s="153" t="str">
        <f>IF(A71=A72,IFERROR(IF(AND(#REF!="Probabilidad",#REF!="Probabilidad"),(#REF!-(+#REF!*#REF!)),IF(#REF!="Probabilidad",(#REF!-(+#REF!*#REF!)),IF(#REF!="Impacto",#REF!,""))),""),IFERROR(IF(#REF!="Probabilidad",(#REF!-(+#REF!*#REF!)),IF(#REF!="Impacto",#REF!,"")),""))</f>
        <v/>
      </c>
      <c r="J72" s="154" t="str">
        <f>IFERROR(IF(I72="","",IF(I72&lt;='Listas y tablas'!$L$3,"Muy Baja",IF(I72&lt;='Listas y tablas'!$L$4,"Baja",IF(I72&lt;='Listas y tablas'!$L$5,"Media",IF(I72&lt;='Listas y tablas'!$L$6,"Alta","Muy Alta"))))),"")</f>
        <v/>
      </c>
      <c r="K72" s="155"/>
      <c r="L72" s="156"/>
      <c r="M72" s="150"/>
      <c r="N72" s="151"/>
      <c r="O72" s="151"/>
      <c r="P72" s="152"/>
      <c r="Q72" s="162"/>
      <c r="R72" s="151"/>
      <c r="S72" s="151"/>
      <c r="T72" s="151"/>
      <c r="U72" s="151"/>
      <c r="V72" s="165"/>
      <c r="W72" s="150"/>
      <c r="X72" s="151"/>
      <c r="Y72" s="151"/>
      <c r="Z72" s="151"/>
      <c r="AA72" s="151"/>
      <c r="AB72" s="151"/>
      <c r="AC72" s="163"/>
      <c r="AD72" s="151"/>
      <c r="AE72" s="152"/>
      <c r="AF72" s="173"/>
      <c r="AG72" s="185"/>
      <c r="AH72" s="185"/>
      <c r="AI72" s="186"/>
      <c r="AJ72" s="181"/>
      <c r="AK72" s="181"/>
      <c r="AL72" s="183"/>
      <c r="AM72" s="173"/>
      <c r="AN72" s="187"/>
      <c r="AO72" s="195"/>
      <c r="AP72" s="193"/>
      <c r="AQ72" s="193"/>
      <c r="AR72" s="193"/>
      <c r="AS72" s="193"/>
      <c r="AT72" s="193"/>
      <c r="AU72" s="193"/>
      <c r="AV72" s="194"/>
      <c r="AW72" s="193"/>
      <c r="AX72" s="207"/>
      <c r="AY72" s="208"/>
      <c r="AZ72" s="209"/>
      <c r="BA72" s="209"/>
      <c r="BB72" s="209"/>
      <c r="BC72" s="206"/>
      <c r="BD72" s="206"/>
      <c r="BE72" s="213"/>
      <c r="BF72" s="217"/>
      <c r="BG72" s="209"/>
      <c r="BH72" s="218"/>
      <c r="BI72" s="215"/>
      <c r="BJ72" s="215"/>
      <c r="BK72" s="215"/>
      <c r="BL72" s="215"/>
      <c r="BM72" s="215"/>
      <c r="BN72" s="215"/>
      <c r="BO72" s="216"/>
      <c r="BP72" s="215"/>
      <c r="BQ72" s="228"/>
      <c r="BR72" s="229"/>
      <c r="BS72" s="230"/>
      <c r="BT72" s="230"/>
      <c r="BU72" s="230"/>
      <c r="BV72" s="227"/>
      <c r="BW72" s="227"/>
      <c r="BX72" s="234"/>
      <c r="BY72" s="229"/>
      <c r="BZ72" s="230"/>
      <c r="CA72" s="235"/>
    </row>
    <row r="73" spans="1:79" ht="151.5" customHeight="1">
      <c r="A73" s="134" t="str">
        <f>IFERROR(INDEX(Riesgos!$A$7:$M$84,MATCH(E73,INDEX(Riesgos!$A$7:$M$84,,MATCH(E$7,Riesgos!$A$6:$M$6,0)),0),MATCH(A$7,Riesgos!$A$6:$M$6,0)),"")</f>
        <v/>
      </c>
      <c r="B73" s="135" t="str">
        <f>IFERROR(INDEX(Riesgos!$A$7:$M$84,MATCH(E73,INDEX(Riesgos!$A$7:$M$84,,MATCH(E$7,Riesgos!$A$6:$M$6,0)),0),MATCH(B$7,Riesgos!$A$6:$M$6,0)),"")</f>
        <v/>
      </c>
      <c r="C73" s="135"/>
      <c r="D73" s="136" t="str">
        <f>IFERROR(INDEX(Riesgos!$A$7:$M$84,MATCH(E73,INDEX(Riesgos!$A$7:$M$84,,MATCH(E$7,Riesgos!$A$6:$M$6,0)),0),MATCH(D$7,Riesgos!$A$6:$M$6,0)),"")</f>
        <v/>
      </c>
      <c r="E73" s="137"/>
      <c r="F73" s="137"/>
      <c r="G73" s="138" t="str">
        <f t="shared" si="2"/>
        <v/>
      </c>
      <c r="H73" s="139"/>
      <c r="I73" s="153" t="str">
        <f>IF(A72=A73,IFERROR(IF(AND(#REF!="Probabilidad",#REF!="Probabilidad"),(#REF!-(+#REF!*#REF!)),IF(#REF!="Probabilidad",(#REF!-(+#REF!*#REF!)),IF(#REF!="Impacto",#REF!,""))),""),IFERROR(IF(#REF!="Probabilidad",(#REF!-(+#REF!*#REF!)),IF(#REF!="Impacto",#REF!,"")),""))</f>
        <v/>
      </c>
      <c r="J73" s="154" t="str">
        <f>IFERROR(IF(I73="","",IF(I73&lt;='Listas y tablas'!$L$3,"Muy Baja",IF(I73&lt;='Listas y tablas'!$L$4,"Baja",IF(I73&lt;='Listas y tablas'!$L$5,"Media",IF(I73&lt;='Listas y tablas'!$L$6,"Alta","Muy Alta"))))),"")</f>
        <v/>
      </c>
      <c r="K73" s="155"/>
      <c r="L73" s="156"/>
      <c r="M73" s="150"/>
      <c r="N73" s="151"/>
      <c r="O73" s="151"/>
      <c r="P73" s="152"/>
      <c r="Q73" s="162"/>
      <c r="R73" s="151"/>
      <c r="S73" s="151"/>
      <c r="T73" s="151"/>
      <c r="U73" s="151"/>
      <c r="V73" s="165"/>
      <c r="W73" s="150"/>
      <c r="X73" s="151"/>
      <c r="Y73" s="151"/>
      <c r="Z73" s="151"/>
      <c r="AA73" s="151"/>
      <c r="AB73" s="151"/>
      <c r="AC73" s="163"/>
      <c r="AD73" s="151"/>
      <c r="AE73" s="152"/>
      <c r="AF73" s="173"/>
      <c r="AG73" s="185"/>
      <c r="AH73" s="185"/>
      <c r="AI73" s="186"/>
      <c r="AJ73" s="181"/>
      <c r="AK73" s="181"/>
      <c r="AL73" s="183"/>
      <c r="AM73" s="173"/>
      <c r="AN73" s="187"/>
      <c r="AO73" s="195"/>
      <c r="AP73" s="193"/>
      <c r="AQ73" s="193"/>
      <c r="AR73" s="193"/>
      <c r="AS73" s="193"/>
      <c r="AT73" s="193"/>
      <c r="AU73" s="193"/>
      <c r="AV73" s="194"/>
      <c r="AW73" s="193"/>
      <c r="AX73" s="207"/>
      <c r="AY73" s="208"/>
      <c r="AZ73" s="209"/>
      <c r="BA73" s="209"/>
      <c r="BB73" s="209"/>
      <c r="BC73" s="206"/>
      <c r="BD73" s="206"/>
      <c r="BE73" s="213"/>
      <c r="BF73" s="217"/>
      <c r="BG73" s="209"/>
      <c r="BH73" s="218"/>
      <c r="BI73" s="215"/>
      <c r="BJ73" s="215"/>
      <c r="BK73" s="215"/>
      <c r="BL73" s="215"/>
      <c r="BM73" s="215"/>
      <c r="BN73" s="215"/>
      <c r="BO73" s="216"/>
      <c r="BP73" s="215"/>
      <c r="BQ73" s="228"/>
      <c r="BR73" s="229"/>
      <c r="BS73" s="230"/>
      <c r="BT73" s="230"/>
      <c r="BU73" s="230"/>
      <c r="BV73" s="227"/>
      <c r="BW73" s="227"/>
      <c r="BX73" s="234"/>
      <c r="BY73" s="229"/>
      <c r="BZ73" s="230"/>
      <c r="CA73" s="235"/>
    </row>
    <row r="74" spans="1:79" ht="151.5" customHeight="1">
      <c r="A74" s="134" t="str">
        <f>IFERROR(INDEX(Riesgos!$A$7:$M$84,MATCH(E74,INDEX(Riesgos!$A$7:$M$84,,MATCH(E$7,Riesgos!$A$6:$M$6,0)),0),MATCH(A$7,Riesgos!$A$6:$M$6,0)),"")</f>
        <v/>
      </c>
      <c r="B74" s="135" t="str">
        <f>IFERROR(INDEX(Riesgos!$A$7:$M$84,MATCH(E74,INDEX(Riesgos!$A$7:$M$84,,MATCH(E$7,Riesgos!$A$6:$M$6,0)),0),MATCH(B$7,Riesgos!$A$6:$M$6,0)),"")</f>
        <v/>
      </c>
      <c r="C74" s="135"/>
      <c r="D74" s="136" t="str">
        <f>IFERROR(INDEX(Riesgos!$A$7:$M$84,MATCH(E74,INDEX(Riesgos!$A$7:$M$84,,MATCH(E$7,Riesgos!$A$6:$M$6,0)),0),MATCH(D$7,Riesgos!$A$6:$M$6,0)),"")</f>
        <v/>
      </c>
      <c r="E74" s="137"/>
      <c r="F74" s="137"/>
      <c r="G74" s="138" t="str">
        <f t="shared" si="2"/>
        <v/>
      </c>
      <c r="H74" s="139"/>
      <c r="I74" s="153" t="str">
        <f>IF(A73=A74,IFERROR(IF(AND(#REF!="Probabilidad",#REF!="Probabilidad"),(#REF!-(+#REF!*#REF!)),IF(#REF!="Probabilidad",(#REF!-(+#REF!*#REF!)),IF(#REF!="Impacto",#REF!,""))),""),IFERROR(IF(#REF!="Probabilidad",(#REF!-(+#REF!*#REF!)),IF(#REF!="Impacto",#REF!,"")),""))</f>
        <v/>
      </c>
      <c r="J74" s="154" t="str">
        <f>IFERROR(IF(I74="","",IF(I74&lt;='Listas y tablas'!$L$3,"Muy Baja",IF(I74&lt;='Listas y tablas'!$L$4,"Baja",IF(I74&lt;='Listas y tablas'!$L$5,"Media",IF(I74&lt;='Listas y tablas'!$L$6,"Alta","Muy Alta"))))),"")</f>
        <v/>
      </c>
      <c r="K74" s="155"/>
      <c r="L74" s="156"/>
      <c r="M74" s="150"/>
      <c r="N74" s="151"/>
      <c r="O74" s="151"/>
      <c r="P74" s="152"/>
      <c r="Q74" s="162"/>
      <c r="R74" s="151"/>
      <c r="S74" s="151"/>
      <c r="T74" s="151"/>
      <c r="U74" s="151"/>
      <c r="V74" s="165"/>
      <c r="W74" s="150"/>
      <c r="X74" s="151"/>
      <c r="Y74" s="151"/>
      <c r="Z74" s="151"/>
      <c r="AA74" s="151"/>
      <c r="AB74" s="151"/>
      <c r="AC74" s="163"/>
      <c r="AD74" s="151"/>
      <c r="AE74" s="152"/>
      <c r="AF74" s="173"/>
      <c r="AG74" s="185"/>
      <c r="AH74" s="185"/>
      <c r="AI74" s="186"/>
      <c r="AJ74" s="181"/>
      <c r="AK74" s="181"/>
      <c r="AL74" s="183"/>
      <c r="AM74" s="173"/>
      <c r="AN74" s="187"/>
      <c r="AO74" s="195"/>
      <c r="AP74" s="193"/>
      <c r="AQ74" s="193"/>
      <c r="AR74" s="193"/>
      <c r="AS74" s="193"/>
      <c r="AT74" s="193"/>
      <c r="AU74" s="193"/>
      <c r="AV74" s="194"/>
      <c r="AW74" s="193"/>
      <c r="AX74" s="207"/>
      <c r="AY74" s="208"/>
      <c r="AZ74" s="209"/>
      <c r="BA74" s="209"/>
      <c r="BB74" s="209"/>
      <c r="BC74" s="206"/>
      <c r="BD74" s="206"/>
      <c r="BE74" s="213"/>
      <c r="BF74" s="217"/>
      <c r="BG74" s="209"/>
      <c r="BH74" s="218"/>
      <c r="BI74" s="215"/>
      <c r="BJ74" s="215"/>
      <c r="BK74" s="215"/>
      <c r="BL74" s="215"/>
      <c r="BM74" s="215"/>
      <c r="BN74" s="215"/>
      <c r="BO74" s="216"/>
      <c r="BP74" s="215"/>
      <c r="BQ74" s="228"/>
      <c r="BR74" s="229"/>
      <c r="BS74" s="230"/>
      <c r="BT74" s="230"/>
      <c r="BU74" s="230"/>
      <c r="BV74" s="227"/>
      <c r="BW74" s="227"/>
      <c r="BX74" s="234"/>
      <c r="BY74" s="229"/>
      <c r="BZ74" s="230"/>
      <c r="CA74" s="235"/>
    </row>
    <row r="75" spans="1:79" ht="151.5" customHeight="1">
      <c r="A75" s="134" t="str">
        <f>IFERROR(INDEX(Riesgos!$A$7:$M$84,MATCH(E75,INDEX(Riesgos!$A$7:$M$84,,MATCH(E$7,Riesgos!$A$6:$M$6,0)),0),MATCH(A$7,Riesgos!$A$6:$M$6,0)),"")</f>
        <v/>
      </c>
      <c r="B75" s="135" t="str">
        <f>IFERROR(INDEX(Riesgos!$A$7:$M$84,MATCH(E75,INDEX(Riesgos!$A$7:$M$84,,MATCH(E$7,Riesgos!$A$6:$M$6,0)),0),MATCH(B$7,Riesgos!$A$6:$M$6,0)),"")</f>
        <v/>
      </c>
      <c r="C75" s="135"/>
      <c r="D75" s="136" t="str">
        <f>IFERROR(INDEX(Riesgos!$A$7:$M$84,MATCH(E75,INDEX(Riesgos!$A$7:$M$84,,MATCH(E$7,Riesgos!$A$6:$M$6,0)),0),MATCH(D$7,Riesgos!$A$6:$M$6,0)),"")</f>
        <v/>
      </c>
      <c r="E75" s="137"/>
      <c r="F75" s="137"/>
      <c r="G75" s="138" t="str">
        <f t="shared" si="2"/>
        <v/>
      </c>
      <c r="H75" s="139"/>
      <c r="I75" s="153" t="str">
        <f>IF(A74=A75,IFERROR(IF(AND(#REF!="Probabilidad",#REF!="Probabilidad"),(#REF!-(+#REF!*#REF!)),IF(#REF!="Probabilidad",(#REF!-(+#REF!*#REF!)),IF(#REF!="Impacto",#REF!,""))),""),IFERROR(IF(#REF!="Probabilidad",(#REF!-(+#REF!*#REF!)),IF(#REF!="Impacto",#REF!,"")),""))</f>
        <v/>
      </c>
      <c r="J75" s="154" t="str">
        <f>IFERROR(IF(I75="","",IF(I75&lt;='Listas y tablas'!$L$3,"Muy Baja",IF(I75&lt;='Listas y tablas'!$L$4,"Baja",IF(I75&lt;='Listas y tablas'!$L$5,"Media",IF(I75&lt;='Listas y tablas'!$L$6,"Alta","Muy Alta"))))),"")</f>
        <v/>
      </c>
      <c r="K75" s="155"/>
      <c r="L75" s="156"/>
      <c r="M75" s="150"/>
      <c r="N75" s="151"/>
      <c r="O75" s="151"/>
      <c r="P75" s="152"/>
      <c r="Q75" s="162"/>
      <c r="R75" s="151"/>
      <c r="S75" s="151"/>
      <c r="T75" s="151"/>
      <c r="U75" s="151"/>
      <c r="V75" s="165"/>
      <c r="W75" s="150"/>
      <c r="X75" s="151"/>
      <c r="Y75" s="151"/>
      <c r="Z75" s="151"/>
      <c r="AA75" s="151"/>
      <c r="AB75" s="151"/>
      <c r="AC75" s="163"/>
      <c r="AD75" s="151"/>
      <c r="AE75" s="152"/>
      <c r="AF75" s="173"/>
      <c r="AG75" s="185"/>
      <c r="AH75" s="185"/>
      <c r="AI75" s="186"/>
      <c r="AJ75" s="181"/>
      <c r="AK75" s="181"/>
      <c r="AL75" s="183"/>
      <c r="AM75" s="173"/>
      <c r="AN75" s="187"/>
      <c r="AO75" s="195"/>
      <c r="AP75" s="193"/>
      <c r="AQ75" s="193"/>
      <c r="AR75" s="193"/>
      <c r="AS75" s="193"/>
      <c r="AT75" s="193"/>
      <c r="AU75" s="193"/>
      <c r="AV75" s="194"/>
      <c r="AW75" s="193"/>
      <c r="AX75" s="207"/>
      <c r="AY75" s="208"/>
      <c r="AZ75" s="209"/>
      <c r="BA75" s="209"/>
      <c r="BB75" s="209"/>
      <c r="BC75" s="206"/>
      <c r="BD75" s="206"/>
      <c r="BE75" s="213"/>
      <c r="BF75" s="217"/>
      <c r="BG75" s="209"/>
      <c r="BH75" s="218"/>
      <c r="BI75" s="215"/>
      <c r="BJ75" s="215"/>
      <c r="BK75" s="215"/>
      <c r="BL75" s="215"/>
      <c r="BM75" s="215"/>
      <c r="BN75" s="215"/>
      <c r="BO75" s="216"/>
      <c r="BP75" s="215"/>
      <c r="BQ75" s="228"/>
      <c r="BR75" s="229"/>
      <c r="BS75" s="230"/>
      <c r="BT75" s="230"/>
      <c r="BU75" s="230"/>
      <c r="BV75" s="227"/>
      <c r="BW75" s="227"/>
      <c r="BX75" s="234"/>
      <c r="BY75" s="229"/>
      <c r="BZ75" s="230"/>
      <c r="CA75" s="235"/>
    </row>
    <row r="76" spans="1:79" ht="151.5" customHeight="1">
      <c r="A76" s="134" t="str">
        <f>IFERROR(INDEX(Riesgos!$A$7:$M$84,MATCH(E76,INDEX(Riesgos!$A$7:$M$84,,MATCH(E$7,Riesgos!$A$6:$M$6,0)),0),MATCH(A$7,Riesgos!$A$6:$M$6,0)),"")</f>
        <v/>
      </c>
      <c r="B76" s="135" t="str">
        <f>IFERROR(INDEX(Riesgos!$A$7:$M$84,MATCH(E76,INDEX(Riesgos!$A$7:$M$84,,MATCH(E$7,Riesgos!$A$6:$M$6,0)),0),MATCH(B$7,Riesgos!$A$6:$M$6,0)),"")</f>
        <v/>
      </c>
      <c r="C76" s="135"/>
      <c r="D76" s="136" t="str">
        <f>IFERROR(INDEX(Riesgos!$A$7:$M$84,MATCH(E76,INDEX(Riesgos!$A$7:$M$84,,MATCH(E$7,Riesgos!$A$6:$M$6,0)),0),MATCH(D$7,Riesgos!$A$6:$M$6,0)),"")</f>
        <v/>
      </c>
      <c r="E76" s="137"/>
      <c r="F76" s="137"/>
      <c r="G76" s="138" t="str">
        <f t="shared" si="2"/>
        <v/>
      </c>
      <c r="H76" s="139"/>
      <c r="I76" s="153" t="str">
        <f>IF(A75=A76,IFERROR(IF(AND(#REF!="Probabilidad",#REF!="Probabilidad"),(#REF!-(+#REF!*#REF!)),IF(#REF!="Probabilidad",(#REF!-(+#REF!*#REF!)),IF(#REF!="Impacto",#REF!,""))),""),IFERROR(IF(#REF!="Probabilidad",(#REF!-(+#REF!*#REF!)),IF(#REF!="Impacto",#REF!,"")),""))</f>
        <v/>
      </c>
      <c r="J76" s="154" t="str">
        <f>IFERROR(IF(I76="","",IF(I76&lt;='Listas y tablas'!$L$3,"Muy Baja",IF(I76&lt;='Listas y tablas'!$L$4,"Baja",IF(I76&lt;='Listas y tablas'!$L$5,"Media",IF(I76&lt;='Listas y tablas'!$L$6,"Alta","Muy Alta"))))),"")</f>
        <v/>
      </c>
      <c r="K76" s="155"/>
      <c r="L76" s="156"/>
      <c r="M76" s="150"/>
      <c r="N76" s="151"/>
      <c r="O76" s="151"/>
      <c r="P76" s="152"/>
      <c r="Q76" s="162"/>
      <c r="R76" s="151"/>
      <c r="S76" s="151"/>
      <c r="T76" s="151"/>
      <c r="U76" s="151"/>
      <c r="V76" s="165"/>
      <c r="W76" s="150"/>
      <c r="X76" s="151"/>
      <c r="Y76" s="151"/>
      <c r="Z76" s="151"/>
      <c r="AA76" s="151"/>
      <c r="AB76" s="151"/>
      <c r="AC76" s="163"/>
      <c r="AD76" s="151"/>
      <c r="AE76" s="152"/>
      <c r="AF76" s="173"/>
      <c r="AG76" s="185"/>
      <c r="AH76" s="185"/>
      <c r="AI76" s="186"/>
      <c r="AJ76" s="181"/>
      <c r="AK76" s="181"/>
      <c r="AL76" s="183"/>
      <c r="AM76" s="173"/>
      <c r="AN76" s="187"/>
      <c r="AO76" s="195"/>
      <c r="AP76" s="193"/>
      <c r="AQ76" s="193"/>
      <c r="AR76" s="193"/>
      <c r="AS76" s="193"/>
      <c r="AT76" s="193"/>
      <c r="AU76" s="193"/>
      <c r="AV76" s="194"/>
      <c r="AW76" s="193"/>
      <c r="AX76" s="207"/>
      <c r="AY76" s="208"/>
      <c r="AZ76" s="209"/>
      <c r="BA76" s="209"/>
      <c r="BB76" s="209"/>
      <c r="BC76" s="206"/>
      <c r="BD76" s="206"/>
      <c r="BE76" s="213"/>
      <c r="BF76" s="217"/>
      <c r="BG76" s="209"/>
      <c r="BH76" s="218"/>
      <c r="BI76" s="215"/>
      <c r="BJ76" s="215"/>
      <c r="BK76" s="215"/>
      <c r="BL76" s="215"/>
      <c r="BM76" s="215"/>
      <c r="BN76" s="215"/>
      <c r="BO76" s="216"/>
      <c r="BP76" s="215"/>
      <c r="BQ76" s="228"/>
      <c r="BR76" s="229"/>
      <c r="BS76" s="230"/>
      <c r="BT76" s="230"/>
      <c r="BU76" s="230"/>
      <c r="BV76" s="227"/>
      <c r="BW76" s="227"/>
      <c r="BX76" s="234"/>
      <c r="BY76" s="229"/>
      <c r="BZ76" s="230"/>
      <c r="CA76" s="235"/>
    </row>
    <row r="77" spans="1:79" ht="151.5" customHeight="1">
      <c r="A77" s="134" t="str">
        <f>IFERROR(INDEX(Riesgos!$A$7:$M$84,MATCH(E77,INDEX(Riesgos!$A$7:$M$84,,MATCH(E$7,Riesgos!$A$6:$M$6,0)),0),MATCH(A$7,Riesgos!$A$6:$M$6,0)),"")</f>
        <v/>
      </c>
      <c r="B77" s="135" t="str">
        <f>IFERROR(INDEX(Riesgos!$A$7:$M$84,MATCH(E77,INDEX(Riesgos!$A$7:$M$84,,MATCH(E$7,Riesgos!$A$6:$M$6,0)),0),MATCH(B$7,Riesgos!$A$6:$M$6,0)),"")</f>
        <v/>
      </c>
      <c r="C77" s="135"/>
      <c r="D77" s="136" t="str">
        <f>IFERROR(INDEX(Riesgos!$A$7:$M$84,MATCH(E77,INDEX(Riesgos!$A$7:$M$84,,MATCH(E$7,Riesgos!$A$6:$M$6,0)),0),MATCH(D$7,Riesgos!$A$6:$M$6,0)),"")</f>
        <v/>
      </c>
      <c r="E77" s="137"/>
      <c r="F77" s="137"/>
      <c r="G77" s="138" t="str">
        <f t="shared" si="2"/>
        <v/>
      </c>
      <c r="H77" s="139"/>
      <c r="I77" s="153" t="str">
        <f>IF(A76=A77,IFERROR(IF(AND(#REF!="Probabilidad",#REF!="Probabilidad"),(#REF!-(+#REF!*#REF!)),IF(#REF!="Probabilidad",(#REF!-(+#REF!*#REF!)),IF(#REF!="Impacto",#REF!,""))),""),IFERROR(IF(#REF!="Probabilidad",(#REF!-(+#REF!*#REF!)),IF(#REF!="Impacto",#REF!,"")),""))</f>
        <v/>
      </c>
      <c r="J77" s="154" t="str">
        <f>IFERROR(IF(I77="","",IF(I77&lt;='Listas y tablas'!$L$3,"Muy Baja",IF(I77&lt;='Listas y tablas'!$L$4,"Baja",IF(I77&lt;='Listas y tablas'!$L$5,"Media",IF(I77&lt;='Listas y tablas'!$L$6,"Alta","Muy Alta"))))),"")</f>
        <v/>
      </c>
      <c r="K77" s="155"/>
      <c r="L77" s="156"/>
      <c r="M77" s="150"/>
      <c r="N77" s="151"/>
      <c r="O77" s="151"/>
      <c r="P77" s="152"/>
      <c r="Q77" s="162"/>
      <c r="R77" s="151"/>
      <c r="S77" s="151"/>
      <c r="T77" s="151"/>
      <c r="U77" s="151"/>
      <c r="V77" s="165"/>
      <c r="W77" s="150"/>
      <c r="X77" s="151"/>
      <c r="Y77" s="151"/>
      <c r="Z77" s="151"/>
      <c r="AA77" s="151"/>
      <c r="AB77" s="151"/>
      <c r="AC77" s="163"/>
      <c r="AD77" s="151"/>
      <c r="AE77" s="152"/>
      <c r="AF77" s="173"/>
      <c r="AG77" s="185"/>
      <c r="AH77" s="185"/>
      <c r="AI77" s="186"/>
      <c r="AJ77" s="181"/>
      <c r="AK77" s="181"/>
      <c r="AL77" s="183"/>
      <c r="AM77" s="173"/>
      <c r="AN77" s="187"/>
      <c r="AO77" s="195"/>
      <c r="AP77" s="193"/>
      <c r="AQ77" s="193"/>
      <c r="AR77" s="193"/>
      <c r="AS77" s="193"/>
      <c r="AT77" s="193"/>
      <c r="AU77" s="193"/>
      <c r="AV77" s="194"/>
      <c r="AW77" s="193"/>
      <c r="AX77" s="207"/>
      <c r="AY77" s="208"/>
      <c r="AZ77" s="209"/>
      <c r="BA77" s="209"/>
      <c r="BB77" s="209"/>
      <c r="BC77" s="206"/>
      <c r="BD77" s="206"/>
      <c r="BE77" s="213"/>
      <c r="BF77" s="217"/>
      <c r="BG77" s="209"/>
      <c r="BH77" s="218"/>
      <c r="BI77" s="215"/>
      <c r="BJ77" s="215"/>
      <c r="BK77" s="215"/>
      <c r="BL77" s="215"/>
      <c r="BM77" s="215"/>
      <c r="BN77" s="215"/>
      <c r="BO77" s="216"/>
      <c r="BP77" s="215"/>
      <c r="BQ77" s="228"/>
      <c r="BR77" s="229"/>
      <c r="BS77" s="230"/>
      <c r="BT77" s="230"/>
      <c r="BU77" s="230"/>
      <c r="BV77" s="227"/>
      <c r="BW77" s="227"/>
      <c r="BX77" s="234"/>
      <c r="BY77" s="229"/>
      <c r="BZ77" s="230"/>
      <c r="CA77" s="235"/>
    </row>
    <row r="78" spans="1:79" ht="151.5" customHeight="1">
      <c r="A78" s="134" t="str">
        <f>IFERROR(INDEX(Riesgos!$A$7:$M$84,MATCH(E78,INDEX(Riesgos!$A$7:$M$84,,MATCH(E$7,Riesgos!$A$6:$M$6,0)),0),MATCH(A$7,Riesgos!$A$6:$M$6,0)),"")</f>
        <v/>
      </c>
      <c r="B78" s="135" t="str">
        <f>IFERROR(INDEX(Riesgos!$A$7:$M$84,MATCH(E78,INDEX(Riesgos!$A$7:$M$84,,MATCH(E$7,Riesgos!$A$6:$M$6,0)),0),MATCH(B$7,Riesgos!$A$6:$M$6,0)),"")</f>
        <v/>
      </c>
      <c r="C78" s="135"/>
      <c r="D78" s="136" t="str">
        <f>IFERROR(INDEX(Riesgos!$A$7:$M$84,MATCH(E78,INDEX(Riesgos!$A$7:$M$84,,MATCH(E$7,Riesgos!$A$6:$M$6,0)),0),MATCH(D$7,Riesgos!$A$6:$M$6,0)),"")</f>
        <v/>
      </c>
      <c r="E78" s="137"/>
      <c r="F78" s="137"/>
      <c r="G78" s="138" t="str">
        <f t="shared" si="2"/>
        <v/>
      </c>
      <c r="H78" s="139"/>
      <c r="I78" s="153" t="str">
        <f>IF(A77=A78,IFERROR(IF(AND(#REF!="Probabilidad",#REF!="Probabilidad"),(#REF!-(+#REF!*#REF!)),IF(#REF!="Probabilidad",(#REF!-(+#REF!*#REF!)),IF(#REF!="Impacto",#REF!,""))),""),IFERROR(IF(#REF!="Probabilidad",(#REF!-(+#REF!*#REF!)),IF(#REF!="Impacto",#REF!,"")),""))</f>
        <v/>
      </c>
      <c r="J78" s="154" t="str">
        <f>IFERROR(IF(I78="","",IF(I78&lt;='Listas y tablas'!$L$3,"Muy Baja",IF(I78&lt;='Listas y tablas'!$L$4,"Baja",IF(I78&lt;='Listas y tablas'!$L$5,"Media",IF(I78&lt;='Listas y tablas'!$L$6,"Alta","Muy Alta"))))),"")</f>
        <v/>
      </c>
      <c r="K78" s="155"/>
      <c r="L78" s="156"/>
      <c r="M78" s="150"/>
      <c r="N78" s="151"/>
      <c r="O78" s="151"/>
      <c r="P78" s="152"/>
      <c r="Q78" s="162"/>
      <c r="R78" s="151"/>
      <c r="S78" s="151"/>
      <c r="T78" s="151"/>
      <c r="U78" s="151"/>
      <c r="V78" s="165"/>
      <c r="W78" s="150"/>
      <c r="X78" s="151"/>
      <c r="Y78" s="151"/>
      <c r="Z78" s="151"/>
      <c r="AA78" s="151"/>
      <c r="AB78" s="151"/>
      <c r="AC78" s="163"/>
      <c r="AD78" s="151"/>
      <c r="AE78" s="152"/>
      <c r="AF78" s="173"/>
      <c r="AG78" s="185"/>
      <c r="AH78" s="185"/>
      <c r="AI78" s="186"/>
      <c r="AJ78" s="181"/>
      <c r="AK78" s="181"/>
      <c r="AL78" s="183"/>
      <c r="AM78" s="173"/>
      <c r="AN78" s="187"/>
      <c r="AO78" s="195"/>
      <c r="AP78" s="193"/>
      <c r="AQ78" s="193"/>
      <c r="AR78" s="193"/>
      <c r="AS78" s="193"/>
      <c r="AT78" s="193"/>
      <c r="AU78" s="193"/>
      <c r="AV78" s="194"/>
      <c r="AW78" s="193"/>
      <c r="AX78" s="207"/>
      <c r="AY78" s="208"/>
      <c r="AZ78" s="209"/>
      <c r="BA78" s="209"/>
      <c r="BB78" s="209"/>
      <c r="BC78" s="206"/>
      <c r="BD78" s="206"/>
      <c r="BE78" s="213"/>
      <c r="BF78" s="217"/>
      <c r="BG78" s="209"/>
      <c r="BH78" s="218"/>
      <c r="BI78" s="215"/>
      <c r="BJ78" s="215"/>
      <c r="BK78" s="215"/>
      <c r="BL78" s="215"/>
      <c r="BM78" s="215"/>
      <c r="BN78" s="215"/>
      <c r="BO78" s="216"/>
      <c r="BP78" s="215"/>
      <c r="BQ78" s="228"/>
      <c r="BR78" s="229"/>
      <c r="BS78" s="230"/>
      <c r="BT78" s="230"/>
      <c r="BU78" s="230"/>
      <c r="BV78" s="227"/>
      <c r="BW78" s="227"/>
      <c r="BX78" s="234"/>
      <c r="BY78" s="229"/>
      <c r="BZ78" s="230"/>
      <c r="CA78" s="235"/>
    </row>
    <row r="79" spans="1:79" ht="151.5" customHeight="1">
      <c r="A79" s="134" t="str">
        <f>IFERROR(INDEX(Riesgos!$A$7:$M$84,MATCH(E79,INDEX(Riesgos!$A$7:$M$84,,MATCH(E$7,Riesgos!$A$6:$M$6,0)),0),MATCH(A$7,Riesgos!$A$6:$M$6,0)),"")</f>
        <v/>
      </c>
      <c r="B79" s="135" t="str">
        <f>IFERROR(INDEX(Riesgos!$A$7:$M$84,MATCH(E79,INDEX(Riesgos!$A$7:$M$84,,MATCH(E$7,Riesgos!$A$6:$M$6,0)),0),MATCH(B$7,Riesgos!$A$6:$M$6,0)),"")</f>
        <v/>
      </c>
      <c r="C79" s="135"/>
      <c r="D79" s="136" t="str">
        <f>IFERROR(INDEX(Riesgos!$A$7:$M$84,MATCH(E79,INDEX(Riesgos!$A$7:$M$84,,MATCH(E$7,Riesgos!$A$6:$M$6,0)),0),MATCH(D$7,Riesgos!$A$6:$M$6,0)),"")</f>
        <v/>
      </c>
      <c r="E79" s="137"/>
      <c r="F79" s="137"/>
      <c r="G79" s="138" t="str">
        <f t="shared" si="2"/>
        <v/>
      </c>
      <c r="H79" s="139"/>
      <c r="I79" s="153" t="str">
        <f>IF(A78=A79,IFERROR(IF(AND(#REF!="Probabilidad",#REF!="Probabilidad"),(#REF!-(+#REF!*#REF!)),IF(#REF!="Probabilidad",(#REF!-(+#REF!*#REF!)),IF(#REF!="Impacto",#REF!,""))),""),IFERROR(IF(#REF!="Probabilidad",(#REF!-(+#REF!*#REF!)),IF(#REF!="Impacto",#REF!,"")),""))</f>
        <v/>
      </c>
      <c r="J79" s="154" t="str">
        <f>IFERROR(IF(I79="","",IF(I79&lt;='Listas y tablas'!$L$3,"Muy Baja",IF(I79&lt;='Listas y tablas'!$L$4,"Baja",IF(I79&lt;='Listas y tablas'!$L$5,"Media",IF(I79&lt;='Listas y tablas'!$L$6,"Alta","Muy Alta"))))),"")</f>
        <v/>
      </c>
      <c r="K79" s="155"/>
      <c r="L79" s="156"/>
      <c r="M79" s="150"/>
      <c r="N79" s="151"/>
      <c r="O79" s="151"/>
      <c r="P79" s="152"/>
      <c r="Q79" s="162"/>
      <c r="R79" s="151"/>
      <c r="S79" s="151"/>
      <c r="T79" s="151"/>
      <c r="U79" s="151"/>
      <c r="V79" s="165"/>
      <c r="W79" s="150"/>
      <c r="X79" s="151"/>
      <c r="Y79" s="151"/>
      <c r="Z79" s="151"/>
      <c r="AA79" s="151"/>
      <c r="AB79" s="151"/>
      <c r="AC79" s="163"/>
      <c r="AD79" s="151"/>
      <c r="AE79" s="152"/>
      <c r="AF79" s="173"/>
      <c r="AG79" s="185"/>
      <c r="AH79" s="185"/>
      <c r="AI79" s="186"/>
      <c r="AJ79" s="181"/>
      <c r="AK79" s="181"/>
      <c r="AL79" s="183"/>
      <c r="AM79" s="173"/>
      <c r="AN79" s="187"/>
      <c r="AO79" s="195"/>
      <c r="AP79" s="193"/>
      <c r="AQ79" s="193"/>
      <c r="AR79" s="193"/>
      <c r="AS79" s="193"/>
      <c r="AT79" s="193"/>
      <c r="AU79" s="193"/>
      <c r="AV79" s="194"/>
      <c r="AW79" s="193"/>
      <c r="AX79" s="207"/>
      <c r="AY79" s="208"/>
      <c r="AZ79" s="209"/>
      <c r="BA79" s="209"/>
      <c r="BB79" s="209"/>
      <c r="BC79" s="206"/>
      <c r="BD79" s="206"/>
      <c r="BE79" s="213"/>
      <c r="BF79" s="217"/>
      <c r="BG79" s="209"/>
      <c r="BH79" s="218"/>
      <c r="BI79" s="215"/>
      <c r="BJ79" s="215"/>
      <c r="BK79" s="215"/>
      <c r="BL79" s="215"/>
      <c r="BM79" s="215"/>
      <c r="BN79" s="215"/>
      <c r="BO79" s="216"/>
      <c r="BP79" s="215"/>
      <c r="BQ79" s="228"/>
      <c r="BR79" s="229"/>
      <c r="BS79" s="230"/>
      <c r="BT79" s="230"/>
      <c r="BU79" s="230"/>
      <c r="BV79" s="227"/>
      <c r="BW79" s="227"/>
      <c r="BX79" s="234"/>
      <c r="BY79" s="229"/>
      <c r="BZ79" s="230"/>
      <c r="CA79" s="235"/>
    </row>
    <row r="80" spans="1:79" ht="151.5" customHeight="1">
      <c r="A80" s="134" t="str">
        <f>IFERROR(INDEX(Riesgos!$A$7:$M$84,MATCH(E80,INDEX(Riesgos!$A$7:$M$84,,MATCH(E$7,Riesgos!$A$6:$M$6,0)),0),MATCH(A$7,Riesgos!$A$6:$M$6,0)),"")</f>
        <v/>
      </c>
      <c r="B80" s="135" t="str">
        <f>IFERROR(INDEX(Riesgos!$A$7:$M$84,MATCH(E80,INDEX(Riesgos!$A$7:$M$84,,MATCH(E$7,Riesgos!$A$6:$M$6,0)),0),MATCH(B$7,Riesgos!$A$6:$M$6,0)),"")</f>
        <v/>
      </c>
      <c r="C80" s="135"/>
      <c r="D80" s="136" t="str">
        <f>IFERROR(INDEX(Riesgos!$A$7:$M$84,MATCH(E80,INDEX(Riesgos!$A$7:$M$84,,MATCH(E$7,Riesgos!$A$6:$M$6,0)),0),MATCH(D$7,Riesgos!$A$6:$M$6,0)),"")</f>
        <v/>
      </c>
      <c r="E80" s="137"/>
      <c r="F80" s="137"/>
      <c r="G80" s="138" t="str">
        <f t="shared" si="2"/>
        <v/>
      </c>
      <c r="H80" s="139"/>
      <c r="I80" s="153" t="str">
        <f>IF(A79=A80,IFERROR(IF(AND(#REF!="Probabilidad",#REF!="Probabilidad"),(#REF!-(+#REF!*#REF!)),IF(#REF!="Probabilidad",(#REF!-(+#REF!*#REF!)),IF(#REF!="Impacto",#REF!,""))),""),IFERROR(IF(#REF!="Probabilidad",(#REF!-(+#REF!*#REF!)),IF(#REF!="Impacto",#REF!,"")),""))</f>
        <v/>
      </c>
      <c r="J80" s="154" t="str">
        <f>IFERROR(IF(I80="","",IF(I80&lt;='Listas y tablas'!$L$3,"Muy Baja",IF(I80&lt;='Listas y tablas'!$L$4,"Baja",IF(I80&lt;='Listas y tablas'!$L$5,"Media",IF(I80&lt;='Listas y tablas'!$L$6,"Alta","Muy Alta"))))),"")</f>
        <v/>
      </c>
      <c r="K80" s="155"/>
      <c r="L80" s="156"/>
      <c r="M80" s="150"/>
      <c r="N80" s="151"/>
      <c r="O80" s="151"/>
      <c r="P80" s="152"/>
      <c r="Q80" s="162"/>
      <c r="R80" s="151"/>
      <c r="S80" s="151"/>
      <c r="T80" s="151"/>
      <c r="U80" s="151"/>
      <c r="V80" s="165"/>
      <c r="W80" s="150"/>
      <c r="X80" s="151"/>
      <c r="Y80" s="151"/>
      <c r="Z80" s="151"/>
      <c r="AA80" s="151"/>
      <c r="AB80" s="151"/>
      <c r="AC80" s="163"/>
      <c r="AD80" s="151"/>
      <c r="AE80" s="152"/>
      <c r="AF80" s="173"/>
      <c r="AG80" s="185"/>
      <c r="AH80" s="185"/>
      <c r="AI80" s="186"/>
      <c r="AJ80" s="181"/>
      <c r="AK80" s="181"/>
      <c r="AL80" s="183"/>
      <c r="AM80" s="173"/>
      <c r="AN80" s="187"/>
      <c r="AO80" s="195"/>
      <c r="AP80" s="193"/>
      <c r="AQ80" s="193"/>
      <c r="AR80" s="193"/>
      <c r="AS80" s="193"/>
      <c r="AT80" s="193"/>
      <c r="AU80" s="193"/>
      <c r="AV80" s="194"/>
      <c r="AW80" s="193"/>
      <c r="AX80" s="207"/>
      <c r="AY80" s="208"/>
      <c r="AZ80" s="209"/>
      <c r="BA80" s="209"/>
      <c r="BB80" s="209"/>
      <c r="BC80" s="206"/>
      <c r="BD80" s="206"/>
      <c r="BE80" s="213"/>
      <c r="BF80" s="217"/>
      <c r="BG80" s="209"/>
      <c r="BH80" s="218"/>
      <c r="BI80" s="215"/>
      <c r="BJ80" s="215"/>
      <c r="BK80" s="215"/>
      <c r="BL80" s="215"/>
      <c r="BM80" s="215"/>
      <c r="BN80" s="215"/>
      <c r="BO80" s="216"/>
      <c r="BP80" s="215"/>
      <c r="BQ80" s="228"/>
      <c r="BR80" s="229"/>
      <c r="BS80" s="230"/>
      <c r="BT80" s="230"/>
      <c r="BU80" s="230"/>
      <c r="BV80" s="227"/>
      <c r="BW80" s="227"/>
      <c r="BX80" s="234"/>
      <c r="BY80" s="229"/>
      <c r="BZ80" s="230"/>
      <c r="CA80" s="235"/>
    </row>
    <row r="81" spans="1:79" ht="151.5" customHeight="1">
      <c r="A81" s="134" t="str">
        <f>IFERROR(INDEX(Riesgos!$A$7:$M$84,MATCH(E81,INDEX(Riesgos!$A$7:$M$84,,MATCH(E$7,Riesgos!$A$6:$M$6,0)),0),MATCH(A$7,Riesgos!$A$6:$M$6,0)),"")</f>
        <v/>
      </c>
      <c r="B81" s="135" t="str">
        <f>IFERROR(INDEX(Riesgos!$A$7:$M$84,MATCH(E81,INDEX(Riesgos!$A$7:$M$84,,MATCH(E$7,Riesgos!$A$6:$M$6,0)),0),MATCH(B$7,Riesgos!$A$6:$M$6,0)),"")</f>
        <v/>
      </c>
      <c r="C81" s="135"/>
      <c r="D81" s="136" t="str">
        <f>IFERROR(INDEX(Riesgos!$A$7:$M$84,MATCH(E81,INDEX(Riesgos!$A$7:$M$84,,MATCH(E$7,Riesgos!$A$6:$M$6,0)),0),MATCH(D$7,Riesgos!$A$6:$M$6,0)),"")</f>
        <v/>
      </c>
      <c r="E81" s="137"/>
      <c r="F81" s="137"/>
      <c r="G81" s="138" t="str">
        <f t="shared" si="2"/>
        <v/>
      </c>
      <c r="H81" s="139"/>
      <c r="I81" s="153" t="str">
        <f>IF(A80=A81,IFERROR(IF(AND(#REF!="Probabilidad",#REF!="Probabilidad"),(#REF!-(+#REF!*#REF!)),IF(#REF!="Probabilidad",(#REF!-(+#REF!*#REF!)),IF(#REF!="Impacto",#REF!,""))),""),IFERROR(IF(#REF!="Probabilidad",(#REF!-(+#REF!*#REF!)),IF(#REF!="Impacto",#REF!,"")),""))</f>
        <v/>
      </c>
      <c r="J81" s="154" t="str">
        <f>IFERROR(IF(I81="","",IF(I81&lt;='Listas y tablas'!$L$3,"Muy Baja",IF(I81&lt;='Listas y tablas'!$L$4,"Baja",IF(I81&lt;='Listas y tablas'!$L$5,"Media",IF(I81&lt;='Listas y tablas'!$L$6,"Alta","Muy Alta"))))),"")</f>
        <v/>
      </c>
      <c r="K81" s="155"/>
      <c r="L81" s="156"/>
      <c r="M81" s="150"/>
      <c r="N81" s="151"/>
      <c r="O81" s="151"/>
      <c r="P81" s="152"/>
      <c r="Q81" s="162"/>
      <c r="R81" s="151"/>
      <c r="S81" s="151"/>
      <c r="T81" s="151"/>
      <c r="U81" s="151"/>
      <c r="V81" s="165"/>
      <c r="W81" s="150"/>
      <c r="X81" s="151"/>
      <c r="Y81" s="151"/>
      <c r="Z81" s="151"/>
      <c r="AA81" s="151"/>
      <c r="AB81" s="151"/>
      <c r="AC81" s="163"/>
      <c r="AD81" s="151"/>
      <c r="AE81" s="152"/>
      <c r="AF81" s="173"/>
      <c r="AG81" s="185"/>
      <c r="AH81" s="185"/>
      <c r="AI81" s="186"/>
      <c r="AJ81" s="181"/>
      <c r="AK81" s="181"/>
      <c r="AL81" s="183"/>
      <c r="AM81" s="173"/>
      <c r="AN81" s="187"/>
      <c r="AO81" s="195"/>
      <c r="AP81" s="193"/>
      <c r="AQ81" s="193"/>
      <c r="AR81" s="193"/>
      <c r="AS81" s="193"/>
      <c r="AT81" s="193"/>
      <c r="AU81" s="193"/>
      <c r="AV81" s="194"/>
      <c r="AW81" s="193"/>
      <c r="AX81" s="207"/>
      <c r="AY81" s="208"/>
      <c r="AZ81" s="209"/>
      <c r="BA81" s="209"/>
      <c r="BB81" s="209"/>
      <c r="BC81" s="206"/>
      <c r="BD81" s="206"/>
      <c r="BE81" s="213"/>
      <c r="BF81" s="217"/>
      <c r="BG81" s="209"/>
      <c r="BH81" s="218"/>
      <c r="BI81" s="215"/>
      <c r="BJ81" s="215"/>
      <c r="BK81" s="215"/>
      <c r="BL81" s="215"/>
      <c r="BM81" s="215"/>
      <c r="BN81" s="215"/>
      <c r="BO81" s="216"/>
      <c r="BP81" s="215"/>
      <c r="BQ81" s="228"/>
      <c r="BR81" s="229"/>
      <c r="BS81" s="230"/>
      <c r="BT81" s="230"/>
      <c r="BU81" s="230"/>
      <c r="BV81" s="227"/>
      <c r="BW81" s="227"/>
      <c r="BX81" s="234"/>
      <c r="BY81" s="229"/>
      <c r="BZ81" s="230"/>
      <c r="CA81" s="235"/>
    </row>
    <row r="82" spans="1:79" ht="151.5" customHeight="1">
      <c r="A82" s="134" t="str">
        <f>IFERROR(INDEX(Riesgos!$A$7:$M$84,MATCH(E82,INDEX(Riesgos!$A$7:$M$84,,MATCH(E$7,Riesgos!$A$6:$M$6,0)),0),MATCH(A$7,Riesgos!$A$6:$M$6,0)),"")</f>
        <v/>
      </c>
      <c r="B82" s="135" t="str">
        <f>IFERROR(INDEX(Riesgos!$A$7:$M$84,MATCH(E82,INDEX(Riesgos!$A$7:$M$84,,MATCH(E$7,Riesgos!$A$6:$M$6,0)),0),MATCH(B$7,Riesgos!$A$6:$M$6,0)),"")</f>
        <v/>
      </c>
      <c r="C82" s="135"/>
      <c r="D82" s="136" t="str">
        <f>IFERROR(INDEX(Riesgos!$A$7:$M$84,MATCH(E82,INDEX(Riesgos!$A$7:$M$84,,MATCH(E$7,Riesgos!$A$6:$M$6,0)),0),MATCH(D$7,Riesgos!$A$6:$M$6,0)),"")</f>
        <v/>
      </c>
      <c r="E82" s="137"/>
      <c r="F82" s="137"/>
      <c r="G82" s="138" t="str">
        <f t="shared" si="2"/>
        <v/>
      </c>
      <c r="H82" s="139"/>
      <c r="I82" s="153" t="str">
        <f>IF(A81=A82,IFERROR(IF(AND(#REF!="Probabilidad",#REF!="Probabilidad"),(#REF!-(+#REF!*#REF!)),IF(#REF!="Probabilidad",(#REF!-(+#REF!*#REF!)),IF(#REF!="Impacto",#REF!,""))),""),IFERROR(IF(#REF!="Probabilidad",(#REF!-(+#REF!*#REF!)),IF(#REF!="Impacto",#REF!,"")),""))</f>
        <v/>
      </c>
      <c r="J82" s="154" t="str">
        <f>IFERROR(IF(I82="","",IF(I82&lt;='Listas y tablas'!$L$3,"Muy Baja",IF(I82&lt;='Listas y tablas'!$L$4,"Baja",IF(I82&lt;='Listas y tablas'!$L$5,"Media",IF(I82&lt;='Listas y tablas'!$L$6,"Alta","Muy Alta"))))),"")</f>
        <v/>
      </c>
      <c r="K82" s="155"/>
      <c r="L82" s="156"/>
      <c r="M82" s="150"/>
      <c r="N82" s="151"/>
      <c r="O82" s="151"/>
      <c r="P82" s="152"/>
      <c r="Q82" s="162"/>
      <c r="R82" s="151"/>
      <c r="S82" s="151"/>
      <c r="T82" s="151"/>
      <c r="U82" s="151"/>
      <c r="V82" s="165"/>
      <c r="W82" s="150"/>
      <c r="X82" s="151"/>
      <c r="Y82" s="151"/>
      <c r="Z82" s="151"/>
      <c r="AA82" s="151"/>
      <c r="AB82" s="151"/>
      <c r="AC82" s="163"/>
      <c r="AD82" s="151"/>
      <c r="AE82" s="152"/>
      <c r="AF82" s="173"/>
      <c r="AG82" s="185"/>
      <c r="AH82" s="185"/>
      <c r="AI82" s="186"/>
      <c r="AJ82" s="181"/>
      <c r="AK82" s="181"/>
      <c r="AL82" s="183"/>
      <c r="AM82" s="173"/>
      <c r="AN82" s="187"/>
      <c r="AO82" s="195"/>
      <c r="AP82" s="193"/>
      <c r="AQ82" s="193"/>
      <c r="AR82" s="193"/>
      <c r="AS82" s="193"/>
      <c r="AT82" s="193"/>
      <c r="AU82" s="193"/>
      <c r="AV82" s="194"/>
      <c r="AW82" s="193"/>
      <c r="AX82" s="207"/>
      <c r="AY82" s="208"/>
      <c r="AZ82" s="209"/>
      <c r="BA82" s="209"/>
      <c r="BB82" s="209"/>
      <c r="BC82" s="206"/>
      <c r="BD82" s="206"/>
      <c r="BE82" s="213"/>
      <c r="BF82" s="217"/>
      <c r="BG82" s="209"/>
      <c r="BH82" s="218"/>
      <c r="BI82" s="215"/>
      <c r="BJ82" s="215"/>
      <c r="BK82" s="215"/>
      <c r="BL82" s="215"/>
      <c r="BM82" s="215"/>
      <c r="BN82" s="215"/>
      <c r="BO82" s="216"/>
      <c r="BP82" s="215"/>
      <c r="BQ82" s="228"/>
      <c r="BR82" s="229"/>
      <c r="BS82" s="230"/>
      <c r="BT82" s="230"/>
      <c r="BU82" s="230"/>
      <c r="BV82" s="227"/>
      <c r="BW82" s="227"/>
      <c r="BX82" s="234"/>
      <c r="BY82" s="229"/>
      <c r="BZ82" s="230"/>
      <c r="CA82" s="235"/>
    </row>
    <row r="83" spans="1:79" ht="151.5" customHeight="1">
      <c r="A83" s="134" t="str">
        <f>IFERROR(INDEX(Riesgos!$A$7:$M$84,MATCH(E83,INDEX(Riesgos!$A$7:$M$84,,MATCH(E$7,Riesgos!$A$6:$M$6,0)),0),MATCH(A$7,Riesgos!$A$6:$M$6,0)),"")</f>
        <v/>
      </c>
      <c r="B83" s="135" t="str">
        <f>IFERROR(INDEX(Riesgos!$A$7:$M$84,MATCH(E83,INDEX(Riesgos!$A$7:$M$84,,MATCH(E$7,Riesgos!$A$6:$M$6,0)),0),MATCH(B$7,Riesgos!$A$6:$M$6,0)),"")</f>
        <v/>
      </c>
      <c r="C83" s="135"/>
      <c r="D83" s="136" t="str">
        <f>IFERROR(INDEX(Riesgos!$A$7:$M$84,MATCH(E83,INDEX(Riesgos!$A$7:$M$84,,MATCH(E$7,Riesgos!$A$6:$M$6,0)),0),MATCH(D$7,Riesgos!$A$6:$M$6,0)),"")</f>
        <v/>
      </c>
      <c r="E83" s="137"/>
      <c r="F83" s="137"/>
      <c r="G83" s="138" t="str">
        <f t="shared" si="2"/>
        <v/>
      </c>
      <c r="H83" s="139"/>
      <c r="I83" s="153" t="str">
        <f>IF(A82=A83,IFERROR(IF(AND(#REF!="Probabilidad",#REF!="Probabilidad"),(#REF!-(+#REF!*#REF!)),IF(#REF!="Probabilidad",(#REF!-(+#REF!*#REF!)),IF(#REF!="Impacto",#REF!,""))),""),IFERROR(IF(#REF!="Probabilidad",(#REF!-(+#REF!*#REF!)),IF(#REF!="Impacto",#REF!,"")),""))</f>
        <v/>
      </c>
      <c r="J83" s="154" t="str">
        <f>IFERROR(IF(I83="","",IF(I83&lt;='Listas y tablas'!$L$3,"Muy Baja",IF(I83&lt;='Listas y tablas'!$L$4,"Baja",IF(I83&lt;='Listas y tablas'!$L$5,"Media",IF(I83&lt;='Listas y tablas'!$L$6,"Alta","Muy Alta"))))),"")</f>
        <v/>
      </c>
      <c r="K83" s="155"/>
      <c r="L83" s="156"/>
      <c r="M83" s="150"/>
      <c r="N83" s="151"/>
      <c r="O83" s="151"/>
      <c r="P83" s="152"/>
      <c r="Q83" s="162"/>
      <c r="R83" s="151"/>
      <c r="S83" s="151"/>
      <c r="T83" s="151"/>
      <c r="U83" s="151"/>
      <c r="V83" s="165"/>
      <c r="W83" s="150"/>
      <c r="X83" s="151"/>
      <c r="Y83" s="151"/>
      <c r="Z83" s="151"/>
      <c r="AA83" s="151"/>
      <c r="AB83" s="151"/>
      <c r="AC83" s="163"/>
      <c r="AD83" s="151"/>
      <c r="AE83" s="152"/>
      <c r="AF83" s="173"/>
      <c r="AG83" s="185"/>
      <c r="AH83" s="185"/>
      <c r="AI83" s="186"/>
      <c r="AJ83" s="181"/>
      <c r="AK83" s="181"/>
      <c r="AL83" s="183"/>
      <c r="AM83" s="173"/>
      <c r="AN83" s="187"/>
      <c r="AO83" s="195"/>
      <c r="AP83" s="193"/>
      <c r="AQ83" s="193"/>
      <c r="AR83" s="193"/>
      <c r="AS83" s="193"/>
      <c r="AT83" s="193"/>
      <c r="AU83" s="193"/>
      <c r="AV83" s="194"/>
      <c r="AW83" s="193"/>
      <c r="AX83" s="207"/>
      <c r="AY83" s="208"/>
      <c r="AZ83" s="209"/>
      <c r="BA83" s="209"/>
      <c r="BB83" s="209"/>
      <c r="BC83" s="206"/>
      <c r="BD83" s="206"/>
      <c r="BE83" s="213"/>
      <c r="BF83" s="217"/>
      <c r="BG83" s="209"/>
      <c r="BH83" s="218"/>
      <c r="BI83" s="215"/>
      <c r="BJ83" s="215"/>
      <c r="BK83" s="215"/>
      <c r="BL83" s="215"/>
      <c r="BM83" s="215"/>
      <c r="BN83" s="215"/>
      <c r="BO83" s="216"/>
      <c r="BP83" s="215"/>
      <c r="BQ83" s="228"/>
      <c r="BR83" s="229"/>
      <c r="BS83" s="230"/>
      <c r="BT83" s="230"/>
      <c r="BU83" s="230"/>
      <c r="BV83" s="227"/>
      <c r="BW83" s="227"/>
      <c r="BX83" s="234"/>
      <c r="BY83" s="229"/>
      <c r="BZ83" s="230"/>
      <c r="CA83" s="235"/>
    </row>
    <row r="84" spans="1:79" ht="151.5" customHeight="1">
      <c r="A84" s="134" t="str">
        <f>IFERROR(INDEX(Riesgos!$A$7:$M$84,MATCH(E84,INDEX(Riesgos!$A$7:$M$84,,MATCH(E$7,Riesgos!$A$6:$M$6,0)),0),MATCH(A$7,Riesgos!$A$6:$M$6,0)),"")</f>
        <v/>
      </c>
      <c r="B84" s="135" t="str">
        <f>IFERROR(INDEX(Riesgos!$A$7:$M$84,MATCH(E84,INDEX(Riesgos!$A$7:$M$84,,MATCH(E$7,Riesgos!$A$6:$M$6,0)),0),MATCH(B$7,Riesgos!$A$6:$M$6,0)),"")</f>
        <v/>
      </c>
      <c r="C84" s="135"/>
      <c r="D84" s="136" t="str">
        <f>IFERROR(INDEX(Riesgos!$A$7:$M$84,MATCH(E84,INDEX(Riesgos!$A$7:$M$84,,MATCH(E$7,Riesgos!$A$6:$M$6,0)),0),MATCH(D$7,Riesgos!$A$6:$M$6,0)),"")</f>
        <v/>
      </c>
      <c r="E84" s="137"/>
      <c r="F84" s="137"/>
      <c r="G84" s="138" t="str">
        <f t="shared" si="2"/>
        <v/>
      </c>
      <c r="H84" s="139"/>
      <c r="I84" s="153" t="str">
        <f>IF(A83=A84,IFERROR(IF(AND(#REF!="Probabilidad",#REF!="Probabilidad"),(#REF!-(+#REF!*#REF!)),IF(#REF!="Probabilidad",(#REF!-(+#REF!*#REF!)),IF(#REF!="Impacto",#REF!,""))),""),IFERROR(IF(#REF!="Probabilidad",(#REF!-(+#REF!*#REF!)),IF(#REF!="Impacto",#REF!,"")),""))</f>
        <v/>
      </c>
      <c r="J84" s="154" t="str">
        <f>IFERROR(IF(I84="","",IF(I84&lt;='Listas y tablas'!$L$3,"Muy Baja",IF(I84&lt;='Listas y tablas'!$L$4,"Baja",IF(I84&lt;='Listas y tablas'!$L$5,"Media",IF(I84&lt;='Listas y tablas'!$L$6,"Alta","Muy Alta"))))),"")</f>
        <v/>
      </c>
      <c r="K84" s="155"/>
      <c r="L84" s="156"/>
      <c r="M84" s="150"/>
      <c r="N84" s="151"/>
      <c r="O84" s="151"/>
      <c r="P84" s="152"/>
      <c r="Q84" s="162"/>
      <c r="R84" s="151"/>
      <c r="S84" s="151"/>
      <c r="T84" s="151"/>
      <c r="U84" s="151"/>
      <c r="V84" s="165"/>
      <c r="W84" s="150"/>
      <c r="X84" s="151"/>
      <c r="Y84" s="151"/>
      <c r="Z84" s="151"/>
      <c r="AA84" s="151"/>
      <c r="AB84" s="151"/>
      <c r="AC84" s="163"/>
      <c r="AD84" s="151"/>
      <c r="AE84" s="152"/>
      <c r="AF84" s="173"/>
      <c r="AG84" s="185"/>
      <c r="AH84" s="185"/>
      <c r="AI84" s="186"/>
      <c r="AJ84" s="181"/>
      <c r="AK84" s="181"/>
      <c r="AL84" s="183"/>
      <c r="AM84" s="173"/>
      <c r="AN84" s="187"/>
      <c r="AO84" s="195"/>
      <c r="AP84" s="193"/>
      <c r="AQ84" s="193"/>
      <c r="AR84" s="193"/>
      <c r="AS84" s="193"/>
      <c r="AT84" s="193"/>
      <c r="AU84" s="193"/>
      <c r="AV84" s="194"/>
      <c r="AW84" s="193"/>
      <c r="AX84" s="207"/>
      <c r="AY84" s="208"/>
      <c r="AZ84" s="209"/>
      <c r="BA84" s="209"/>
      <c r="BB84" s="209"/>
      <c r="BC84" s="206"/>
      <c r="BD84" s="206"/>
      <c r="BE84" s="213"/>
      <c r="BF84" s="217"/>
      <c r="BG84" s="209"/>
      <c r="BH84" s="218"/>
      <c r="BI84" s="215"/>
      <c r="BJ84" s="215"/>
      <c r="BK84" s="215"/>
      <c r="BL84" s="215"/>
      <c r="BM84" s="215"/>
      <c r="BN84" s="215"/>
      <c r="BO84" s="216"/>
      <c r="BP84" s="215"/>
      <c r="BQ84" s="228"/>
      <c r="BR84" s="229"/>
      <c r="BS84" s="230"/>
      <c r="BT84" s="230"/>
      <c r="BU84" s="230"/>
      <c r="BV84" s="227"/>
      <c r="BW84" s="227"/>
      <c r="BX84" s="234"/>
      <c r="BY84" s="229"/>
      <c r="BZ84" s="230"/>
      <c r="CA84" s="235"/>
    </row>
    <row r="85" spans="1:79" ht="151.5" customHeight="1">
      <c r="A85" s="134" t="str">
        <f>IFERROR(INDEX(Riesgos!$A$7:$M$84,MATCH(E85,INDEX(Riesgos!$A$7:$M$84,,MATCH(E$7,Riesgos!$A$6:$M$6,0)),0),MATCH(A$7,Riesgos!$A$6:$M$6,0)),"")</f>
        <v/>
      </c>
      <c r="B85" s="135" t="str">
        <f>IFERROR(INDEX(Riesgos!$A$7:$M$84,MATCH(E85,INDEX(Riesgos!$A$7:$M$84,,MATCH(E$7,Riesgos!$A$6:$M$6,0)),0),MATCH(B$7,Riesgos!$A$6:$M$6,0)),"")</f>
        <v/>
      </c>
      <c r="C85" s="135"/>
      <c r="D85" s="136" t="str">
        <f>IFERROR(INDEX(Riesgos!$A$7:$M$84,MATCH(E85,INDEX(Riesgos!$A$7:$M$84,,MATCH(E$7,Riesgos!$A$6:$M$6,0)),0),MATCH(D$7,Riesgos!$A$6:$M$6,0)),"")</f>
        <v/>
      </c>
      <c r="E85" s="137"/>
      <c r="F85" s="137"/>
      <c r="G85" s="138" t="str">
        <f t="shared" si="2"/>
        <v/>
      </c>
      <c r="H85" s="139"/>
      <c r="I85" s="153" t="str">
        <f>IF(A84=A85,IFERROR(IF(AND(#REF!="Probabilidad",#REF!="Probabilidad"),(#REF!-(+#REF!*#REF!)),IF(#REF!="Probabilidad",(#REF!-(+#REF!*#REF!)),IF(#REF!="Impacto",#REF!,""))),""),IFERROR(IF(#REF!="Probabilidad",(#REF!-(+#REF!*#REF!)),IF(#REF!="Impacto",#REF!,"")),""))</f>
        <v/>
      </c>
      <c r="J85" s="154" t="str">
        <f>IFERROR(IF(I85="","",IF(I85&lt;='Listas y tablas'!$L$3,"Muy Baja",IF(I85&lt;='Listas y tablas'!$L$4,"Baja",IF(I85&lt;='Listas y tablas'!$L$5,"Media",IF(I85&lt;='Listas y tablas'!$L$6,"Alta","Muy Alta"))))),"")</f>
        <v/>
      </c>
      <c r="K85" s="155"/>
      <c r="L85" s="156"/>
      <c r="M85" s="150"/>
      <c r="N85" s="151"/>
      <c r="O85" s="151"/>
      <c r="P85" s="152"/>
      <c r="Q85" s="162"/>
      <c r="R85" s="151"/>
      <c r="S85" s="151"/>
      <c r="T85" s="151"/>
      <c r="U85" s="151"/>
      <c r="V85" s="165"/>
      <c r="W85" s="150"/>
      <c r="X85" s="151"/>
      <c r="Y85" s="151"/>
      <c r="Z85" s="151"/>
      <c r="AA85" s="151"/>
      <c r="AB85" s="151"/>
      <c r="AC85" s="163"/>
      <c r="AD85" s="151"/>
      <c r="AE85" s="152"/>
      <c r="AF85" s="173"/>
      <c r="AG85" s="185"/>
      <c r="AH85" s="185"/>
      <c r="AI85" s="186"/>
      <c r="AJ85" s="181"/>
      <c r="AK85" s="181"/>
      <c r="AL85" s="183"/>
      <c r="AM85" s="173"/>
      <c r="AN85" s="187"/>
      <c r="AO85" s="195"/>
      <c r="AP85" s="193"/>
      <c r="AQ85" s="193"/>
      <c r="AR85" s="193"/>
      <c r="AS85" s="193"/>
      <c r="AT85" s="193"/>
      <c r="AU85" s="193"/>
      <c r="AV85" s="194"/>
      <c r="AW85" s="193"/>
      <c r="AX85" s="207"/>
      <c r="AY85" s="208"/>
      <c r="AZ85" s="209"/>
      <c r="BA85" s="209"/>
      <c r="BB85" s="209"/>
      <c r="BC85" s="206"/>
      <c r="BD85" s="206"/>
      <c r="BE85" s="213"/>
      <c r="BF85" s="217"/>
      <c r="BG85" s="209"/>
      <c r="BH85" s="218"/>
      <c r="BI85" s="215"/>
      <c r="BJ85" s="215"/>
      <c r="BK85" s="215"/>
      <c r="BL85" s="215"/>
      <c r="BM85" s="215"/>
      <c r="BN85" s="215"/>
      <c r="BO85" s="216"/>
      <c r="BP85" s="215"/>
      <c r="BQ85" s="228"/>
      <c r="BR85" s="229"/>
      <c r="BS85" s="230"/>
      <c r="BT85" s="230"/>
      <c r="BU85" s="230"/>
      <c r="BV85" s="227"/>
      <c r="BW85" s="227"/>
      <c r="BX85" s="234"/>
      <c r="BY85" s="229"/>
      <c r="BZ85" s="230"/>
      <c r="CA85" s="235"/>
    </row>
    <row r="86" spans="1:79" ht="151.5" customHeight="1">
      <c r="A86" s="134" t="str">
        <f>IFERROR(INDEX(Riesgos!$A$7:$M$84,MATCH(E86,INDEX(Riesgos!$A$7:$M$84,,MATCH(E$7,Riesgos!$A$6:$M$6,0)),0),MATCH(A$7,Riesgos!$A$6:$M$6,0)),"")</f>
        <v/>
      </c>
      <c r="B86" s="135" t="str">
        <f>IFERROR(INDEX(Riesgos!$A$7:$M$84,MATCH(E86,INDEX(Riesgos!$A$7:$M$84,,MATCH(E$7,Riesgos!$A$6:$M$6,0)),0),MATCH(B$7,Riesgos!$A$6:$M$6,0)),"")</f>
        <v/>
      </c>
      <c r="C86" s="135"/>
      <c r="D86" s="136" t="str">
        <f>IFERROR(INDEX(Riesgos!$A$7:$M$84,MATCH(E86,INDEX(Riesgos!$A$7:$M$84,,MATCH(E$7,Riesgos!$A$6:$M$6,0)),0),MATCH(D$7,Riesgos!$A$6:$M$6,0)),"")</f>
        <v/>
      </c>
      <c r="E86" s="137"/>
      <c r="F86" s="137"/>
      <c r="G86" s="138" t="str">
        <f t="shared" si="2"/>
        <v/>
      </c>
      <c r="H86" s="139"/>
      <c r="I86" s="153" t="str">
        <f>IF(A85=A86,IFERROR(IF(AND(#REF!="Probabilidad",#REF!="Probabilidad"),(#REF!-(+#REF!*#REF!)),IF(#REF!="Probabilidad",(#REF!-(+#REF!*#REF!)),IF(#REF!="Impacto",#REF!,""))),""),IFERROR(IF(#REF!="Probabilidad",(#REF!-(+#REF!*#REF!)),IF(#REF!="Impacto",#REF!,"")),""))</f>
        <v/>
      </c>
      <c r="J86" s="154" t="str">
        <f>IFERROR(IF(I86="","",IF(I86&lt;='Listas y tablas'!$L$3,"Muy Baja",IF(I86&lt;='Listas y tablas'!$L$4,"Baja",IF(I86&lt;='Listas y tablas'!$L$5,"Media",IF(I86&lt;='Listas y tablas'!$L$6,"Alta","Muy Alta"))))),"")</f>
        <v/>
      </c>
      <c r="K86" s="155"/>
      <c r="L86" s="156"/>
      <c r="M86" s="150"/>
      <c r="N86" s="151"/>
      <c r="O86" s="151"/>
      <c r="P86" s="152"/>
      <c r="Q86" s="162"/>
      <c r="R86" s="151"/>
      <c r="S86" s="151"/>
      <c r="T86" s="151"/>
      <c r="U86" s="151"/>
      <c r="V86" s="165"/>
      <c r="W86" s="150"/>
      <c r="X86" s="151"/>
      <c r="Y86" s="151"/>
      <c r="Z86" s="151"/>
      <c r="AA86" s="151"/>
      <c r="AB86" s="151"/>
      <c r="AC86" s="163"/>
      <c r="AD86" s="151"/>
      <c r="AE86" s="152"/>
      <c r="AF86" s="173"/>
      <c r="AG86" s="185"/>
      <c r="AH86" s="185"/>
      <c r="AI86" s="186"/>
      <c r="AJ86" s="181"/>
      <c r="AK86" s="181"/>
      <c r="AL86" s="183"/>
      <c r="AM86" s="173"/>
      <c r="AN86" s="187"/>
      <c r="AO86" s="195"/>
      <c r="AP86" s="193"/>
      <c r="AQ86" s="193"/>
      <c r="AR86" s="193"/>
      <c r="AS86" s="193"/>
      <c r="AT86" s="193"/>
      <c r="AU86" s="193"/>
      <c r="AV86" s="194"/>
      <c r="AW86" s="193"/>
      <c r="AX86" s="207"/>
      <c r="AY86" s="208"/>
      <c r="AZ86" s="209"/>
      <c r="BA86" s="209"/>
      <c r="BB86" s="209"/>
      <c r="BC86" s="206"/>
      <c r="BD86" s="206"/>
      <c r="BE86" s="213"/>
      <c r="BF86" s="217"/>
      <c r="BG86" s="209"/>
      <c r="BH86" s="218"/>
      <c r="BI86" s="215"/>
      <c r="BJ86" s="215"/>
      <c r="BK86" s="215"/>
      <c r="BL86" s="215"/>
      <c r="BM86" s="215"/>
      <c r="BN86" s="215"/>
      <c r="BO86" s="216"/>
      <c r="BP86" s="215"/>
      <c r="BQ86" s="228"/>
      <c r="BR86" s="229"/>
      <c r="BS86" s="230"/>
      <c r="BT86" s="230"/>
      <c r="BU86" s="230"/>
      <c r="BV86" s="227"/>
      <c r="BW86" s="227"/>
      <c r="BX86" s="234"/>
      <c r="BY86" s="229"/>
      <c r="BZ86" s="230"/>
      <c r="CA86" s="235"/>
    </row>
    <row r="87" spans="1:79" ht="151.5" customHeight="1">
      <c r="A87" s="134" t="str">
        <f>IFERROR(INDEX(Riesgos!$A$7:$M$84,MATCH(E87,INDEX(Riesgos!$A$7:$M$84,,MATCH(E$7,Riesgos!$A$6:$M$6,0)),0),MATCH(A$7,Riesgos!$A$6:$M$6,0)),"")</f>
        <v/>
      </c>
      <c r="B87" s="135" t="str">
        <f>IFERROR(INDEX(Riesgos!$A$7:$M$84,MATCH(E87,INDEX(Riesgos!$A$7:$M$84,,MATCH(E$7,Riesgos!$A$6:$M$6,0)),0),MATCH(B$7,Riesgos!$A$6:$M$6,0)),"")</f>
        <v/>
      </c>
      <c r="C87" s="135"/>
      <c r="D87" s="136" t="str">
        <f>IFERROR(INDEX(Riesgos!$A$7:$M$84,MATCH(E87,INDEX(Riesgos!$A$7:$M$84,,MATCH(E$7,Riesgos!$A$6:$M$6,0)),0),MATCH(D$7,Riesgos!$A$6:$M$6,0)),"")</f>
        <v/>
      </c>
      <c r="E87" s="137"/>
      <c r="F87" s="137"/>
      <c r="G87" s="138" t="str">
        <f t="shared" si="2"/>
        <v/>
      </c>
      <c r="H87" s="139"/>
      <c r="I87" s="153" t="str">
        <f>IF(A86=A87,IFERROR(IF(AND(#REF!="Probabilidad",#REF!="Probabilidad"),(#REF!-(+#REF!*#REF!)),IF(#REF!="Probabilidad",(#REF!-(+#REF!*#REF!)),IF(#REF!="Impacto",#REF!,""))),""),IFERROR(IF(#REF!="Probabilidad",(#REF!-(+#REF!*#REF!)),IF(#REF!="Impacto",#REF!,"")),""))</f>
        <v/>
      </c>
      <c r="J87" s="154" t="str">
        <f>IFERROR(IF(I87="","",IF(I87&lt;='Listas y tablas'!$L$3,"Muy Baja",IF(I87&lt;='Listas y tablas'!$L$4,"Baja",IF(I87&lt;='Listas y tablas'!$L$5,"Media",IF(I87&lt;='Listas y tablas'!$L$6,"Alta","Muy Alta"))))),"")</f>
        <v/>
      </c>
      <c r="K87" s="155"/>
      <c r="L87" s="156"/>
      <c r="M87" s="150"/>
      <c r="N87" s="151"/>
      <c r="O87" s="151"/>
      <c r="P87" s="152"/>
      <c r="Q87" s="162"/>
      <c r="R87" s="151"/>
      <c r="S87" s="151"/>
      <c r="T87" s="151"/>
      <c r="U87" s="151"/>
      <c r="V87" s="165"/>
      <c r="W87" s="150"/>
      <c r="X87" s="151"/>
      <c r="Y87" s="151"/>
      <c r="Z87" s="151"/>
      <c r="AA87" s="151"/>
      <c r="AB87" s="151"/>
      <c r="AC87" s="163"/>
      <c r="AD87" s="151"/>
      <c r="AE87" s="152"/>
      <c r="AF87" s="173"/>
      <c r="AG87" s="185"/>
      <c r="AH87" s="185"/>
      <c r="AI87" s="186"/>
      <c r="AJ87" s="181"/>
      <c r="AK87" s="181"/>
      <c r="AL87" s="183"/>
      <c r="AM87" s="173"/>
      <c r="AN87" s="187"/>
      <c r="AO87" s="195"/>
      <c r="AP87" s="193"/>
      <c r="AQ87" s="193"/>
      <c r="AR87" s="193"/>
      <c r="AS87" s="193"/>
      <c r="AT87" s="193"/>
      <c r="AU87" s="193"/>
      <c r="AV87" s="194"/>
      <c r="AW87" s="193"/>
      <c r="AX87" s="207"/>
      <c r="AY87" s="208"/>
      <c r="AZ87" s="209"/>
      <c r="BA87" s="209"/>
      <c r="BB87" s="209"/>
      <c r="BC87" s="206"/>
      <c r="BD87" s="206"/>
      <c r="BE87" s="213"/>
      <c r="BF87" s="217"/>
      <c r="BG87" s="209"/>
      <c r="BH87" s="218"/>
      <c r="BI87" s="215"/>
      <c r="BJ87" s="215"/>
      <c r="BK87" s="215"/>
      <c r="BL87" s="215"/>
      <c r="BM87" s="215"/>
      <c r="BN87" s="215"/>
      <c r="BO87" s="216"/>
      <c r="BP87" s="215"/>
      <c r="BQ87" s="228"/>
      <c r="BR87" s="229"/>
      <c r="BS87" s="230"/>
      <c r="BT87" s="230"/>
      <c r="BU87" s="230"/>
      <c r="BV87" s="227"/>
      <c r="BW87" s="227"/>
      <c r="BX87" s="234"/>
      <c r="BY87" s="229"/>
      <c r="BZ87" s="230"/>
      <c r="CA87" s="235"/>
    </row>
    <row r="88" spans="1:79" ht="151.5" customHeight="1">
      <c r="A88" s="134" t="str">
        <f>IFERROR(INDEX(Riesgos!$A$7:$M$84,MATCH(E88,INDEX(Riesgos!$A$7:$M$84,,MATCH(E$7,Riesgos!$A$6:$M$6,0)),0),MATCH(A$7,Riesgos!$A$6:$M$6,0)),"")</f>
        <v/>
      </c>
      <c r="B88" s="135" t="str">
        <f>IFERROR(INDEX(Riesgos!$A$7:$M$84,MATCH(E88,INDEX(Riesgos!$A$7:$M$84,,MATCH(E$7,Riesgos!$A$6:$M$6,0)),0),MATCH(B$7,Riesgos!$A$6:$M$6,0)),"")</f>
        <v/>
      </c>
      <c r="C88" s="135"/>
      <c r="D88" s="136" t="str">
        <f>IFERROR(INDEX(Riesgos!$A$7:$M$84,MATCH(E88,INDEX(Riesgos!$A$7:$M$84,,MATCH(E$7,Riesgos!$A$6:$M$6,0)),0),MATCH(D$7,Riesgos!$A$6:$M$6,0)),"")</f>
        <v/>
      </c>
      <c r="E88" s="137"/>
      <c r="F88" s="137"/>
      <c r="G88" s="138" t="str">
        <f t="shared" si="2"/>
        <v/>
      </c>
      <c r="H88" s="139"/>
      <c r="I88" s="153" t="str">
        <f>IF(A87=A88,IFERROR(IF(AND(#REF!="Probabilidad",#REF!="Probabilidad"),(#REF!-(+#REF!*#REF!)),IF(#REF!="Probabilidad",(#REF!-(+#REF!*#REF!)),IF(#REF!="Impacto",#REF!,""))),""),IFERROR(IF(#REF!="Probabilidad",(#REF!-(+#REF!*#REF!)),IF(#REF!="Impacto",#REF!,"")),""))</f>
        <v/>
      </c>
      <c r="J88" s="154" t="str">
        <f>IFERROR(IF(I88="","",IF(I88&lt;='Listas y tablas'!$L$3,"Muy Baja",IF(I88&lt;='Listas y tablas'!$L$4,"Baja",IF(I88&lt;='Listas y tablas'!$L$5,"Media",IF(I88&lt;='Listas y tablas'!$L$6,"Alta","Muy Alta"))))),"")</f>
        <v/>
      </c>
      <c r="K88" s="155"/>
      <c r="L88" s="156"/>
      <c r="M88" s="150"/>
      <c r="N88" s="151"/>
      <c r="O88" s="151"/>
      <c r="P88" s="152"/>
      <c r="Q88" s="162"/>
      <c r="R88" s="151"/>
      <c r="S88" s="151"/>
      <c r="T88" s="151"/>
      <c r="U88" s="151"/>
      <c r="V88" s="165"/>
      <c r="W88" s="150"/>
      <c r="X88" s="151"/>
      <c r="Y88" s="151"/>
      <c r="Z88" s="151"/>
      <c r="AA88" s="151"/>
      <c r="AB88" s="151"/>
      <c r="AC88" s="163"/>
      <c r="AD88" s="151"/>
      <c r="AE88" s="152"/>
      <c r="AF88" s="173"/>
      <c r="AG88" s="185"/>
      <c r="AH88" s="185"/>
      <c r="AI88" s="186"/>
      <c r="AJ88" s="181"/>
      <c r="AK88" s="181"/>
      <c r="AL88" s="183"/>
      <c r="AM88" s="173"/>
      <c r="AN88" s="187"/>
      <c r="AO88" s="195"/>
      <c r="AP88" s="193"/>
      <c r="AQ88" s="193"/>
      <c r="AR88" s="193"/>
      <c r="AS88" s="193"/>
      <c r="AT88" s="193"/>
      <c r="AU88" s="193"/>
      <c r="AV88" s="194"/>
      <c r="AW88" s="193"/>
      <c r="AX88" s="207"/>
      <c r="AY88" s="208"/>
      <c r="AZ88" s="209"/>
      <c r="BA88" s="209"/>
      <c r="BB88" s="209"/>
      <c r="BC88" s="206"/>
      <c r="BD88" s="206"/>
      <c r="BE88" s="213"/>
      <c r="BF88" s="217"/>
      <c r="BG88" s="209"/>
      <c r="BH88" s="218"/>
      <c r="BI88" s="215"/>
      <c r="BJ88" s="215"/>
      <c r="BK88" s="215"/>
      <c r="BL88" s="215"/>
      <c r="BM88" s="215"/>
      <c r="BN88" s="215"/>
      <c r="BO88" s="216"/>
      <c r="BP88" s="215"/>
      <c r="BQ88" s="228"/>
      <c r="BR88" s="229"/>
      <c r="BS88" s="230"/>
      <c r="BT88" s="230"/>
      <c r="BU88" s="230"/>
      <c r="BV88" s="227"/>
      <c r="BW88" s="227"/>
      <c r="BX88" s="234"/>
      <c r="BY88" s="229"/>
      <c r="BZ88" s="230"/>
      <c r="CA88" s="235"/>
    </row>
    <row r="89" spans="1:79" ht="151.5" customHeight="1">
      <c r="A89" s="134" t="str">
        <f>IFERROR(INDEX(Riesgos!$A$7:$M$84,MATCH(E89,INDEX(Riesgos!$A$7:$M$84,,MATCH(E$7,Riesgos!$A$6:$M$6,0)),0),MATCH(A$7,Riesgos!$A$6:$M$6,0)),"")</f>
        <v/>
      </c>
      <c r="B89" s="135" t="str">
        <f>IFERROR(INDEX(Riesgos!$A$7:$M$84,MATCH(E89,INDEX(Riesgos!$A$7:$M$84,,MATCH(E$7,Riesgos!$A$6:$M$6,0)),0),MATCH(B$7,Riesgos!$A$6:$M$6,0)),"")</f>
        <v/>
      </c>
      <c r="C89" s="135"/>
      <c r="D89" s="136" t="str">
        <f>IFERROR(INDEX(Riesgos!$A$7:$M$84,MATCH(E89,INDEX(Riesgos!$A$7:$M$84,,MATCH(E$7,Riesgos!$A$6:$M$6,0)),0),MATCH(D$7,Riesgos!$A$6:$M$6,0)),"")</f>
        <v/>
      </c>
      <c r="E89" s="137"/>
      <c r="F89" s="137"/>
      <c r="G89" s="138" t="str">
        <f t="shared" si="2"/>
        <v/>
      </c>
      <c r="H89" s="139"/>
      <c r="I89" s="153" t="str">
        <f>IF(A88=A89,IFERROR(IF(AND(#REF!="Probabilidad",#REF!="Probabilidad"),(#REF!-(+#REF!*#REF!)),IF(#REF!="Probabilidad",(#REF!-(+#REF!*#REF!)),IF(#REF!="Impacto",#REF!,""))),""),IFERROR(IF(#REF!="Probabilidad",(#REF!-(+#REF!*#REF!)),IF(#REF!="Impacto",#REF!,"")),""))</f>
        <v/>
      </c>
      <c r="J89" s="154" t="str">
        <f>IFERROR(IF(I89="","",IF(I89&lt;='Listas y tablas'!$L$3,"Muy Baja",IF(I89&lt;='Listas y tablas'!$L$4,"Baja",IF(I89&lt;='Listas y tablas'!$L$5,"Media",IF(I89&lt;='Listas y tablas'!$L$6,"Alta","Muy Alta"))))),"")</f>
        <v/>
      </c>
      <c r="K89" s="155"/>
      <c r="L89" s="156"/>
      <c r="M89" s="150"/>
      <c r="N89" s="151"/>
      <c r="O89" s="151"/>
      <c r="P89" s="152"/>
      <c r="Q89" s="162"/>
      <c r="R89" s="151"/>
      <c r="S89" s="151"/>
      <c r="T89" s="151"/>
      <c r="U89" s="151"/>
      <c r="V89" s="165"/>
      <c r="W89" s="150"/>
      <c r="X89" s="151"/>
      <c r="Y89" s="151"/>
      <c r="Z89" s="151"/>
      <c r="AA89" s="151"/>
      <c r="AB89" s="151"/>
      <c r="AC89" s="163"/>
      <c r="AD89" s="151"/>
      <c r="AE89" s="152"/>
      <c r="AF89" s="173"/>
      <c r="AG89" s="185"/>
      <c r="AH89" s="185"/>
      <c r="AI89" s="186"/>
      <c r="AJ89" s="181"/>
      <c r="AK89" s="181"/>
      <c r="AL89" s="183"/>
      <c r="AM89" s="173"/>
      <c r="AN89" s="187"/>
      <c r="AO89" s="195"/>
      <c r="AP89" s="193"/>
      <c r="AQ89" s="193"/>
      <c r="AR89" s="193"/>
      <c r="AS89" s="193"/>
      <c r="AT89" s="193"/>
      <c r="AU89" s="193"/>
      <c r="AV89" s="194"/>
      <c r="AW89" s="193"/>
      <c r="AX89" s="207"/>
      <c r="AY89" s="208"/>
      <c r="AZ89" s="209"/>
      <c r="BA89" s="209"/>
      <c r="BB89" s="209"/>
      <c r="BC89" s="206"/>
      <c r="BD89" s="206"/>
      <c r="BE89" s="213"/>
      <c r="BF89" s="217"/>
      <c r="BG89" s="209"/>
      <c r="BH89" s="218"/>
      <c r="BI89" s="215"/>
      <c r="BJ89" s="215"/>
      <c r="BK89" s="215"/>
      <c r="BL89" s="215"/>
      <c r="BM89" s="215"/>
      <c r="BN89" s="215"/>
      <c r="BO89" s="216"/>
      <c r="BP89" s="215"/>
      <c r="BQ89" s="228"/>
      <c r="BR89" s="229"/>
      <c r="BS89" s="230"/>
      <c r="BT89" s="230"/>
      <c r="BU89" s="230"/>
      <c r="BV89" s="227"/>
      <c r="BW89" s="227"/>
      <c r="BX89" s="234"/>
      <c r="BY89" s="229"/>
      <c r="BZ89" s="230"/>
      <c r="CA89" s="235"/>
    </row>
    <row r="90" spans="1:79" ht="151.5" customHeight="1">
      <c r="A90" s="134" t="str">
        <f>IFERROR(INDEX(Riesgos!$A$7:$M$84,MATCH(E90,INDEX(Riesgos!$A$7:$M$84,,MATCH(E$7,Riesgos!$A$6:$M$6,0)),0),MATCH(A$7,Riesgos!$A$6:$M$6,0)),"")</f>
        <v/>
      </c>
      <c r="B90" s="135" t="str">
        <f>IFERROR(INDEX(Riesgos!$A$7:$M$84,MATCH(E90,INDEX(Riesgos!$A$7:$M$84,,MATCH(E$7,Riesgos!$A$6:$M$6,0)),0),MATCH(B$7,Riesgos!$A$6:$M$6,0)),"")</f>
        <v/>
      </c>
      <c r="C90" s="135"/>
      <c r="D90" s="136" t="str">
        <f>IFERROR(INDEX(Riesgos!$A$7:$M$84,MATCH(E90,INDEX(Riesgos!$A$7:$M$84,,MATCH(E$7,Riesgos!$A$6:$M$6,0)),0),MATCH(D$7,Riesgos!$A$6:$M$6,0)),"")</f>
        <v/>
      </c>
      <c r="E90" s="137"/>
      <c r="F90" s="137"/>
      <c r="G90" s="138" t="str">
        <f t="shared" si="2"/>
        <v/>
      </c>
      <c r="H90" s="139"/>
      <c r="I90" s="153" t="str">
        <f>IF(A89=A90,IFERROR(IF(AND(#REF!="Probabilidad",#REF!="Probabilidad"),(#REF!-(+#REF!*#REF!)),IF(#REF!="Probabilidad",(#REF!-(+#REF!*#REF!)),IF(#REF!="Impacto",#REF!,""))),""),IFERROR(IF(#REF!="Probabilidad",(#REF!-(+#REF!*#REF!)),IF(#REF!="Impacto",#REF!,"")),""))</f>
        <v/>
      </c>
      <c r="J90" s="154" t="str">
        <f>IFERROR(IF(I90="","",IF(I90&lt;='Listas y tablas'!$L$3,"Muy Baja",IF(I90&lt;='Listas y tablas'!$L$4,"Baja",IF(I90&lt;='Listas y tablas'!$L$5,"Media",IF(I90&lt;='Listas y tablas'!$L$6,"Alta","Muy Alta"))))),"")</f>
        <v/>
      </c>
      <c r="K90" s="155"/>
      <c r="L90" s="156"/>
      <c r="M90" s="150"/>
      <c r="N90" s="151"/>
      <c r="O90" s="151"/>
      <c r="P90" s="152"/>
      <c r="Q90" s="162"/>
      <c r="R90" s="151"/>
      <c r="S90" s="151"/>
      <c r="T90" s="151"/>
      <c r="U90" s="151"/>
      <c r="V90" s="165"/>
      <c r="W90" s="150"/>
      <c r="X90" s="151"/>
      <c r="Y90" s="151"/>
      <c r="Z90" s="151"/>
      <c r="AA90" s="151"/>
      <c r="AB90" s="151"/>
      <c r="AC90" s="163"/>
      <c r="AD90" s="151"/>
      <c r="AE90" s="152"/>
      <c r="AF90" s="173"/>
      <c r="AG90" s="185"/>
      <c r="AH90" s="185"/>
      <c r="AI90" s="186"/>
      <c r="AJ90" s="181"/>
      <c r="AK90" s="181"/>
      <c r="AL90" s="183"/>
      <c r="AM90" s="173"/>
      <c r="AN90" s="187"/>
      <c r="AO90" s="195"/>
      <c r="AP90" s="193"/>
      <c r="AQ90" s="193"/>
      <c r="AR90" s="193"/>
      <c r="AS90" s="193"/>
      <c r="AT90" s="193"/>
      <c r="AU90" s="193"/>
      <c r="AV90" s="194"/>
      <c r="AW90" s="193"/>
      <c r="AX90" s="207"/>
      <c r="AY90" s="208"/>
      <c r="AZ90" s="209"/>
      <c r="BA90" s="209"/>
      <c r="BB90" s="209"/>
      <c r="BC90" s="206"/>
      <c r="BD90" s="206"/>
      <c r="BE90" s="213"/>
      <c r="BF90" s="217"/>
      <c r="BG90" s="209"/>
      <c r="BH90" s="218"/>
      <c r="BI90" s="215"/>
      <c r="BJ90" s="215"/>
      <c r="BK90" s="215"/>
      <c r="BL90" s="215"/>
      <c r="BM90" s="215"/>
      <c r="BN90" s="215"/>
      <c r="BO90" s="216"/>
      <c r="BP90" s="215"/>
      <c r="BQ90" s="228"/>
      <c r="BR90" s="229"/>
      <c r="BS90" s="230"/>
      <c r="BT90" s="230"/>
      <c r="BU90" s="230"/>
      <c r="BV90" s="227"/>
      <c r="BW90" s="227"/>
      <c r="BX90" s="234"/>
      <c r="BY90" s="229"/>
      <c r="BZ90" s="230"/>
      <c r="CA90" s="235"/>
    </row>
    <row r="91" spans="1:79" ht="151.5" customHeight="1">
      <c r="A91" s="134" t="str">
        <f>IFERROR(INDEX(Riesgos!$A$7:$M$84,MATCH(E91,INDEX(Riesgos!$A$7:$M$84,,MATCH(E$7,Riesgos!$A$6:$M$6,0)),0),MATCH(A$7,Riesgos!$A$6:$M$6,0)),"")</f>
        <v/>
      </c>
      <c r="B91" s="135" t="str">
        <f>IFERROR(INDEX(Riesgos!$A$7:$M$84,MATCH(E91,INDEX(Riesgos!$A$7:$M$84,,MATCH(E$7,Riesgos!$A$6:$M$6,0)),0),MATCH(B$7,Riesgos!$A$6:$M$6,0)),"")</f>
        <v/>
      </c>
      <c r="C91" s="135"/>
      <c r="D91" s="136" t="str">
        <f>IFERROR(INDEX(Riesgos!$A$7:$M$84,MATCH(E91,INDEX(Riesgos!$A$7:$M$84,,MATCH(E$7,Riesgos!$A$6:$M$6,0)),0),MATCH(D$7,Riesgos!$A$6:$M$6,0)),"")</f>
        <v/>
      </c>
      <c r="E91" s="137"/>
      <c r="F91" s="137"/>
      <c r="G91" s="138" t="str">
        <f t="shared" si="2"/>
        <v/>
      </c>
      <c r="H91" s="139"/>
      <c r="I91" s="153" t="str">
        <f>IF(A90=A91,IFERROR(IF(AND(#REF!="Probabilidad",#REF!="Probabilidad"),(#REF!-(+#REF!*#REF!)),IF(#REF!="Probabilidad",(#REF!-(+#REF!*#REF!)),IF(#REF!="Impacto",#REF!,""))),""),IFERROR(IF(#REF!="Probabilidad",(#REF!-(+#REF!*#REF!)),IF(#REF!="Impacto",#REF!,"")),""))</f>
        <v/>
      </c>
      <c r="J91" s="154" t="str">
        <f>IFERROR(IF(I91="","",IF(I91&lt;='Listas y tablas'!$L$3,"Muy Baja",IF(I91&lt;='Listas y tablas'!$L$4,"Baja",IF(I91&lt;='Listas y tablas'!$L$5,"Media",IF(I91&lt;='Listas y tablas'!$L$6,"Alta","Muy Alta"))))),"")</f>
        <v/>
      </c>
      <c r="K91" s="155"/>
      <c r="L91" s="156"/>
      <c r="M91" s="150"/>
      <c r="N91" s="151"/>
      <c r="O91" s="151"/>
      <c r="P91" s="152"/>
      <c r="Q91" s="162"/>
      <c r="R91" s="151"/>
      <c r="S91" s="151"/>
      <c r="T91" s="151"/>
      <c r="U91" s="151"/>
      <c r="V91" s="165"/>
      <c r="W91" s="150"/>
      <c r="X91" s="151"/>
      <c r="Y91" s="151"/>
      <c r="Z91" s="151"/>
      <c r="AA91" s="151"/>
      <c r="AB91" s="151"/>
      <c r="AC91" s="163"/>
      <c r="AD91" s="151"/>
      <c r="AE91" s="152"/>
      <c r="AF91" s="173"/>
      <c r="AG91" s="185"/>
      <c r="AH91" s="185"/>
      <c r="AI91" s="186"/>
      <c r="AJ91" s="181"/>
      <c r="AK91" s="181"/>
      <c r="AL91" s="183"/>
      <c r="AM91" s="173"/>
      <c r="AN91" s="187"/>
      <c r="AO91" s="195"/>
      <c r="AP91" s="193"/>
      <c r="AQ91" s="193"/>
      <c r="AR91" s="193"/>
      <c r="AS91" s="193"/>
      <c r="AT91" s="193"/>
      <c r="AU91" s="193"/>
      <c r="AV91" s="194"/>
      <c r="AW91" s="193"/>
      <c r="AX91" s="207"/>
      <c r="AY91" s="208"/>
      <c r="AZ91" s="209"/>
      <c r="BA91" s="209"/>
      <c r="BB91" s="209"/>
      <c r="BC91" s="206"/>
      <c r="BD91" s="206"/>
      <c r="BE91" s="213"/>
      <c r="BF91" s="217"/>
      <c r="BG91" s="209"/>
      <c r="BH91" s="218"/>
      <c r="BI91" s="215"/>
      <c r="BJ91" s="215"/>
      <c r="BK91" s="215"/>
      <c r="BL91" s="215"/>
      <c r="BM91" s="215"/>
      <c r="BN91" s="215"/>
      <c r="BO91" s="216"/>
      <c r="BP91" s="215"/>
      <c r="BQ91" s="228"/>
      <c r="BR91" s="229"/>
      <c r="BS91" s="230"/>
      <c r="BT91" s="230"/>
      <c r="BU91" s="230"/>
      <c r="BV91" s="227"/>
      <c r="BW91" s="227"/>
      <c r="BX91" s="234"/>
      <c r="BY91" s="229"/>
      <c r="BZ91" s="230"/>
      <c r="CA91" s="235"/>
    </row>
    <row r="92" spans="1:79" ht="151.5" customHeight="1">
      <c r="A92" s="134" t="str">
        <f>IFERROR(INDEX(Riesgos!$A$7:$M$84,MATCH(E92,INDEX(Riesgos!$A$7:$M$84,,MATCH(E$7,Riesgos!$A$6:$M$6,0)),0),MATCH(A$7,Riesgos!$A$6:$M$6,0)),"")</f>
        <v/>
      </c>
      <c r="B92" s="135" t="str">
        <f>IFERROR(INDEX(Riesgos!$A$7:$M$84,MATCH(E92,INDEX(Riesgos!$A$7:$M$84,,MATCH(E$7,Riesgos!$A$6:$M$6,0)),0),MATCH(B$7,Riesgos!$A$6:$M$6,0)),"")</f>
        <v/>
      </c>
      <c r="C92" s="135"/>
      <c r="D92" s="136" t="str">
        <f>IFERROR(INDEX(Riesgos!$A$7:$M$84,MATCH(E92,INDEX(Riesgos!$A$7:$M$84,,MATCH(E$7,Riesgos!$A$6:$M$6,0)),0),MATCH(D$7,Riesgos!$A$6:$M$6,0)),"")</f>
        <v/>
      </c>
      <c r="E92" s="137"/>
      <c r="F92" s="137"/>
      <c r="G92" s="138" t="str">
        <f t="shared" si="2"/>
        <v/>
      </c>
      <c r="H92" s="139"/>
      <c r="I92" s="153" t="str">
        <f>IF(A91=A92,IFERROR(IF(AND(#REF!="Probabilidad",#REF!="Probabilidad"),(#REF!-(+#REF!*#REF!)),IF(#REF!="Probabilidad",(#REF!-(+#REF!*#REF!)),IF(#REF!="Impacto",#REF!,""))),""),IFERROR(IF(#REF!="Probabilidad",(#REF!-(+#REF!*#REF!)),IF(#REF!="Impacto",#REF!,"")),""))</f>
        <v/>
      </c>
      <c r="J92" s="154" t="str">
        <f>IFERROR(IF(I92="","",IF(I92&lt;='Listas y tablas'!$L$3,"Muy Baja",IF(I92&lt;='Listas y tablas'!$L$4,"Baja",IF(I92&lt;='Listas y tablas'!$L$5,"Media",IF(I92&lt;='Listas y tablas'!$L$6,"Alta","Muy Alta"))))),"")</f>
        <v/>
      </c>
      <c r="K92" s="155"/>
      <c r="L92" s="156"/>
      <c r="M92" s="150"/>
      <c r="N92" s="151"/>
      <c r="O92" s="151"/>
      <c r="P92" s="152"/>
      <c r="Q92" s="162"/>
      <c r="R92" s="151"/>
      <c r="S92" s="151"/>
      <c r="T92" s="151"/>
      <c r="U92" s="151"/>
      <c r="V92" s="165"/>
      <c r="W92" s="150"/>
      <c r="X92" s="151"/>
      <c r="Y92" s="151"/>
      <c r="Z92" s="151"/>
      <c r="AA92" s="151"/>
      <c r="AB92" s="151"/>
      <c r="AC92" s="163"/>
      <c r="AD92" s="151"/>
      <c r="AE92" s="152"/>
      <c r="AF92" s="173"/>
      <c r="AG92" s="185"/>
      <c r="AH92" s="185"/>
      <c r="AI92" s="186"/>
      <c r="AJ92" s="181"/>
      <c r="AK92" s="181"/>
      <c r="AL92" s="183"/>
      <c r="AM92" s="173"/>
      <c r="AN92" s="187"/>
      <c r="AO92" s="195"/>
      <c r="AP92" s="193"/>
      <c r="AQ92" s="193"/>
      <c r="AR92" s="193"/>
      <c r="AS92" s="193"/>
      <c r="AT92" s="193"/>
      <c r="AU92" s="193"/>
      <c r="AV92" s="194"/>
      <c r="AW92" s="193"/>
      <c r="AX92" s="207"/>
      <c r="AY92" s="208"/>
      <c r="AZ92" s="209"/>
      <c r="BA92" s="209"/>
      <c r="BB92" s="209"/>
      <c r="BC92" s="206"/>
      <c r="BD92" s="206"/>
      <c r="BE92" s="213"/>
      <c r="BF92" s="217"/>
      <c r="BG92" s="209"/>
      <c r="BH92" s="218"/>
      <c r="BI92" s="215"/>
      <c r="BJ92" s="215"/>
      <c r="BK92" s="215"/>
      <c r="BL92" s="215"/>
      <c r="BM92" s="215"/>
      <c r="BN92" s="215"/>
      <c r="BO92" s="216"/>
      <c r="BP92" s="215"/>
      <c r="BQ92" s="228"/>
      <c r="BR92" s="229"/>
      <c r="BS92" s="230"/>
      <c r="BT92" s="230"/>
      <c r="BU92" s="230"/>
      <c r="BV92" s="227"/>
      <c r="BW92" s="227"/>
      <c r="BX92" s="234"/>
      <c r="BY92" s="229"/>
      <c r="BZ92" s="230"/>
      <c r="CA92" s="235"/>
    </row>
    <row r="93" spans="1:79" ht="151.5" customHeight="1">
      <c r="A93" s="134" t="str">
        <f>IFERROR(INDEX(Riesgos!$A$7:$M$84,MATCH(E93,INDEX(Riesgos!$A$7:$M$84,,MATCH(E$7,Riesgos!$A$6:$M$6,0)),0),MATCH(A$7,Riesgos!$A$6:$M$6,0)),"")</f>
        <v/>
      </c>
      <c r="B93" s="135" t="str">
        <f>IFERROR(INDEX(Riesgos!$A$7:$M$84,MATCH(E93,INDEX(Riesgos!$A$7:$M$84,,MATCH(E$7,Riesgos!$A$6:$M$6,0)),0),MATCH(B$7,Riesgos!$A$6:$M$6,0)),"")</f>
        <v/>
      </c>
      <c r="C93" s="135"/>
      <c r="D93" s="136" t="str">
        <f>IFERROR(INDEX(Riesgos!$A$7:$M$84,MATCH(E93,INDEX(Riesgos!$A$7:$M$84,,MATCH(E$7,Riesgos!$A$6:$M$6,0)),0),MATCH(D$7,Riesgos!$A$6:$M$6,0)),"")</f>
        <v/>
      </c>
      <c r="E93" s="137"/>
      <c r="F93" s="137"/>
      <c r="G93" s="138" t="str">
        <f t="shared" si="2"/>
        <v/>
      </c>
      <c r="H93" s="139"/>
      <c r="I93" s="153" t="str">
        <f>IF(A92=A93,IFERROR(IF(AND(#REF!="Probabilidad",#REF!="Probabilidad"),(#REF!-(+#REF!*#REF!)),IF(#REF!="Probabilidad",(#REF!-(+#REF!*#REF!)),IF(#REF!="Impacto",#REF!,""))),""),IFERROR(IF(#REF!="Probabilidad",(#REF!-(+#REF!*#REF!)),IF(#REF!="Impacto",#REF!,"")),""))</f>
        <v/>
      </c>
      <c r="J93" s="154" t="str">
        <f>IFERROR(IF(I93="","",IF(I93&lt;='Listas y tablas'!$L$3,"Muy Baja",IF(I93&lt;='Listas y tablas'!$L$4,"Baja",IF(I93&lt;='Listas y tablas'!$L$5,"Media",IF(I93&lt;='Listas y tablas'!$L$6,"Alta","Muy Alta"))))),"")</f>
        <v/>
      </c>
      <c r="K93" s="155"/>
      <c r="L93" s="156"/>
      <c r="M93" s="150"/>
      <c r="N93" s="151"/>
      <c r="O93" s="151"/>
      <c r="P93" s="152"/>
      <c r="Q93" s="162"/>
      <c r="R93" s="151"/>
      <c r="S93" s="151"/>
      <c r="T93" s="151"/>
      <c r="U93" s="151"/>
      <c r="V93" s="165"/>
      <c r="W93" s="150"/>
      <c r="X93" s="151"/>
      <c r="Y93" s="151"/>
      <c r="Z93" s="151"/>
      <c r="AA93" s="151"/>
      <c r="AB93" s="151"/>
      <c r="AC93" s="163"/>
      <c r="AD93" s="151"/>
      <c r="AE93" s="152"/>
      <c r="AF93" s="173"/>
      <c r="AG93" s="185"/>
      <c r="AH93" s="185"/>
      <c r="AI93" s="186"/>
      <c r="AJ93" s="181"/>
      <c r="AK93" s="181"/>
      <c r="AL93" s="183"/>
      <c r="AM93" s="173"/>
      <c r="AN93" s="187"/>
      <c r="AO93" s="195"/>
      <c r="AP93" s="193"/>
      <c r="AQ93" s="193"/>
      <c r="AR93" s="193"/>
      <c r="AS93" s="193"/>
      <c r="AT93" s="193"/>
      <c r="AU93" s="193"/>
      <c r="AV93" s="194"/>
      <c r="AW93" s="193"/>
      <c r="AX93" s="207"/>
      <c r="AY93" s="208"/>
      <c r="AZ93" s="209"/>
      <c r="BA93" s="209"/>
      <c r="BB93" s="209"/>
      <c r="BC93" s="206"/>
      <c r="BD93" s="206"/>
      <c r="BE93" s="213"/>
      <c r="BF93" s="217"/>
      <c r="BG93" s="209"/>
      <c r="BH93" s="218"/>
      <c r="BI93" s="215"/>
      <c r="BJ93" s="215"/>
      <c r="BK93" s="215"/>
      <c r="BL93" s="215"/>
      <c r="BM93" s="215"/>
      <c r="BN93" s="215"/>
      <c r="BO93" s="216"/>
      <c r="BP93" s="215"/>
      <c r="BQ93" s="228"/>
      <c r="BR93" s="229"/>
      <c r="BS93" s="230"/>
      <c r="BT93" s="230"/>
      <c r="BU93" s="230"/>
      <c r="BV93" s="227"/>
      <c r="BW93" s="227"/>
      <c r="BX93" s="234"/>
      <c r="BY93" s="229"/>
      <c r="BZ93" s="230"/>
      <c r="CA93" s="235"/>
    </row>
    <row r="94" spans="1:79" ht="151.5" customHeight="1">
      <c r="A94" s="134" t="str">
        <f>IFERROR(INDEX(Riesgos!$A$7:$M$84,MATCH(E94,INDEX(Riesgos!$A$7:$M$84,,MATCH(E$7,Riesgos!$A$6:$M$6,0)),0),MATCH(A$7,Riesgos!$A$6:$M$6,0)),"")</f>
        <v/>
      </c>
      <c r="B94" s="135" t="str">
        <f>IFERROR(INDEX(Riesgos!$A$7:$M$84,MATCH(E94,INDEX(Riesgos!$A$7:$M$84,,MATCH(E$7,Riesgos!$A$6:$M$6,0)),0),MATCH(B$7,Riesgos!$A$6:$M$6,0)),"")</f>
        <v/>
      </c>
      <c r="C94" s="135"/>
      <c r="D94" s="136" t="str">
        <f>IFERROR(INDEX(Riesgos!$A$7:$M$84,MATCH(E94,INDEX(Riesgos!$A$7:$M$84,,MATCH(E$7,Riesgos!$A$6:$M$6,0)),0),MATCH(D$7,Riesgos!$A$6:$M$6,0)),"")</f>
        <v/>
      </c>
      <c r="E94" s="137"/>
      <c r="F94" s="137"/>
      <c r="G94" s="138" t="str">
        <f t="shared" si="2"/>
        <v/>
      </c>
      <c r="H94" s="139"/>
      <c r="I94" s="153" t="str">
        <f>IF(A93=A94,IFERROR(IF(AND(#REF!="Probabilidad",#REF!="Probabilidad"),(#REF!-(+#REF!*#REF!)),IF(#REF!="Probabilidad",(#REF!-(+#REF!*#REF!)),IF(#REF!="Impacto",#REF!,""))),""),IFERROR(IF(#REF!="Probabilidad",(#REF!-(+#REF!*#REF!)),IF(#REF!="Impacto",#REF!,"")),""))</f>
        <v/>
      </c>
      <c r="J94" s="154" t="str">
        <f>IFERROR(IF(I94="","",IF(I94&lt;='Listas y tablas'!$L$3,"Muy Baja",IF(I94&lt;='Listas y tablas'!$L$4,"Baja",IF(I94&lt;='Listas y tablas'!$L$5,"Media",IF(I94&lt;='Listas y tablas'!$L$6,"Alta","Muy Alta"))))),"")</f>
        <v/>
      </c>
      <c r="K94" s="155"/>
      <c r="L94" s="156"/>
      <c r="M94" s="150"/>
      <c r="N94" s="151"/>
      <c r="O94" s="151"/>
      <c r="P94" s="152"/>
      <c r="Q94" s="162"/>
      <c r="R94" s="151"/>
      <c r="S94" s="151"/>
      <c r="T94" s="151"/>
      <c r="U94" s="151"/>
      <c r="V94" s="165"/>
      <c r="W94" s="150"/>
      <c r="X94" s="151"/>
      <c r="Y94" s="151"/>
      <c r="Z94" s="151"/>
      <c r="AA94" s="151"/>
      <c r="AB94" s="151"/>
      <c r="AC94" s="163"/>
      <c r="AD94" s="151"/>
      <c r="AE94" s="152"/>
      <c r="AF94" s="173"/>
      <c r="AG94" s="185"/>
      <c r="AH94" s="185"/>
      <c r="AI94" s="186"/>
      <c r="AJ94" s="181"/>
      <c r="AK94" s="181"/>
      <c r="AL94" s="183"/>
      <c r="AM94" s="173"/>
      <c r="AN94" s="187"/>
      <c r="AO94" s="195"/>
      <c r="AP94" s="193"/>
      <c r="AQ94" s="193"/>
      <c r="AR94" s="193"/>
      <c r="AS94" s="193"/>
      <c r="AT94" s="193"/>
      <c r="AU94" s="193"/>
      <c r="AV94" s="194"/>
      <c r="AW94" s="193"/>
      <c r="AX94" s="207"/>
      <c r="AY94" s="208"/>
      <c r="AZ94" s="209"/>
      <c r="BA94" s="209"/>
      <c r="BB94" s="209"/>
      <c r="BC94" s="206"/>
      <c r="BD94" s="206"/>
      <c r="BE94" s="213"/>
      <c r="BF94" s="217"/>
      <c r="BG94" s="209"/>
      <c r="BH94" s="218"/>
      <c r="BI94" s="215"/>
      <c r="BJ94" s="215"/>
      <c r="BK94" s="215"/>
      <c r="BL94" s="215"/>
      <c r="BM94" s="215"/>
      <c r="BN94" s="215"/>
      <c r="BO94" s="216"/>
      <c r="BP94" s="215"/>
      <c r="BQ94" s="228"/>
      <c r="BR94" s="229"/>
      <c r="BS94" s="230"/>
      <c r="BT94" s="230"/>
      <c r="BU94" s="230"/>
      <c r="BV94" s="227"/>
      <c r="BW94" s="227"/>
      <c r="BX94" s="234"/>
      <c r="BY94" s="229"/>
      <c r="BZ94" s="230"/>
      <c r="CA94" s="235"/>
    </row>
    <row r="95" spans="1:79" ht="151.5" customHeight="1">
      <c r="A95" s="134" t="str">
        <f>IFERROR(INDEX(Riesgos!$A$7:$M$84,MATCH(E95,INDEX(Riesgos!$A$7:$M$84,,MATCH(E$7,Riesgos!$A$6:$M$6,0)),0),MATCH(A$7,Riesgos!$A$6:$M$6,0)),"")</f>
        <v/>
      </c>
      <c r="B95" s="135" t="str">
        <f>IFERROR(INDEX(Riesgos!$A$7:$M$84,MATCH(E95,INDEX(Riesgos!$A$7:$M$84,,MATCH(E$7,Riesgos!$A$6:$M$6,0)),0),MATCH(B$7,Riesgos!$A$6:$M$6,0)),"")</f>
        <v/>
      </c>
      <c r="C95" s="135"/>
      <c r="D95" s="136" t="str">
        <f>IFERROR(INDEX(Riesgos!$A$7:$M$84,MATCH(E95,INDEX(Riesgos!$A$7:$M$84,,MATCH(E$7,Riesgos!$A$6:$M$6,0)),0),MATCH(D$7,Riesgos!$A$6:$M$6,0)),"")</f>
        <v/>
      </c>
      <c r="E95" s="137"/>
      <c r="F95" s="137"/>
      <c r="G95" s="138" t="str">
        <f t="shared" si="2"/>
        <v/>
      </c>
      <c r="H95" s="139"/>
      <c r="I95" s="153" t="str">
        <f>IF(A94=A95,IFERROR(IF(AND(#REF!="Probabilidad",#REF!="Probabilidad"),(#REF!-(+#REF!*#REF!)),IF(#REF!="Probabilidad",(#REF!-(+#REF!*#REF!)),IF(#REF!="Impacto",#REF!,""))),""),IFERROR(IF(#REF!="Probabilidad",(#REF!-(+#REF!*#REF!)),IF(#REF!="Impacto",#REF!,"")),""))</f>
        <v/>
      </c>
      <c r="J95" s="154" t="str">
        <f>IFERROR(IF(I95="","",IF(I95&lt;='Listas y tablas'!$L$3,"Muy Baja",IF(I95&lt;='Listas y tablas'!$L$4,"Baja",IF(I95&lt;='Listas y tablas'!$L$5,"Media",IF(I95&lt;='Listas y tablas'!$L$6,"Alta","Muy Alta"))))),"")</f>
        <v/>
      </c>
      <c r="K95" s="155"/>
      <c r="L95" s="156"/>
      <c r="M95" s="150"/>
      <c r="N95" s="151"/>
      <c r="O95" s="151"/>
      <c r="P95" s="152"/>
      <c r="Q95" s="162"/>
      <c r="R95" s="151"/>
      <c r="S95" s="151"/>
      <c r="T95" s="151"/>
      <c r="U95" s="151"/>
      <c r="V95" s="165"/>
      <c r="W95" s="150"/>
      <c r="X95" s="151"/>
      <c r="Y95" s="151"/>
      <c r="Z95" s="151"/>
      <c r="AA95" s="151"/>
      <c r="AB95" s="151"/>
      <c r="AC95" s="163"/>
      <c r="AD95" s="151"/>
      <c r="AE95" s="152"/>
      <c r="AF95" s="173"/>
      <c r="AG95" s="185"/>
      <c r="AH95" s="185"/>
      <c r="AI95" s="186"/>
      <c r="AJ95" s="181"/>
      <c r="AK95" s="181"/>
      <c r="AL95" s="183"/>
      <c r="AM95" s="173"/>
      <c r="AN95" s="187"/>
      <c r="AO95" s="195"/>
      <c r="AP95" s="193"/>
      <c r="AQ95" s="193"/>
      <c r="AR95" s="193"/>
      <c r="AS95" s="193"/>
      <c r="AT95" s="193"/>
      <c r="AU95" s="193"/>
      <c r="AV95" s="194"/>
      <c r="AW95" s="193"/>
      <c r="AX95" s="207"/>
      <c r="AY95" s="208"/>
      <c r="AZ95" s="209"/>
      <c r="BA95" s="209"/>
      <c r="BB95" s="209"/>
      <c r="BC95" s="206"/>
      <c r="BD95" s="206"/>
      <c r="BE95" s="213"/>
      <c r="BF95" s="217"/>
      <c r="BG95" s="209"/>
      <c r="BH95" s="218"/>
      <c r="BI95" s="215"/>
      <c r="BJ95" s="215"/>
      <c r="BK95" s="215"/>
      <c r="BL95" s="215"/>
      <c r="BM95" s="215"/>
      <c r="BN95" s="215"/>
      <c r="BO95" s="216"/>
      <c r="BP95" s="215"/>
      <c r="BQ95" s="228"/>
      <c r="BR95" s="229"/>
      <c r="BS95" s="230"/>
      <c r="BT95" s="230"/>
      <c r="BU95" s="230"/>
      <c r="BV95" s="227"/>
      <c r="BW95" s="227"/>
      <c r="BX95" s="234"/>
      <c r="BY95" s="229"/>
      <c r="BZ95" s="230"/>
      <c r="CA95" s="235"/>
    </row>
    <row r="96" spans="1:79" ht="151.5" customHeight="1">
      <c r="A96" s="134" t="str">
        <f>IFERROR(INDEX(Riesgos!$A$7:$M$84,MATCH(E96,INDEX(Riesgos!$A$7:$M$84,,MATCH(E$7,Riesgos!$A$6:$M$6,0)),0),MATCH(A$7,Riesgos!$A$6:$M$6,0)),"")</f>
        <v/>
      </c>
      <c r="B96" s="135" t="str">
        <f>IFERROR(INDEX(Riesgos!$A$7:$M$84,MATCH(E96,INDEX(Riesgos!$A$7:$M$84,,MATCH(E$7,Riesgos!$A$6:$M$6,0)),0),MATCH(B$7,Riesgos!$A$6:$M$6,0)),"")</f>
        <v/>
      </c>
      <c r="C96" s="135"/>
      <c r="D96" s="136" t="str">
        <f>IFERROR(INDEX(Riesgos!$A$7:$M$84,MATCH(E96,INDEX(Riesgos!$A$7:$M$84,,MATCH(E$7,Riesgos!$A$6:$M$6,0)),0),MATCH(D$7,Riesgos!$A$6:$M$6,0)),"")</f>
        <v/>
      </c>
      <c r="E96" s="137"/>
      <c r="F96" s="137"/>
      <c r="G96" s="138" t="str">
        <f t="shared" si="2"/>
        <v/>
      </c>
      <c r="H96" s="139"/>
      <c r="I96" s="153" t="str">
        <f>IF(A95=A96,IFERROR(IF(AND(#REF!="Probabilidad",#REF!="Probabilidad"),(#REF!-(+#REF!*#REF!)),IF(#REF!="Probabilidad",(#REF!-(+#REF!*#REF!)),IF(#REF!="Impacto",#REF!,""))),""),IFERROR(IF(#REF!="Probabilidad",(#REF!-(+#REF!*#REF!)),IF(#REF!="Impacto",#REF!,"")),""))</f>
        <v/>
      </c>
      <c r="J96" s="154" t="str">
        <f>IFERROR(IF(I96="","",IF(I96&lt;='Listas y tablas'!$L$3,"Muy Baja",IF(I96&lt;='Listas y tablas'!$L$4,"Baja",IF(I96&lt;='Listas y tablas'!$L$5,"Media",IF(I96&lt;='Listas y tablas'!$L$6,"Alta","Muy Alta"))))),"")</f>
        <v/>
      </c>
      <c r="K96" s="155"/>
      <c r="L96" s="156"/>
      <c r="M96" s="150"/>
      <c r="N96" s="151"/>
      <c r="O96" s="151"/>
      <c r="P96" s="152"/>
      <c r="Q96" s="162"/>
      <c r="R96" s="151"/>
      <c r="S96" s="151"/>
      <c r="T96" s="151"/>
      <c r="U96" s="151"/>
      <c r="V96" s="165"/>
      <c r="W96" s="150"/>
      <c r="X96" s="151"/>
      <c r="Y96" s="151"/>
      <c r="Z96" s="151"/>
      <c r="AA96" s="151"/>
      <c r="AB96" s="151"/>
      <c r="AC96" s="163"/>
      <c r="AD96" s="151"/>
      <c r="AE96" s="152"/>
      <c r="AF96" s="173"/>
      <c r="AG96" s="185"/>
      <c r="AH96" s="185"/>
      <c r="AI96" s="186"/>
      <c r="AJ96" s="181"/>
      <c r="AK96" s="181"/>
      <c r="AL96" s="183"/>
      <c r="AM96" s="173"/>
      <c r="AN96" s="187"/>
      <c r="AO96" s="195"/>
      <c r="AP96" s="193"/>
      <c r="AQ96" s="193"/>
      <c r="AR96" s="193"/>
      <c r="AS96" s="193"/>
      <c r="AT96" s="193"/>
      <c r="AU96" s="193"/>
      <c r="AV96" s="194"/>
      <c r="AW96" s="193"/>
      <c r="AX96" s="207"/>
      <c r="AY96" s="208"/>
      <c r="AZ96" s="209"/>
      <c r="BA96" s="209"/>
      <c r="BB96" s="209"/>
      <c r="BC96" s="206"/>
      <c r="BD96" s="206"/>
      <c r="BE96" s="213"/>
      <c r="BF96" s="217"/>
      <c r="BG96" s="209"/>
      <c r="BH96" s="218"/>
      <c r="BI96" s="215"/>
      <c r="BJ96" s="215"/>
      <c r="BK96" s="215"/>
      <c r="BL96" s="215"/>
      <c r="BM96" s="215"/>
      <c r="BN96" s="215"/>
      <c r="BO96" s="216"/>
      <c r="BP96" s="215"/>
      <c r="BQ96" s="228"/>
      <c r="BR96" s="229"/>
      <c r="BS96" s="230"/>
      <c r="BT96" s="230"/>
      <c r="BU96" s="230"/>
      <c r="BV96" s="227"/>
      <c r="BW96" s="227"/>
      <c r="BX96" s="234"/>
      <c r="BY96" s="229"/>
      <c r="BZ96" s="230"/>
      <c r="CA96" s="235"/>
    </row>
    <row r="97" spans="1:79" ht="151.5" customHeight="1">
      <c r="A97" s="134" t="str">
        <f>IFERROR(INDEX(Riesgos!$A$7:$M$84,MATCH(E97,INDEX(Riesgos!$A$7:$M$84,,MATCH(E$7,Riesgos!$A$6:$M$6,0)),0),MATCH(A$7,Riesgos!$A$6:$M$6,0)),"")</f>
        <v/>
      </c>
      <c r="B97" s="135" t="str">
        <f>IFERROR(INDEX(Riesgos!$A$7:$M$84,MATCH(E97,INDEX(Riesgos!$A$7:$M$84,,MATCH(E$7,Riesgos!$A$6:$M$6,0)),0),MATCH(B$7,Riesgos!$A$6:$M$6,0)),"")</f>
        <v/>
      </c>
      <c r="C97" s="135"/>
      <c r="D97" s="136" t="str">
        <f>IFERROR(INDEX(Riesgos!$A$7:$M$84,MATCH(E97,INDEX(Riesgos!$A$7:$M$84,,MATCH(E$7,Riesgos!$A$6:$M$6,0)),0),MATCH(D$7,Riesgos!$A$6:$M$6,0)),"")</f>
        <v/>
      </c>
      <c r="E97" s="137"/>
      <c r="F97" s="137"/>
      <c r="G97" s="138" t="str">
        <f t="shared" si="2"/>
        <v/>
      </c>
      <c r="H97" s="139"/>
      <c r="I97" s="153" t="str">
        <f>IF(A96=A97,IFERROR(IF(AND(#REF!="Probabilidad",#REF!="Probabilidad"),(#REF!-(+#REF!*#REF!)),IF(#REF!="Probabilidad",(#REF!-(+#REF!*#REF!)),IF(#REF!="Impacto",#REF!,""))),""),IFERROR(IF(#REF!="Probabilidad",(#REF!-(+#REF!*#REF!)),IF(#REF!="Impacto",#REF!,"")),""))</f>
        <v/>
      </c>
      <c r="J97" s="154" t="str">
        <f>IFERROR(IF(I97="","",IF(I97&lt;='Listas y tablas'!$L$3,"Muy Baja",IF(I97&lt;='Listas y tablas'!$L$4,"Baja",IF(I97&lt;='Listas y tablas'!$L$5,"Media",IF(I97&lt;='Listas y tablas'!$L$6,"Alta","Muy Alta"))))),"")</f>
        <v/>
      </c>
      <c r="K97" s="155"/>
      <c r="L97" s="156"/>
      <c r="M97" s="150"/>
      <c r="N97" s="151"/>
      <c r="O97" s="151"/>
      <c r="P97" s="152"/>
      <c r="Q97" s="162"/>
      <c r="R97" s="151"/>
      <c r="S97" s="151"/>
      <c r="T97" s="151"/>
      <c r="U97" s="151"/>
      <c r="V97" s="165"/>
      <c r="W97" s="150"/>
      <c r="X97" s="151"/>
      <c r="Y97" s="151"/>
      <c r="Z97" s="151"/>
      <c r="AA97" s="151"/>
      <c r="AB97" s="151"/>
      <c r="AC97" s="163"/>
      <c r="AD97" s="151"/>
      <c r="AE97" s="152"/>
      <c r="AF97" s="173"/>
      <c r="AG97" s="185"/>
      <c r="AH97" s="185"/>
      <c r="AI97" s="186"/>
      <c r="AJ97" s="181"/>
      <c r="AK97" s="181"/>
      <c r="AL97" s="183"/>
      <c r="AM97" s="173"/>
      <c r="AN97" s="187"/>
      <c r="AO97" s="195"/>
      <c r="AP97" s="193"/>
      <c r="AQ97" s="193"/>
      <c r="AR97" s="193"/>
      <c r="AS97" s="193"/>
      <c r="AT97" s="193"/>
      <c r="AU97" s="193"/>
      <c r="AV97" s="194"/>
      <c r="AW97" s="193"/>
      <c r="AX97" s="207"/>
      <c r="AY97" s="208"/>
      <c r="AZ97" s="209"/>
      <c r="BA97" s="209"/>
      <c r="BB97" s="209"/>
      <c r="BC97" s="206"/>
      <c r="BD97" s="206"/>
      <c r="BE97" s="213"/>
      <c r="BF97" s="217"/>
      <c r="BG97" s="209"/>
      <c r="BH97" s="218"/>
      <c r="BI97" s="215"/>
      <c r="BJ97" s="215"/>
      <c r="BK97" s="215"/>
      <c r="BL97" s="215"/>
      <c r="BM97" s="215"/>
      <c r="BN97" s="215"/>
      <c r="BO97" s="216"/>
      <c r="BP97" s="215"/>
      <c r="BQ97" s="228"/>
      <c r="BR97" s="229"/>
      <c r="BS97" s="230"/>
      <c r="BT97" s="230"/>
      <c r="BU97" s="230"/>
      <c r="BV97" s="227"/>
      <c r="BW97" s="227"/>
      <c r="BX97" s="234"/>
      <c r="BY97" s="229"/>
      <c r="BZ97" s="230"/>
      <c r="CA97" s="235"/>
    </row>
    <row r="98" spans="1:79" ht="151.5" customHeight="1">
      <c r="A98" s="134" t="str">
        <f>IFERROR(INDEX(Riesgos!$A$7:$M$84,MATCH(E98,INDEX(Riesgos!$A$7:$M$84,,MATCH(E$7,Riesgos!$A$6:$M$6,0)),0),MATCH(A$7,Riesgos!$A$6:$M$6,0)),"")</f>
        <v/>
      </c>
      <c r="B98" s="135" t="str">
        <f>IFERROR(INDEX(Riesgos!$A$7:$M$84,MATCH(E98,INDEX(Riesgos!$A$7:$M$84,,MATCH(E$7,Riesgos!$A$6:$M$6,0)),0),MATCH(B$7,Riesgos!$A$6:$M$6,0)),"")</f>
        <v/>
      </c>
      <c r="C98" s="135"/>
      <c r="D98" s="136" t="str">
        <f>IFERROR(INDEX(Riesgos!$A$7:$M$84,MATCH(E98,INDEX(Riesgos!$A$7:$M$84,,MATCH(E$7,Riesgos!$A$6:$M$6,0)),0),MATCH(D$7,Riesgos!$A$6:$M$6,0)),"")</f>
        <v/>
      </c>
      <c r="E98" s="137"/>
      <c r="F98" s="137"/>
      <c r="G98" s="138" t="str">
        <f t="shared" si="2"/>
        <v/>
      </c>
      <c r="H98" s="139"/>
      <c r="I98" s="153" t="str">
        <f>IF(A97=A98,IFERROR(IF(AND(#REF!="Probabilidad",#REF!="Probabilidad"),(#REF!-(+#REF!*#REF!)),IF(#REF!="Probabilidad",(#REF!-(+#REF!*#REF!)),IF(#REF!="Impacto",#REF!,""))),""),IFERROR(IF(#REF!="Probabilidad",(#REF!-(+#REF!*#REF!)),IF(#REF!="Impacto",#REF!,"")),""))</f>
        <v/>
      </c>
      <c r="J98" s="154" t="str">
        <f>IFERROR(IF(I98="","",IF(I98&lt;='Listas y tablas'!$L$3,"Muy Baja",IF(I98&lt;='Listas y tablas'!$L$4,"Baja",IF(I98&lt;='Listas y tablas'!$L$5,"Media",IF(I98&lt;='Listas y tablas'!$L$6,"Alta","Muy Alta"))))),"")</f>
        <v/>
      </c>
      <c r="K98" s="155"/>
      <c r="L98" s="156"/>
      <c r="M98" s="150"/>
      <c r="N98" s="151"/>
      <c r="O98" s="151"/>
      <c r="P98" s="152"/>
      <c r="Q98" s="162"/>
      <c r="R98" s="151"/>
      <c r="S98" s="151"/>
      <c r="T98" s="151"/>
      <c r="U98" s="151"/>
      <c r="V98" s="165"/>
      <c r="W98" s="150"/>
      <c r="X98" s="151"/>
      <c r="Y98" s="151"/>
      <c r="Z98" s="151"/>
      <c r="AA98" s="151"/>
      <c r="AB98" s="151"/>
      <c r="AC98" s="163"/>
      <c r="AD98" s="151"/>
      <c r="AE98" s="152"/>
      <c r="AF98" s="173"/>
      <c r="AG98" s="185"/>
      <c r="AH98" s="185"/>
      <c r="AI98" s="186"/>
      <c r="AJ98" s="181"/>
      <c r="AK98" s="181"/>
      <c r="AL98" s="183"/>
      <c r="AM98" s="173"/>
      <c r="AN98" s="187"/>
      <c r="AO98" s="195"/>
      <c r="AP98" s="193"/>
      <c r="AQ98" s="193"/>
      <c r="AR98" s="193"/>
      <c r="AS98" s="193"/>
      <c r="AT98" s="193"/>
      <c r="AU98" s="193"/>
      <c r="AV98" s="194"/>
      <c r="AW98" s="193"/>
      <c r="AX98" s="207"/>
      <c r="AY98" s="208"/>
      <c r="AZ98" s="209"/>
      <c r="BA98" s="209"/>
      <c r="BB98" s="209"/>
      <c r="BC98" s="206"/>
      <c r="BD98" s="206"/>
      <c r="BE98" s="213"/>
      <c r="BF98" s="217"/>
      <c r="BG98" s="209"/>
      <c r="BH98" s="218"/>
      <c r="BI98" s="215"/>
      <c r="BJ98" s="215"/>
      <c r="BK98" s="215"/>
      <c r="BL98" s="215"/>
      <c r="BM98" s="215"/>
      <c r="BN98" s="215"/>
      <c r="BO98" s="216"/>
      <c r="BP98" s="215"/>
      <c r="BQ98" s="228"/>
      <c r="BR98" s="229"/>
      <c r="BS98" s="230"/>
      <c r="BT98" s="230"/>
      <c r="BU98" s="230"/>
      <c r="BV98" s="227"/>
      <c r="BW98" s="227"/>
      <c r="BX98" s="234"/>
      <c r="BY98" s="229"/>
      <c r="BZ98" s="230"/>
      <c r="CA98" s="235"/>
    </row>
    <row r="99" spans="1:79" ht="151.5" customHeight="1">
      <c r="A99" s="134" t="str">
        <f>IFERROR(INDEX(Riesgos!$A$7:$M$84,MATCH(E99,INDEX(Riesgos!$A$7:$M$84,,MATCH(E$7,Riesgos!$A$6:$M$6,0)),0),MATCH(A$7,Riesgos!$A$6:$M$6,0)),"")</f>
        <v/>
      </c>
      <c r="B99" s="135" t="str">
        <f>IFERROR(INDEX(Riesgos!$A$7:$M$84,MATCH(E99,INDEX(Riesgos!$A$7:$M$84,,MATCH(E$7,Riesgos!$A$6:$M$6,0)),0),MATCH(B$7,Riesgos!$A$6:$M$6,0)),"")</f>
        <v/>
      </c>
      <c r="C99" s="135"/>
      <c r="D99" s="136" t="str">
        <f>IFERROR(INDEX(Riesgos!$A$7:$M$84,MATCH(E99,INDEX(Riesgos!$A$7:$M$84,,MATCH(E$7,Riesgos!$A$6:$M$6,0)),0),MATCH(D$7,Riesgos!$A$6:$M$6,0)),"")</f>
        <v/>
      </c>
      <c r="E99" s="137"/>
      <c r="F99" s="137"/>
      <c r="G99" s="138" t="str">
        <f t="shared" si="2"/>
        <v/>
      </c>
      <c r="H99" s="139"/>
      <c r="I99" s="153" t="str">
        <f>IF(A98=A99,IFERROR(IF(AND(#REF!="Probabilidad",#REF!="Probabilidad"),(#REF!-(+#REF!*#REF!)),IF(#REF!="Probabilidad",(#REF!-(+#REF!*#REF!)),IF(#REF!="Impacto",#REF!,""))),""),IFERROR(IF(#REF!="Probabilidad",(#REF!-(+#REF!*#REF!)),IF(#REF!="Impacto",#REF!,"")),""))</f>
        <v/>
      </c>
      <c r="J99" s="154" t="str">
        <f>IFERROR(IF(I99="","",IF(I99&lt;='Listas y tablas'!$L$3,"Muy Baja",IF(I99&lt;='Listas y tablas'!$L$4,"Baja",IF(I99&lt;='Listas y tablas'!$L$5,"Media",IF(I99&lt;='Listas y tablas'!$L$6,"Alta","Muy Alta"))))),"")</f>
        <v/>
      </c>
      <c r="K99" s="155"/>
      <c r="L99" s="156"/>
      <c r="M99" s="150"/>
      <c r="N99" s="151"/>
      <c r="O99" s="151"/>
      <c r="P99" s="152"/>
      <c r="Q99" s="162"/>
      <c r="R99" s="151"/>
      <c r="S99" s="151"/>
      <c r="T99" s="151"/>
      <c r="U99" s="151"/>
      <c r="V99" s="165"/>
      <c r="W99" s="150"/>
      <c r="X99" s="151"/>
      <c r="Y99" s="151"/>
      <c r="Z99" s="151"/>
      <c r="AA99" s="151"/>
      <c r="AB99" s="151"/>
      <c r="AC99" s="163"/>
      <c r="AD99" s="151"/>
      <c r="AE99" s="152"/>
      <c r="AF99" s="173"/>
      <c r="AG99" s="185"/>
      <c r="AH99" s="185"/>
      <c r="AI99" s="186"/>
      <c r="AJ99" s="181"/>
      <c r="AK99" s="181"/>
      <c r="AL99" s="183"/>
      <c r="AM99" s="173"/>
      <c r="AN99" s="187"/>
      <c r="AO99" s="195"/>
      <c r="AP99" s="193"/>
      <c r="AQ99" s="193"/>
      <c r="AR99" s="193"/>
      <c r="AS99" s="193"/>
      <c r="AT99" s="193"/>
      <c r="AU99" s="193"/>
      <c r="AV99" s="194"/>
      <c r="AW99" s="193"/>
      <c r="AX99" s="207"/>
      <c r="AY99" s="208"/>
      <c r="AZ99" s="209"/>
      <c r="BA99" s="209"/>
      <c r="BB99" s="209"/>
      <c r="BC99" s="206"/>
      <c r="BD99" s="206"/>
      <c r="BE99" s="213"/>
      <c r="BF99" s="217"/>
      <c r="BG99" s="209"/>
      <c r="BH99" s="218"/>
      <c r="BI99" s="215"/>
      <c r="BJ99" s="215"/>
      <c r="BK99" s="215"/>
      <c r="BL99" s="215"/>
      <c r="BM99" s="215"/>
      <c r="BN99" s="215"/>
      <c r="BO99" s="216"/>
      <c r="BP99" s="215"/>
      <c r="BQ99" s="228"/>
      <c r="BR99" s="229"/>
      <c r="BS99" s="230"/>
      <c r="BT99" s="230"/>
      <c r="BU99" s="230"/>
      <c r="BV99" s="227"/>
      <c r="BW99" s="227"/>
      <c r="BX99" s="234"/>
      <c r="BY99" s="229"/>
      <c r="BZ99" s="230"/>
      <c r="CA99" s="235"/>
    </row>
    <row r="100" spans="1:79" ht="151.5" customHeight="1">
      <c r="A100" s="134" t="str">
        <f>IFERROR(INDEX(Riesgos!$A$7:$M$84,MATCH(E100,INDEX(Riesgos!$A$7:$M$84,,MATCH(E$7,Riesgos!$A$6:$M$6,0)),0),MATCH(A$7,Riesgos!$A$6:$M$6,0)),"")</f>
        <v/>
      </c>
      <c r="B100" s="135" t="str">
        <f>IFERROR(INDEX(Riesgos!$A$7:$M$84,MATCH(E100,INDEX(Riesgos!$A$7:$M$84,,MATCH(E$7,Riesgos!$A$6:$M$6,0)),0),MATCH(B$7,Riesgos!$A$6:$M$6,0)),"")</f>
        <v/>
      </c>
      <c r="C100" s="135"/>
      <c r="D100" s="136" t="str">
        <f>IFERROR(INDEX(Riesgos!$A$7:$M$84,MATCH(E100,INDEX(Riesgos!$A$7:$M$84,,MATCH(E$7,Riesgos!$A$6:$M$6,0)),0),MATCH(D$7,Riesgos!$A$6:$M$6,0)),"")</f>
        <v/>
      </c>
      <c r="E100" s="137"/>
      <c r="F100" s="137"/>
      <c r="G100" s="138" t="str">
        <f t="shared" si="2"/>
        <v/>
      </c>
      <c r="H100" s="139"/>
      <c r="I100" s="153" t="str">
        <f>IF(A99=A100,IFERROR(IF(AND(#REF!="Probabilidad",#REF!="Probabilidad"),(#REF!-(+#REF!*#REF!)),IF(#REF!="Probabilidad",(#REF!-(+#REF!*#REF!)),IF(#REF!="Impacto",#REF!,""))),""),IFERROR(IF(#REF!="Probabilidad",(#REF!-(+#REF!*#REF!)),IF(#REF!="Impacto",#REF!,"")),""))</f>
        <v/>
      </c>
      <c r="J100" s="154" t="str">
        <f>IFERROR(IF(I100="","",IF(I100&lt;='Listas y tablas'!$L$3,"Muy Baja",IF(I100&lt;='Listas y tablas'!$L$4,"Baja",IF(I100&lt;='Listas y tablas'!$L$5,"Media",IF(I100&lt;='Listas y tablas'!$L$6,"Alta","Muy Alta"))))),"")</f>
        <v/>
      </c>
      <c r="K100" s="155"/>
      <c r="L100" s="156"/>
      <c r="M100" s="150"/>
      <c r="N100" s="151"/>
      <c r="O100" s="151"/>
      <c r="P100" s="152"/>
      <c r="Q100" s="162"/>
      <c r="R100" s="151"/>
      <c r="S100" s="151"/>
      <c r="T100" s="151"/>
      <c r="U100" s="151"/>
      <c r="V100" s="165"/>
      <c r="W100" s="150"/>
      <c r="X100" s="151"/>
      <c r="Y100" s="151"/>
      <c r="Z100" s="151"/>
      <c r="AA100" s="151"/>
      <c r="AB100" s="151"/>
      <c r="AC100" s="163"/>
      <c r="AD100" s="151"/>
      <c r="AE100" s="152"/>
      <c r="AF100" s="173"/>
      <c r="AG100" s="185"/>
      <c r="AH100" s="185"/>
      <c r="AI100" s="186"/>
      <c r="AJ100" s="181"/>
      <c r="AK100" s="181"/>
      <c r="AL100" s="183"/>
      <c r="AM100" s="173"/>
      <c r="AN100" s="187"/>
      <c r="AO100" s="195"/>
      <c r="AP100" s="193"/>
      <c r="AQ100" s="193"/>
      <c r="AR100" s="193"/>
      <c r="AS100" s="193"/>
      <c r="AT100" s="193"/>
      <c r="AU100" s="193"/>
      <c r="AV100" s="194"/>
      <c r="AW100" s="193"/>
      <c r="AX100" s="207"/>
      <c r="AY100" s="208"/>
      <c r="AZ100" s="209"/>
      <c r="BA100" s="209"/>
      <c r="BB100" s="209"/>
      <c r="BC100" s="206"/>
      <c r="BD100" s="206"/>
      <c r="BE100" s="213"/>
      <c r="BF100" s="217"/>
      <c r="BG100" s="209"/>
      <c r="BH100" s="218"/>
      <c r="BI100" s="215"/>
      <c r="BJ100" s="215"/>
      <c r="BK100" s="215"/>
      <c r="BL100" s="215"/>
      <c r="BM100" s="215"/>
      <c r="BN100" s="215"/>
      <c r="BO100" s="216"/>
      <c r="BP100" s="215"/>
      <c r="BQ100" s="228"/>
      <c r="BR100" s="229"/>
      <c r="BS100" s="230"/>
      <c r="BT100" s="230"/>
      <c r="BU100" s="230"/>
      <c r="BV100" s="227"/>
      <c r="BW100" s="227"/>
      <c r="BX100" s="234"/>
      <c r="BY100" s="229"/>
      <c r="BZ100" s="230"/>
      <c r="CA100" s="235"/>
    </row>
    <row r="101" spans="1:79" ht="151.5" customHeight="1">
      <c r="A101" s="134" t="str">
        <f>IFERROR(INDEX(Riesgos!$A$7:$M$84,MATCH(E101,INDEX(Riesgos!$A$7:$M$84,,MATCH(E$7,Riesgos!$A$6:$M$6,0)),0),MATCH(A$7,Riesgos!$A$6:$M$6,0)),"")</f>
        <v/>
      </c>
      <c r="B101" s="135" t="str">
        <f>IFERROR(INDEX(Riesgos!$A$7:$M$84,MATCH(E101,INDEX(Riesgos!$A$7:$M$84,,MATCH(E$7,Riesgos!$A$6:$M$6,0)),0),MATCH(B$7,Riesgos!$A$6:$M$6,0)),"")</f>
        <v/>
      </c>
      <c r="C101" s="135"/>
      <c r="D101" s="136" t="str">
        <f>IFERROR(INDEX(Riesgos!$A$7:$M$84,MATCH(E101,INDEX(Riesgos!$A$7:$M$84,,MATCH(E$7,Riesgos!$A$6:$M$6,0)),0),MATCH(D$7,Riesgos!$A$6:$M$6,0)),"")</f>
        <v/>
      </c>
      <c r="E101" s="137"/>
      <c r="F101" s="137"/>
      <c r="G101" s="138" t="str">
        <f t="shared" si="2"/>
        <v/>
      </c>
      <c r="H101" s="139"/>
      <c r="I101" s="153" t="str">
        <f>IF(A100=A101,IFERROR(IF(AND(#REF!="Probabilidad",#REF!="Probabilidad"),(#REF!-(+#REF!*#REF!)),IF(#REF!="Probabilidad",(#REF!-(+#REF!*#REF!)),IF(#REF!="Impacto",#REF!,""))),""),IFERROR(IF(#REF!="Probabilidad",(#REF!-(+#REF!*#REF!)),IF(#REF!="Impacto",#REF!,"")),""))</f>
        <v/>
      </c>
      <c r="J101" s="154" t="str">
        <f>IFERROR(IF(I101="","",IF(I101&lt;='Listas y tablas'!$L$3,"Muy Baja",IF(I101&lt;='Listas y tablas'!$L$4,"Baja",IF(I101&lt;='Listas y tablas'!$L$5,"Media",IF(I101&lt;='Listas y tablas'!$L$6,"Alta","Muy Alta"))))),"")</f>
        <v/>
      </c>
      <c r="K101" s="155"/>
      <c r="L101" s="156"/>
      <c r="M101" s="150"/>
      <c r="N101" s="151"/>
      <c r="O101" s="151"/>
      <c r="P101" s="152"/>
      <c r="Q101" s="162"/>
      <c r="R101" s="151"/>
      <c r="S101" s="151"/>
      <c r="T101" s="151"/>
      <c r="U101" s="151"/>
      <c r="V101" s="165"/>
      <c r="W101" s="150"/>
      <c r="X101" s="151"/>
      <c r="Y101" s="151"/>
      <c r="Z101" s="151"/>
      <c r="AA101" s="151"/>
      <c r="AB101" s="151"/>
      <c r="AC101" s="163"/>
      <c r="AD101" s="151"/>
      <c r="AE101" s="152"/>
      <c r="AF101" s="173"/>
      <c r="AG101" s="185"/>
      <c r="AH101" s="185"/>
      <c r="AI101" s="186"/>
      <c r="AJ101" s="181"/>
      <c r="AK101" s="181"/>
      <c r="AL101" s="183"/>
      <c r="AM101" s="173"/>
      <c r="AN101" s="187"/>
      <c r="AO101" s="195"/>
      <c r="AP101" s="193"/>
      <c r="AQ101" s="193"/>
      <c r="AR101" s="193"/>
      <c r="AS101" s="193"/>
      <c r="AT101" s="193"/>
      <c r="AU101" s="193"/>
      <c r="AV101" s="194"/>
      <c r="AW101" s="193"/>
      <c r="AX101" s="207"/>
      <c r="AY101" s="208"/>
      <c r="AZ101" s="209"/>
      <c r="BA101" s="209"/>
      <c r="BB101" s="209"/>
      <c r="BC101" s="206"/>
      <c r="BD101" s="206"/>
      <c r="BE101" s="213"/>
      <c r="BF101" s="217"/>
      <c r="BG101" s="209"/>
      <c r="BH101" s="218"/>
      <c r="BI101" s="215"/>
      <c r="BJ101" s="215"/>
      <c r="BK101" s="215"/>
      <c r="BL101" s="215"/>
      <c r="BM101" s="215"/>
      <c r="BN101" s="215"/>
      <c r="BO101" s="216"/>
      <c r="BP101" s="215"/>
      <c r="BQ101" s="228"/>
      <c r="BR101" s="229"/>
      <c r="BS101" s="230"/>
      <c r="BT101" s="230"/>
      <c r="BU101" s="230"/>
      <c r="BV101" s="227"/>
      <c r="BW101" s="227"/>
      <c r="BX101" s="234"/>
      <c r="BY101" s="229"/>
      <c r="BZ101" s="230"/>
      <c r="CA101" s="235"/>
    </row>
    <row r="102" spans="1:79" ht="151.5" customHeight="1">
      <c r="A102" s="134" t="str">
        <f>IFERROR(INDEX(Riesgos!$A$7:$M$84,MATCH(E102,INDEX(Riesgos!$A$7:$M$84,,MATCH(E$7,Riesgos!$A$6:$M$6,0)),0),MATCH(A$7,Riesgos!$A$6:$M$6,0)),"")</f>
        <v/>
      </c>
      <c r="B102" s="135" t="str">
        <f>IFERROR(INDEX(Riesgos!$A$7:$M$84,MATCH(E102,INDEX(Riesgos!$A$7:$M$84,,MATCH(E$7,Riesgos!$A$6:$M$6,0)),0),MATCH(B$7,Riesgos!$A$6:$M$6,0)),"")</f>
        <v/>
      </c>
      <c r="C102" s="135"/>
      <c r="D102" s="136" t="str">
        <f>IFERROR(INDEX(Riesgos!$A$7:$M$84,MATCH(E102,INDEX(Riesgos!$A$7:$M$84,,MATCH(E$7,Riesgos!$A$6:$M$6,0)),0),MATCH(D$7,Riesgos!$A$6:$M$6,0)),"")</f>
        <v/>
      </c>
      <c r="E102" s="137"/>
      <c r="F102" s="137"/>
      <c r="G102" s="138" t="str">
        <f t="shared" si="2"/>
        <v/>
      </c>
      <c r="H102" s="139"/>
      <c r="I102" s="153" t="str">
        <f>IF(A101=A102,IFERROR(IF(AND(#REF!="Probabilidad",#REF!="Probabilidad"),(#REF!-(+#REF!*#REF!)),IF(#REF!="Probabilidad",(#REF!-(+#REF!*#REF!)),IF(#REF!="Impacto",#REF!,""))),""),IFERROR(IF(#REF!="Probabilidad",(#REF!-(+#REF!*#REF!)),IF(#REF!="Impacto",#REF!,"")),""))</f>
        <v/>
      </c>
      <c r="J102" s="154" t="str">
        <f>IFERROR(IF(I102="","",IF(I102&lt;='Listas y tablas'!$L$3,"Muy Baja",IF(I102&lt;='Listas y tablas'!$L$4,"Baja",IF(I102&lt;='Listas y tablas'!$L$5,"Media",IF(I102&lt;='Listas y tablas'!$L$6,"Alta","Muy Alta"))))),"")</f>
        <v/>
      </c>
      <c r="K102" s="155"/>
      <c r="L102" s="156"/>
      <c r="M102" s="150"/>
      <c r="N102" s="151"/>
      <c r="O102" s="151"/>
      <c r="P102" s="152"/>
      <c r="Q102" s="162"/>
      <c r="R102" s="151"/>
      <c r="S102" s="151"/>
      <c r="T102" s="151"/>
      <c r="U102" s="151"/>
      <c r="V102" s="165"/>
      <c r="W102" s="150"/>
      <c r="X102" s="151"/>
      <c r="Y102" s="151"/>
      <c r="Z102" s="151"/>
      <c r="AA102" s="151"/>
      <c r="AB102" s="151"/>
      <c r="AC102" s="163"/>
      <c r="AD102" s="151"/>
      <c r="AE102" s="152"/>
      <c r="AF102" s="173"/>
      <c r="AG102" s="185"/>
      <c r="AH102" s="185"/>
      <c r="AI102" s="186"/>
      <c r="AJ102" s="181"/>
      <c r="AK102" s="181"/>
      <c r="AL102" s="183"/>
      <c r="AM102" s="173"/>
      <c r="AN102" s="187"/>
      <c r="AO102" s="195"/>
      <c r="AP102" s="193"/>
      <c r="AQ102" s="193"/>
      <c r="AR102" s="193"/>
      <c r="AS102" s="193"/>
      <c r="AT102" s="193"/>
      <c r="AU102" s="193"/>
      <c r="AV102" s="194"/>
      <c r="AW102" s="193"/>
      <c r="AX102" s="207"/>
      <c r="AY102" s="208"/>
      <c r="AZ102" s="209"/>
      <c r="BA102" s="209"/>
      <c r="BB102" s="209"/>
      <c r="BC102" s="206"/>
      <c r="BD102" s="206"/>
      <c r="BE102" s="213"/>
      <c r="BF102" s="217"/>
      <c r="BG102" s="209"/>
      <c r="BH102" s="218"/>
      <c r="BI102" s="215"/>
      <c r="BJ102" s="215"/>
      <c r="BK102" s="215"/>
      <c r="BL102" s="215"/>
      <c r="BM102" s="215"/>
      <c r="BN102" s="215"/>
      <c r="BO102" s="216"/>
      <c r="BP102" s="215"/>
      <c r="BQ102" s="228"/>
      <c r="BR102" s="229"/>
      <c r="BS102" s="230"/>
      <c r="BT102" s="230"/>
      <c r="BU102" s="230"/>
      <c r="BV102" s="227"/>
      <c r="BW102" s="227"/>
      <c r="BX102" s="234"/>
      <c r="BY102" s="229"/>
      <c r="BZ102" s="230"/>
      <c r="CA102" s="235"/>
    </row>
    <row r="103" spans="1:79" ht="151.5" customHeight="1">
      <c r="A103" s="134" t="str">
        <f>IFERROR(INDEX(Riesgos!$A$7:$M$84,MATCH(E103,INDEX(Riesgos!$A$7:$M$84,,MATCH(E$7,Riesgos!$A$6:$M$6,0)),0),MATCH(A$7,Riesgos!$A$6:$M$6,0)),"")</f>
        <v/>
      </c>
      <c r="B103" s="135" t="str">
        <f>IFERROR(INDEX(Riesgos!$A$7:$M$84,MATCH(E103,INDEX(Riesgos!$A$7:$M$84,,MATCH(E$7,Riesgos!$A$6:$M$6,0)),0),MATCH(B$7,Riesgos!$A$6:$M$6,0)),"")</f>
        <v/>
      </c>
      <c r="C103" s="135"/>
      <c r="D103" s="136" t="str">
        <f>IFERROR(INDEX(Riesgos!$A$7:$M$84,MATCH(E103,INDEX(Riesgos!$A$7:$M$84,,MATCH(E$7,Riesgos!$A$6:$M$6,0)),0),MATCH(D$7,Riesgos!$A$6:$M$6,0)),"")</f>
        <v/>
      </c>
      <c r="E103" s="137"/>
      <c r="F103" s="137"/>
      <c r="G103" s="138" t="str">
        <f t="shared" si="2"/>
        <v/>
      </c>
      <c r="H103" s="139"/>
      <c r="I103" s="153" t="str">
        <f>IF(A102=A103,IFERROR(IF(AND(#REF!="Probabilidad",#REF!="Probabilidad"),(#REF!-(+#REF!*#REF!)),IF(#REF!="Probabilidad",(#REF!-(+#REF!*#REF!)),IF(#REF!="Impacto",#REF!,""))),""),IFERROR(IF(#REF!="Probabilidad",(#REF!-(+#REF!*#REF!)),IF(#REF!="Impacto",#REF!,"")),""))</f>
        <v/>
      </c>
      <c r="J103" s="154" t="str">
        <f>IFERROR(IF(I103="","",IF(I103&lt;='Listas y tablas'!$L$3,"Muy Baja",IF(I103&lt;='Listas y tablas'!$L$4,"Baja",IF(I103&lt;='Listas y tablas'!$L$5,"Media",IF(I103&lt;='Listas y tablas'!$L$6,"Alta","Muy Alta"))))),"")</f>
        <v/>
      </c>
      <c r="K103" s="155"/>
      <c r="L103" s="156"/>
      <c r="M103" s="150"/>
      <c r="N103" s="151"/>
      <c r="O103" s="151"/>
      <c r="P103" s="152"/>
      <c r="Q103" s="162"/>
      <c r="R103" s="151"/>
      <c r="S103" s="151"/>
      <c r="T103" s="151"/>
      <c r="U103" s="151"/>
      <c r="V103" s="165"/>
      <c r="W103" s="150"/>
      <c r="X103" s="151"/>
      <c r="Y103" s="151"/>
      <c r="Z103" s="151"/>
      <c r="AA103" s="151"/>
      <c r="AB103" s="151"/>
      <c r="AC103" s="163"/>
      <c r="AD103" s="151"/>
      <c r="AE103" s="152"/>
      <c r="AF103" s="173"/>
      <c r="AG103" s="185"/>
      <c r="AH103" s="185"/>
      <c r="AI103" s="186"/>
      <c r="AJ103" s="181"/>
      <c r="AK103" s="181"/>
      <c r="AL103" s="183"/>
      <c r="AM103" s="173"/>
      <c r="AN103" s="187"/>
      <c r="AO103" s="195"/>
      <c r="AP103" s="193"/>
      <c r="AQ103" s="193"/>
      <c r="AR103" s="193"/>
      <c r="AS103" s="193"/>
      <c r="AT103" s="193"/>
      <c r="AU103" s="193"/>
      <c r="AV103" s="194"/>
      <c r="AW103" s="193"/>
      <c r="AX103" s="207"/>
      <c r="AY103" s="208"/>
      <c r="AZ103" s="209"/>
      <c r="BA103" s="209"/>
      <c r="BB103" s="209"/>
      <c r="BC103" s="206"/>
      <c r="BD103" s="206"/>
      <c r="BE103" s="213"/>
      <c r="BF103" s="217"/>
      <c r="BG103" s="209"/>
      <c r="BH103" s="218"/>
      <c r="BI103" s="215"/>
      <c r="BJ103" s="215"/>
      <c r="BK103" s="215"/>
      <c r="BL103" s="215"/>
      <c r="BM103" s="215"/>
      <c r="BN103" s="215"/>
      <c r="BO103" s="216"/>
      <c r="BP103" s="215"/>
      <c r="BQ103" s="228"/>
      <c r="BR103" s="229"/>
      <c r="BS103" s="230"/>
      <c r="BT103" s="230"/>
      <c r="BU103" s="230"/>
      <c r="BV103" s="227"/>
      <c r="BW103" s="227"/>
      <c r="BX103" s="234"/>
      <c r="BY103" s="229"/>
      <c r="BZ103" s="230"/>
      <c r="CA103" s="235"/>
    </row>
    <row r="104" spans="1:79" ht="151.5" customHeight="1">
      <c r="A104" s="134" t="str">
        <f>IFERROR(INDEX(Riesgos!$A$7:$M$84,MATCH(E104,INDEX(Riesgos!$A$7:$M$84,,MATCH(E$7,Riesgos!$A$6:$M$6,0)),0),MATCH(A$7,Riesgos!$A$6:$M$6,0)),"")</f>
        <v/>
      </c>
      <c r="B104" s="135" t="str">
        <f>IFERROR(INDEX(Riesgos!$A$7:$M$84,MATCH(E104,INDEX(Riesgos!$A$7:$M$84,,MATCH(E$7,Riesgos!$A$6:$M$6,0)),0),MATCH(B$7,Riesgos!$A$6:$M$6,0)),"")</f>
        <v/>
      </c>
      <c r="C104" s="135"/>
      <c r="D104" s="136" t="str">
        <f>IFERROR(INDEX(Riesgos!$A$7:$M$84,MATCH(E104,INDEX(Riesgos!$A$7:$M$84,,MATCH(E$7,Riesgos!$A$6:$M$6,0)),0),MATCH(D$7,Riesgos!$A$6:$M$6,0)),"")</f>
        <v/>
      </c>
      <c r="E104" s="137"/>
      <c r="F104" s="137"/>
      <c r="G104" s="138" t="str">
        <f t="shared" si="2"/>
        <v/>
      </c>
      <c r="H104" s="139"/>
      <c r="I104" s="153" t="str">
        <f>IF(A103=A104,IFERROR(IF(AND(#REF!="Probabilidad",#REF!="Probabilidad"),(#REF!-(+#REF!*#REF!)),IF(#REF!="Probabilidad",(#REF!-(+#REF!*#REF!)),IF(#REF!="Impacto",#REF!,""))),""),IFERROR(IF(#REF!="Probabilidad",(#REF!-(+#REF!*#REF!)),IF(#REF!="Impacto",#REF!,"")),""))</f>
        <v/>
      </c>
      <c r="J104" s="154" t="str">
        <f>IFERROR(IF(I104="","",IF(I104&lt;='Listas y tablas'!$L$3,"Muy Baja",IF(I104&lt;='Listas y tablas'!$L$4,"Baja",IF(I104&lt;='Listas y tablas'!$L$5,"Media",IF(I104&lt;='Listas y tablas'!$L$6,"Alta","Muy Alta"))))),"")</f>
        <v/>
      </c>
      <c r="K104" s="155"/>
      <c r="L104" s="156"/>
      <c r="M104" s="150"/>
      <c r="N104" s="151"/>
      <c r="O104" s="151"/>
      <c r="P104" s="152"/>
      <c r="Q104" s="162"/>
      <c r="R104" s="151"/>
      <c r="S104" s="151"/>
      <c r="T104" s="151"/>
      <c r="U104" s="151"/>
      <c r="V104" s="165"/>
      <c r="W104" s="150"/>
      <c r="X104" s="151"/>
      <c r="Y104" s="151"/>
      <c r="Z104" s="151"/>
      <c r="AA104" s="151"/>
      <c r="AB104" s="151"/>
      <c r="AC104" s="163"/>
      <c r="AD104" s="151"/>
      <c r="AE104" s="152"/>
      <c r="AF104" s="173"/>
      <c r="AG104" s="185"/>
      <c r="AH104" s="185"/>
      <c r="AI104" s="186"/>
      <c r="AJ104" s="181"/>
      <c r="AK104" s="181"/>
      <c r="AL104" s="183"/>
      <c r="AM104" s="173"/>
      <c r="AN104" s="187"/>
      <c r="AO104" s="195"/>
      <c r="AP104" s="193"/>
      <c r="AQ104" s="193"/>
      <c r="AR104" s="193"/>
      <c r="AS104" s="193"/>
      <c r="AT104" s="193"/>
      <c r="AU104" s="193"/>
      <c r="AV104" s="194"/>
      <c r="AW104" s="193"/>
      <c r="AX104" s="207"/>
      <c r="AY104" s="208"/>
      <c r="AZ104" s="209"/>
      <c r="BA104" s="209"/>
      <c r="BB104" s="209"/>
      <c r="BC104" s="206"/>
      <c r="BD104" s="206"/>
      <c r="BE104" s="213"/>
      <c r="BF104" s="217"/>
      <c r="BG104" s="209"/>
      <c r="BH104" s="218"/>
      <c r="BI104" s="215"/>
      <c r="BJ104" s="215"/>
      <c r="BK104" s="215"/>
      <c r="BL104" s="215"/>
      <c r="BM104" s="215"/>
      <c r="BN104" s="215"/>
      <c r="BO104" s="216"/>
      <c r="BP104" s="215"/>
      <c r="BQ104" s="228"/>
      <c r="BR104" s="229"/>
      <c r="BS104" s="230"/>
      <c r="BT104" s="230"/>
      <c r="BU104" s="230"/>
      <c r="BV104" s="227"/>
      <c r="BW104" s="227"/>
      <c r="BX104" s="234"/>
      <c r="BY104" s="229"/>
      <c r="BZ104" s="230"/>
      <c r="CA104" s="235"/>
    </row>
    <row r="105" spans="1:79" ht="151.5" customHeight="1">
      <c r="A105" s="134" t="str">
        <f>IFERROR(INDEX(Riesgos!$A$7:$M$84,MATCH(E105,INDEX(Riesgos!$A$7:$M$84,,MATCH(E$7,Riesgos!$A$6:$M$6,0)),0),MATCH(A$7,Riesgos!$A$6:$M$6,0)),"")</f>
        <v/>
      </c>
      <c r="B105" s="135" t="str">
        <f>IFERROR(INDEX(Riesgos!$A$7:$M$84,MATCH(E105,INDEX(Riesgos!$A$7:$M$84,,MATCH(E$7,Riesgos!$A$6:$M$6,0)),0),MATCH(B$7,Riesgos!$A$6:$M$6,0)),"")</f>
        <v/>
      </c>
      <c r="C105" s="135"/>
      <c r="D105" s="136" t="str">
        <f>IFERROR(INDEX(Riesgos!$A$7:$M$84,MATCH(E105,INDEX(Riesgos!$A$7:$M$84,,MATCH(E$7,Riesgos!$A$6:$M$6,0)),0),MATCH(D$7,Riesgos!$A$6:$M$6,0)),"")</f>
        <v/>
      </c>
      <c r="E105" s="137"/>
      <c r="F105" s="137"/>
      <c r="G105" s="138" t="str">
        <f t="shared" si="2"/>
        <v/>
      </c>
      <c r="H105" s="139"/>
      <c r="I105" s="153" t="str">
        <f>IF(A104=A105,IFERROR(IF(AND(#REF!="Probabilidad",#REF!="Probabilidad"),(#REF!-(+#REF!*#REF!)),IF(#REF!="Probabilidad",(#REF!-(+#REF!*#REF!)),IF(#REF!="Impacto",#REF!,""))),""),IFERROR(IF(#REF!="Probabilidad",(#REF!-(+#REF!*#REF!)),IF(#REF!="Impacto",#REF!,"")),""))</f>
        <v/>
      </c>
      <c r="J105" s="154" t="str">
        <f>IFERROR(IF(I105="","",IF(I105&lt;='Listas y tablas'!$L$3,"Muy Baja",IF(I105&lt;='Listas y tablas'!$L$4,"Baja",IF(I105&lt;='Listas y tablas'!$L$5,"Media",IF(I105&lt;='Listas y tablas'!$L$6,"Alta","Muy Alta"))))),"")</f>
        <v/>
      </c>
      <c r="K105" s="155"/>
      <c r="L105" s="156"/>
      <c r="M105" s="150"/>
      <c r="N105" s="151"/>
      <c r="O105" s="151"/>
      <c r="P105" s="152"/>
      <c r="Q105" s="162"/>
      <c r="R105" s="151"/>
      <c r="S105" s="151"/>
      <c r="T105" s="151"/>
      <c r="U105" s="151"/>
      <c r="V105" s="165"/>
      <c r="W105" s="150"/>
      <c r="X105" s="151"/>
      <c r="Y105" s="151"/>
      <c r="Z105" s="151"/>
      <c r="AA105" s="151"/>
      <c r="AB105" s="151"/>
      <c r="AC105" s="163"/>
      <c r="AD105" s="151"/>
      <c r="AE105" s="152"/>
      <c r="AF105" s="173"/>
      <c r="AG105" s="185"/>
      <c r="AH105" s="185"/>
      <c r="AI105" s="186"/>
      <c r="AJ105" s="181"/>
      <c r="AK105" s="181"/>
      <c r="AL105" s="183"/>
      <c r="AM105" s="173"/>
      <c r="AN105" s="187"/>
      <c r="AO105" s="195"/>
      <c r="AP105" s="193"/>
      <c r="AQ105" s="193"/>
      <c r="AR105" s="193"/>
      <c r="AS105" s="193"/>
      <c r="AT105" s="193"/>
      <c r="AU105" s="193"/>
      <c r="AV105" s="194"/>
      <c r="AW105" s="193"/>
      <c r="AX105" s="207"/>
      <c r="AY105" s="208"/>
      <c r="AZ105" s="209"/>
      <c r="BA105" s="209"/>
      <c r="BB105" s="209"/>
      <c r="BC105" s="206"/>
      <c r="BD105" s="206"/>
      <c r="BE105" s="213"/>
      <c r="BF105" s="217"/>
      <c r="BG105" s="209"/>
      <c r="BH105" s="218"/>
      <c r="BI105" s="215"/>
      <c r="BJ105" s="215"/>
      <c r="BK105" s="215"/>
      <c r="BL105" s="215"/>
      <c r="BM105" s="215"/>
      <c r="BN105" s="215"/>
      <c r="BO105" s="216"/>
      <c r="BP105" s="215"/>
      <c r="BQ105" s="228"/>
      <c r="BR105" s="229"/>
      <c r="BS105" s="230"/>
      <c r="BT105" s="230"/>
      <c r="BU105" s="230"/>
      <c r="BV105" s="227"/>
      <c r="BW105" s="227"/>
      <c r="BX105" s="234"/>
      <c r="BY105" s="229"/>
      <c r="BZ105" s="230"/>
      <c r="CA105" s="235"/>
    </row>
    <row r="106" spans="1:79" ht="151.5" customHeight="1">
      <c r="A106" s="134" t="str">
        <f>IFERROR(INDEX(Riesgos!$A$7:$M$84,MATCH(E106,INDEX(Riesgos!$A$7:$M$84,,MATCH(E$7,Riesgos!$A$6:$M$6,0)),0),MATCH(A$7,Riesgos!$A$6:$M$6,0)),"")</f>
        <v/>
      </c>
      <c r="B106" s="135" t="str">
        <f>IFERROR(INDEX(Riesgos!$A$7:$M$84,MATCH(E106,INDEX(Riesgos!$A$7:$M$84,,MATCH(E$7,Riesgos!$A$6:$M$6,0)),0),MATCH(B$7,Riesgos!$A$6:$M$6,0)),"")</f>
        <v/>
      </c>
      <c r="C106" s="135"/>
      <c r="D106" s="136" t="str">
        <f>IFERROR(INDEX(Riesgos!$A$7:$M$84,MATCH(E106,INDEX(Riesgos!$A$7:$M$84,,MATCH(E$7,Riesgos!$A$6:$M$6,0)),0),MATCH(D$7,Riesgos!$A$6:$M$6,0)),"")</f>
        <v/>
      </c>
      <c r="E106" s="137"/>
      <c r="F106" s="137"/>
      <c r="G106" s="138" t="str">
        <f t="shared" si="2"/>
        <v/>
      </c>
      <c r="H106" s="139"/>
      <c r="I106" s="153" t="str">
        <f>IF(A105=A106,IFERROR(IF(AND(#REF!="Probabilidad",#REF!="Probabilidad"),(#REF!-(+#REF!*#REF!)),IF(#REF!="Probabilidad",(#REF!-(+#REF!*#REF!)),IF(#REF!="Impacto",#REF!,""))),""),IFERROR(IF(#REF!="Probabilidad",(#REF!-(+#REF!*#REF!)),IF(#REF!="Impacto",#REF!,"")),""))</f>
        <v/>
      </c>
      <c r="J106" s="154" t="str">
        <f>IFERROR(IF(I106="","",IF(I106&lt;='Listas y tablas'!$L$3,"Muy Baja",IF(I106&lt;='Listas y tablas'!$L$4,"Baja",IF(I106&lt;='Listas y tablas'!$L$5,"Media",IF(I106&lt;='Listas y tablas'!$L$6,"Alta","Muy Alta"))))),"")</f>
        <v/>
      </c>
      <c r="K106" s="155"/>
      <c r="L106" s="156"/>
      <c r="M106" s="150"/>
      <c r="N106" s="151"/>
      <c r="O106" s="151"/>
      <c r="P106" s="152"/>
      <c r="Q106" s="162"/>
      <c r="R106" s="151"/>
      <c r="S106" s="151"/>
      <c r="T106" s="151"/>
      <c r="U106" s="151"/>
      <c r="V106" s="165"/>
      <c r="W106" s="150"/>
      <c r="X106" s="151"/>
      <c r="Y106" s="151"/>
      <c r="Z106" s="151"/>
      <c r="AA106" s="151"/>
      <c r="AB106" s="151"/>
      <c r="AC106" s="163"/>
      <c r="AD106" s="151"/>
      <c r="AE106" s="152"/>
      <c r="AF106" s="173"/>
      <c r="AG106" s="185"/>
      <c r="AH106" s="185"/>
      <c r="AI106" s="186"/>
      <c r="AJ106" s="181"/>
      <c r="AK106" s="181"/>
      <c r="AL106" s="183"/>
      <c r="AM106" s="173"/>
      <c r="AN106" s="187"/>
      <c r="AO106" s="195"/>
      <c r="AP106" s="193"/>
      <c r="AQ106" s="193"/>
      <c r="AR106" s="193"/>
      <c r="AS106" s="193"/>
      <c r="AT106" s="193"/>
      <c r="AU106" s="193"/>
      <c r="AV106" s="194"/>
      <c r="AW106" s="193"/>
      <c r="AX106" s="207"/>
      <c r="AY106" s="208"/>
      <c r="AZ106" s="209"/>
      <c r="BA106" s="209"/>
      <c r="BB106" s="209"/>
      <c r="BC106" s="206"/>
      <c r="BD106" s="206"/>
      <c r="BE106" s="213"/>
      <c r="BF106" s="217"/>
      <c r="BG106" s="209"/>
      <c r="BH106" s="218"/>
      <c r="BI106" s="215"/>
      <c r="BJ106" s="215"/>
      <c r="BK106" s="215"/>
      <c r="BL106" s="215"/>
      <c r="BM106" s="215"/>
      <c r="BN106" s="215"/>
      <c r="BO106" s="216"/>
      <c r="BP106" s="215"/>
      <c r="BQ106" s="228"/>
      <c r="BR106" s="229"/>
      <c r="BS106" s="230"/>
      <c r="BT106" s="230"/>
      <c r="BU106" s="230"/>
      <c r="BV106" s="227"/>
      <c r="BW106" s="227"/>
      <c r="BX106" s="234"/>
      <c r="BY106" s="229"/>
      <c r="BZ106" s="230"/>
      <c r="CA106" s="235"/>
    </row>
    <row r="107" spans="1:79" ht="151.5" customHeight="1">
      <c r="A107" s="134" t="str">
        <f>IFERROR(INDEX(Riesgos!$A$7:$M$84,MATCH(E107,INDEX(Riesgos!$A$7:$M$84,,MATCH(E$7,Riesgos!$A$6:$M$6,0)),0),MATCH(A$7,Riesgos!$A$6:$M$6,0)),"")</f>
        <v/>
      </c>
      <c r="B107" s="135" t="str">
        <f>IFERROR(INDEX(Riesgos!$A$7:$M$84,MATCH(E107,INDEX(Riesgos!$A$7:$M$84,,MATCH(E$7,Riesgos!$A$6:$M$6,0)),0),MATCH(B$7,Riesgos!$A$6:$M$6,0)),"")</f>
        <v/>
      </c>
      <c r="C107" s="135"/>
      <c r="D107" s="136" t="str">
        <f>IFERROR(INDEX(Riesgos!$A$7:$M$84,MATCH(E107,INDEX(Riesgos!$A$7:$M$84,,MATCH(E$7,Riesgos!$A$6:$M$6,0)),0),MATCH(D$7,Riesgos!$A$6:$M$6,0)),"")</f>
        <v/>
      </c>
      <c r="E107" s="137"/>
      <c r="F107" s="137"/>
      <c r="G107" s="138" t="str">
        <f t="shared" si="2"/>
        <v/>
      </c>
      <c r="H107" s="139"/>
      <c r="I107" s="153" t="str">
        <f>IF(A106=A107,IFERROR(IF(AND(#REF!="Probabilidad",#REF!="Probabilidad"),(#REF!-(+#REF!*#REF!)),IF(#REF!="Probabilidad",(#REF!-(+#REF!*#REF!)),IF(#REF!="Impacto",#REF!,""))),""),IFERROR(IF(#REF!="Probabilidad",(#REF!-(+#REF!*#REF!)),IF(#REF!="Impacto",#REF!,"")),""))</f>
        <v/>
      </c>
      <c r="J107" s="154" t="str">
        <f>IFERROR(IF(I107="","",IF(I107&lt;='Listas y tablas'!$L$3,"Muy Baja",IF(I107&lt;='Listas y tablas'!$L$4,"Baja",IF(I107&lt;='Listas y tablas'!$L$5,"Media",IF(I107&lt;='Listas y tablas'!$L$6,"Alta","Muy Alta"))))),"")</f>
        <v/>
      </c>
      <c r="K107" s="155"/>
      <c r="L107" s="156"/>
      <c r="M107" s="150"/>
      <c r="N107" s="151"/>
      <c r="O107" s="151"/>
      <c r="P107" s="152"/>
      <c r="Q107" s="162"/>
      <c r="R107" s="151"/>
      <c r="S107" s="151"/>
      <c r="T107" s="151"/>
      <c r="U107" s="151"/>
      <c r="V107" s="165"/>
      <c r="W107" s="150"/>
      <c r="X107" s="151"/>
      <c r="Y107" s="151"/>
      <c r="Z107" s="151"/>
      <c r="AA107" s="151"/>
      <c r="AB107" s="151"/>
      <c r="AC107" s="163"/>
      <c r="AD107" s="151"/>
      <c r="AE107" s="152"/>
      <c r="AF107" s="173"/>
      <c r="AG107" s="185"/>
      <c r="AH107" s="185"/>
      <c r="AI107" s="186"/>
      <c r="AJ107" s="181"/>
      <c r="AK107" s="181"/>
      <c r="AL107" s="183"/>
      <c r="AM107" s="173"/>
      <c r="AN107" s="187"/>
      <c r="AO107" s="195"/>
      <c r="AP107" s="193"/>
      <c r="AQ107" s="193"/>
      <c r="AR107" s="193"/>
      <c r="AS107" s="193"/>
      <c r="AT107" s="193"/>
      <c r="AU107" s="193"/>
      <c r="AV107" s="194"/>
      <c r="AW107" s="193"/>
      <c r="AX107" s="207"/>
      <c r="AY107" s="208"/>
      <c r="AZ107" s="209"/>
      <c r="BA107" s="209"/>
      <c r="BB107" s="209"/>
      <c r="BC107" s="206"/>
      <c r="BD107" s="206"/>
      <c r="BE107" s="213"/>
      <c r="BF107" s="217"/>
      <c r="BG107" s="209"/>
      <c r="BH107" s="218"/>
      <c r="BI107" s="215"/>
      <c r="BJ107" s="215"/>
      <c r="BK107" s="215"/>
      <c r="BL107" s="215"/>
      <c r="BM107" s="215"/>
      <c r="BN107" s="215"/>
      <c r="BO107" s="216"/>
      <c r="BP107" s="215"/>
      <c r="BQ107" s="228"/>
      <c r="BR107" s="229"/>
      <c r="BS107" s="230"/>
      <c r="BT107" s="230"/>
      <c r="BU107" s="230"/>
      <c r="BV107" s="227"/>
      <c r="BW107" s="227"/>
      <c r="BX107" s="234"/>
      <c r="BY107" s="229"/>
      <c r="BZ107" s="230"/>
      <c r="CA107" s="235"/>
    </row>
    <row r="108" spans="1:79" ht="151.5" customHeight="1">
      <c r="A108" s="134" t="str">
        <f>IFERROR(INDEX(Riesgos!$A$7:$M$84,MATCH(E108,INDEX(Riesgos!$A$7:$M$84,,MATCH(E$7,Riesgos!$A$6:$M$6,0)),0),MATCH(A$7,Riesgos!$A$6:$M$6,0)),"")</f>
        <v/>
      </c>
      <c r="B108" s="135" t="str">
        <f>IFERROR(INDEX(Riesgos!$A$7:$M$84,MATCH(E108,INDEX(Riesgos!$A$7:$M$84,,MATCH(E$7,Riesgos!$A$6:$M$6,0)),0),MATCH(B$7,Riesgos!$A$6:$M$6,0)),"")</f>
        <v/>
      </c>
      <c r="C108" s="135"/>
      <c r="D108" s="136" t="str">
        <f>IFERROR(INDEX(Riesgos!$A$7:$M$84,MATCH(E108,INDEX(Riesgos!$A$7:$M$84,,MATCH(E$7,Riesgos!$A$6:$M$6,0)),0),MATCH(D$7,Riesgos!$A$6:$M$6,0)),"")</f>
        <v/>
      </c>
      <c r="E108" s="137"/>
      <c r="F108" s="137"/>
      <c r="G108" s="138" t="str">
        <f t="shared" si="2"/>
        <v/>
      </c>
      <c r="H108" s="139"/>
      <c r="I108" s="153" t="str">
        <f>IF(A107=A108,IFERROR(IF(AND(#REF!="Probabilidad",#REF!="Probabilidad"),(#REF!-(+#REF!*#REF!)),IF(#REF!="Probabilidad",(#REF!-(+#REF!*#REF!)),IF(#REF!="Impacto",#REF!,""))),""),IFERROR(IF(#REF!="Probabilidad",(#REF!-(+#REF!*#REF!)),IF(#REF!="Impacto",#REF!,"")),""))</f>
        <v/>
      </c>
      <c r="J108" s="154" t="str">
        <f>IFERROR(IF(I108="","",IF(I108&lt;='Listas y tablas'!$L$3,"Muy Baja",IF(I108&lt;='Listas y tablas'!$L$4,"Baja",IF(I108&lt;='Listas y tablas'!$L$5,"Media",IF(I108&lt;='Listas y tablas'!$L$6,"Alta","Muy Alta"))))),"")</f>
        <v/>
      </c>
      <c r="K108" s="155"/>
      <c r="L108" s="156"/>
      <c r="M108" s="150"/>
      <c r="N108" s="151"/>
      <c r="O108" s="151"/>
      <c r="P108" s="152"/>
      <c r="Q108" s="162"/>
      <c r="R108" s="151"/>
      <c r="S108" s="151"/>
      <c r="T108" s="151"/>
      <c r="U108" s="151"/>
      <c r="V108" s="165"/>
      <c r="W108" s="150"/>
      <c r="X108" s="151"/>
      <c r="Y108" s="151"/>
      <c r="Z108" s="151"/>
      <c r="AA108" s="151"/>
      <c r="AB108" s="151"/>
      <c r="AC108" s="163"/>
      <c r="AD108" s="151"/>
      <c r="AE108" s="152"/>
      <c r="AF108" s="173"/>
      <c r="AG108" s="185"/>
      <c r="AH108" s="185"/>
      <c r="AI108" s="186"/>
      <c r="AJ108" s="181"/>
      <c r="AK108" s="181"/>
      <c r="AL108" s="183"/>
      <c r="AM108" s="173"/>
      <c r="AN108" s="187"/>
      <c r="AO108" s="195"/>
      <c r="AP108" s="193"/>
      <c r="AQ108" s="193"/>
      <c r="AR108" s="193"/>
      <c r="AS108" s="193"/>
      <c r="AT108" s="193"/>
      <c r="AU108" s="193"/>
      <c r="AV108" s="194"/>
      <c r="AW108" s="193"/>
      <c r="AX108" s="207"/>
      <c r="AY108" s="208"/>
      <c r="AZ108" s="209"/>
      <c r="BA108" s="209"/>
      <c r="BB108" s="209"/>
      <c r="BC108" s="206"/>
      <c r="BD108" s="206"/>
      <c r="BE108" s="213"/>
      <c r="BF108" s="217"/>
      <c r="BG108" s="209"/>
      <c r="BH108" s="218"/>
      <c r="BI108" s="215"/>
      <c r="BJ108" s="215"/>
      <c r="BK108" s="215"/>
      <c r="BL108" s="215"/>
      <c r="BM108" s="215"/>
      <c r="BN108" s="215"/>
      <c r="BO108" s="216"/>
      <c r="BP108" s="215"/>
      <c r="BQ108" s="228"/>
      <c r="BR108" s="229"/>
      <c r="BS108" s="230"/>
      <c r="BT108" s="230"/>
      <c r="BU108" s="230"/>
      <c r="BV108" s="227"/>
      <c r="BW108" s="227"/>
      <c r="BX108" s="234"/>
      <c r="BY108" s="229"/>
      <c r="BZ108" s="230"/>
      <c r="CA108" s="235"/>
    </row>
    <row r="109" spans="1:79" ht="151.5" customHeight="1">
      <c r="A109" s="134" t="str">
        <f>IFERROR(INDEX(Riesgos!$A$7:$M$84,MATCH(E109,INDEX(Riesgos!$A$7:$M$84,,MATCH(E$7,Riesgos!$A$6:$M$6,0)),0),MATCH(A$7,Riesgos!$A$6:$M$6,0)),"")</f>
        <v/>
      </c>
      <c r="B109" s="135" t="str">
        <f>IFERROR(INDEX(Riesgos!$A$7:$M$84,MATCH(E109,INDEX(Riesgos!$A$7:$M$84,,MATCH(E$7,Riesgos!$A$6:$M$6,0)),0),MATCH(B$7,Riesgos!$A$6:$M$6,0)),"")</f>
        <v/>
      </c>
      <c r="C109" s="135"/>
      <c r="D109" s="136" t="str">
        <f>IFERROR(INDEX(Riesgos!$A$7:$M$84,MATCH(E109,INDEX(Riesgos!$A$7:$M$84,,MATCH(E$7,Riesgos!$A$6:$M$6,0)),0),MATCH(D$7,Riesgos!$A$6:$M$6,0)),"")</f>
        <v/>
      </c>
      <c r="E109" s="137"/>
      <c r="F109" s="137"/>
      <c r="G109" s="138" t="str">
        <f t="shared" si="2"/>
        <v/>
      </c>
      <c r="H109" s="139"/>
      <c r="I109" s="153" t="str">
        <f>IF(A108=A109,IFERROR(IF(AND(#REF!="Probabilidad",#REF!="Probabilidad"),(#REF!-(+#REF!*#REF!)),IF(#REF!="Probabilidad",(#REF!-(+#REF!*#REF!)),IF(#REF!="Impacto",#REF!,""))),""),IFERROR(IF(#REF!="Probabilidad",(#REF!-(+#REF!*#REF!)),IF(#REF!="Impacto",#REF!,"")),""))</f>
        <v/>
      </c>
      <c r="J109" s="154" t="str">
        <f>IFERROR(IF(I109="","",IF(I109&lt;='Listas y tablas'!$L$3,"Muy Baja",IF(I109&lt;='Listas y tablas'!$L$4,"Baja",IF(I109&lt;='Listas y tablas'!$L$5,"Media",IF(I109&lt;='Listas y tablas'!$L$6,"Alta","Muy Alta"))))),"")</f>
        <v/>
      </c>
      <c r="K109" s="155"/>
      <c r="L109" s="156"/>
      <c r="M109" s="150"/>
      <c r="N109" s="151"/>
      <c r="O109" s="151"/>
      <c r="P109" s="152"/>
      <c r="Q109" s="162"/>
      <c r="R109" s="151"/>
      <c r="S109" s="151"/>
      <c r="T109" s="151"/>
      <c r="U109" s="151"/>
      <c r="V109" s="165"/>
      <c r="W109" s="150"/>
      <c r="X109" s="151"/>
      <c r="Y109" s="151"/>
      <c r="Z109" s="151"/>
      <c r="AA109" s="151"/>
      <c r="AB109" s="151"/>
      <c r="AC109" s="163"/>
      <c r="AD109" s="151"/>
      <c r="AE109" s="152"/>
      <c r="AF109" s="173"/>
      <c r="AG109" s="185"/>
      <c r="AH109" s="185"/>
      <c r="AI109" s="186"/>
      <c r="AJ109" s="181"/>
      <c r="AK109" s="181"/>
      <c r="AL109" s="183"/>
      <c r="AM109" s="173"/>
      <c r="AN109" s="187"/>
      <c r="AO109" s="195"/>
      <c r="AP109" s="193"/>
      <c r="AQ109" s="193"/>
      <c r="AR109" s="193"/>
      <c r="AS109" s="193"/>
      <c r="AT109" s="193"/>
      <c r="AU109" s="193"/>
      <c r="AV109" s="194"/>
      <c r="AW109" s="193"/>
      <c r="AX109" s="207"/>
      <c r="AY109" s="208"/>
      <c r="AZ109" s="209"/>
      <c r="BA109" s="209"/>
      <c r="BB109" s="209"/>
      <c r="BC109" s="206"/>
      <c r="BD109" s="206"/>
      <c r="BE109" s="213"/>
      <c r="BF109" s="217"/>
      <c r="BG109" s="209"/>
      <c r="BH109" s="218"/>
      <c r="BI109" s="215"/>
      <c r="BJ109" s="215"/>
      <c r="BK109" s="215"/>
      <c r="BL109" s="215"/>
      <c r="BM109" s="215"/>
      <c r="BN109" s="215"/>
      <c r="BO109" s="216"/>
      <c r="BP109" s="215"/>
      <c r="BQ109" s="228"/>
      <c r="BR109" s="229"/>
      <c r="BS109" s="230"/>
      <c r="BT109" s="230"/>
      <c r="BU109" s="230"/>
      <c r="BV109" s="227"/>
      <c r="BW109" s="227"/>
      <c r="BX109" s="234"/>
      <c r="BY109" s="229"/>
      <c r="BZ109" s="230"/>
      <c r="CA109" s="235"/>
    </row>
    <row r="110" spans="1:79" ht="151.5" customHeight="1">
      <c r="A110" s="134" t="str">
        <f>IFERROR(INDEX(Riesgos!$A$7:$M$84,MATCH(E110,INDEX(Riesgos!$A$7:$M$84,,MATCH(E$7,Riesgos!$A$6:$M$6,0)),0),MATCH(A$7,Riesgos!$A$6:$M$6,0)),"")</f>
        <v/>
      </c>
      <c r="B110" s="135" t="str">
        <f>IFERROR(INDEX(Riesgos!$A$7:$M$84,MATCH(E110,INDEX(Riesgos!$A$7:$M$84,,MATCH(E$7,Riesgos!$A$6:$M$6,0)),0),MATCH(B$7,Riesgos!$A$6:$M$6,0)),"")</f>
        <v/>
      </c>
      <c r="C110" s="135"/>
      <c r="D110" s="136" t="str">
        <f>IFERROR(INDEX(Riesgos!$A$7:$M$84,MATCH(E110,INDEX(Riesgos!$A$7:$M$84,,MATCH(E$7,Riesgos!$A$6:$M$6,0)),0),MATCH(D$7,Riesgos!$A$6:$M$6,0)),"")</f>
        <v/>
      </c>
      <c r="E110" s="137"/>
      <c r="F110" s="137"/>
      <c r="G110" s="138" t="str">
        <f t="shared" si="2"/>
        <v/>
      </c>
      <c r="H110" s="139"/>
      <c r="I110" s="153" t="str">
        <f>IF(A109=A110,IFERROR(IF(AND(#REF!="Probabilidad",#REF!="Probabilidad"),(#REF!-(+#REF!*#REF!)),IF(#REF!="Probabilidad",(#REF!-(+#REF!*#REF!)),IF(#REF!="Impacto",#REF!,""))),""),IFERROR(IF(#REF!="Probabilidad",(#REF!-(+#REF!*#REF!)),IF(#REF!="Impacto",#REF!,"")),""))</f>
        <v/>
      </c>
      <c r="J110" s="154" t="str">
        <f>IFERROR(IF(I110="","",IF(I110&lt;='Listas y tablas'!$L$3,"Muy Baja",IF(I110&lt;='Listas y tablas'!$L$4,"Baja",IF(I110&lt;='Listas y tablas'!$L$5,"Media",IF(I110&lt;='Listas y tablas'!$L$6,"Alta","Muy Alta"))))),"")</f>
        <v/>
      </c>
      <c r="K110" s="155"/>
      <c r="L110" s="156"/>
      <c r="M110" s="150"/>
      <c r="N110" s="151"/>
      <c r="O110" s="151"/>
      <c r="P110" s="152"/>
      <c r="Q110" s="162"/>
      <c r="R110" s="151"/>
      <c r="S110" s="151"/>
      <c r="T110" s="151"/>
      <c r="U110" s="151"/>
      <c r="V110" s="165"/>
      <c r="W110" s="150"/>
      <c r="X110" s="151"/>
      <c r="Y110" s="151"/>
      <c r="Z110" s="151"/>
      <c r="AA110" s="151"/>
      <c r="AB110" s="151"/>
      <c r="AC110" s="163"/>
      <c r="AD110" s="151"/>
      <c r="AE110" s="152"/>
      <c r="AF110" s="173"/>
      <c r="AG110" s="185"/>
      <c r="AH110" s="185"/>
      <c r="AI110" s="186"/>
      <c r="AJ110" s="181"/>
      <c r="AK110" s="181"/>
      <c r="AL110" s="183"/>
      <c r="AM110" s="173"/>
      <c r="AN110" s="187"/>
      <c r="AO110" s="195"/>
      <c r="AP110" s="193"/>
      <c r="AQ110" s="193"/>
      <c r="AR110" s="193"/>
      <c r="AS110" s="193"/>
      <c r="AT110" s="193"/>
      <c r="AU110" s="193"/>
      <c r="AV110" s="194"/>
      <c r="AW110" s="193"/>
      <c r="AX110" s="207"/>
      <c r="AY110" s="208"/>
      <c r="AZ110" s="209"/>
      <c r="BA110" s="209"/>
      <c r="BB110" s="209"/>
      <c r="BC110" s="206"/>
      <c r="BD110" s="206"/>
      <c r="BE110" s="213"/>
      <c r="BF110" s="217"/>
      <c r="BG110" s="209"/>
      <c r="BH110" s="218"/>
      <c r="BI110" s="215"/>
      <c r="BJ110" s="215"/>
      <c r="BK110" s="215"/>
      <c r="BL110" s="215"/>
      <c r="BM110" s="215"/>
      <c r="BN110" s="215"/>
      <c r="BO110" s="216"/>
      <c r="BP110" s="215"/>
      <c r="BQ110" s="228"/>
      <c r="BR110" s="229"/>
      <c r="BS110" s="230"/>
      <c r="BT110" s="230"/>
      <c r="BU110" s="230"/>
      <c r="BV110" s="227"/>
      <c r="BW110" s="227"/>
      <c r="BX110" s="234"/>
      <c r="BY110" s="229"/>
      <c r="BZ110" s="230"/>
      <c r="CA110" s="235"/>
    </row>
    <row r="111" spans="1:79" ht="151.5" customHeight="1">
      <c r="A111" s="134" t="str">
        <f>IFERROR(INDEX(Riesgos!$A$7:$M$84,MATCH(E111,INDEX(Riesgos!$A$7:$M$84,,MATCH(E$7,Riesgos!$A$6:$M$6,0)),0),MATCH(A$7,Riesgos!$A$6:$M$6,0)),"")</f>
        <v/>
      </c>
      <c r="B111" s="135" t="str">
        <f>IFERROR(INDEX(Riesgos!$A$7:$M$84,MATCH(E111,INDEX(Riesgos!$A$7:$M$84,,MATCH(E$7,Riesgos!$A$6:$M$6,0)),0),MATCH(B$7,Riesgos!$A$6:$M$6,0)),"")</f>
        <v/>
      </c>
      <c r="C111" s="135"/>
      <c r="D111" s="136" t="str">
        <f>IFERROR(INDEX(Riesgos!$A$7:$M$84,MATCH(E111,INDEX(Riesgos!$A$7:$M$84,,MATCH(E$7,Riesgos!$A$6:$M$6,0)),0),MATCH(D$7,Riesgos!$A$6:$M$6,0)),"")</f>
        <v/>
      </c>
      <c r="E111" s="137"/>
      <c r="F111" s="137"/>
      <c r="G111" s="138" t="str">
        <f t="shared" si="2"/>
        <v/>
      </c>
      <c r="H111" s="139"/>
      <c r="I111" s="153" t="str">
        <f>IF(A110=A111,IFERROR(IF(AND(#REF!="Probabilidad",#REF!="Probabilidad"),(#REF!-(+#REF!*#REF!)),IF(#REF!="Probabilidad",(#REF!-(+#REF!*#REF!)),IF(#REF!="Impacto",#REF!,""))),""),IFERROR(IF(#REF!="Probabilidad",(#REF!-(+#REF!*#REF!)),IF(#REF!="Impacto",#REF!,"")),""))</f>
        <v/>
      </c>
      <c r="J111" s="154" t="str">
        <f>IFERROR(IF(I111="","",IF(I111&lt;='Listas y tablas'!$L$3,"Muy Baja",IF(I111&lt;='Listas y tablas'!$L$4,"Baja",IF(I111&lt;='Listas y tablas'!$L$5,"Media",IF(I111&lt;='Listas y tablas'!$L$6,"Alta","Muy Alta"))))),"")</f>
        <v/>
      </c>
      <c r="K111" s="155"/>
      <c r="L111" s="156"/>
      <c r="M111" s="150"/>
      <c r="N111" s="151"/>
      <c r="O111" s="151"/>
      <c r="P111" s="152"/>
      <c r="Q111" s="162"/>
      <c r="R111" s="151"/>
      <c r="S111" s="151"/>
      <c r="T111" s="151"/>
      <c r="U111" s="151"/>
      <c r="V111" s="165"/>
      <c r="W111" s="150"/>
      <c r="X111" s="151"/>
      <c r="Y111" s="151"/>
      <c r="Z111" s="151"/>
      <c r="AA111" s="151"/>
      <c r="AB111" s="151"/>
      <c r="AC111" s="163"/>
      <c r="AD111" s="151"/>
      <c r="AE111" s="152"/>
      <c r="AF111" s="173"/>
      <c r="AG111" s="185"/>
      <c r="AH111" s="185"/>
      <c r="AI111" s="186"/>
      <c r="AJ111" s="181"/>
      <c r="AK111" s="181"/>
      <c r="AL111" s="183"/>
      <c r="AM111" s="173"/>
      <c r="AN111" s="187"/>
      <c r="AO111" s="195"/>
      <c r="AP111" s="193"/>
      <c r="AQ111" s="193"/>
      <c r="AR111" s="193"/>
      <c r="AS111" s="193"/>
      <c r="AT111" s="193"/>
      <c r="AU111" s="193"/>
      <c r="AV111" s="194"/>
      <c r="AW111" s="193"/>
      <c r="AX111" s="207"/>
      <c r="AY111" s="208"/>
      <c r="AZ111" s="209"/>
      <c r="BA111" s="209"/>
      <c r="BB111" s="209"/>
      <c r="BC111" s="206"/>
      <c r="BD111" s="206"/>
      <c r="BE111" s="213"/>
      <c r="BF111" s="217"/>
      <c r="BG111" s="209"/>
      <c r="BH111" s="218"/>
      <c r="BI111" s="215"/>
      <c r="BJ111" s="215"/>
      <c r="BK111" s="215"/>
      <c r="BL111" s="215"/>
      <c r="BM111" s="215"/>
      <c r="BN111" s="215"/>
      <c r="BO111" s="216"/>
      <c r="BP111" s="215"/>
      <c r="BQ111" s="228"/>
      <c r="BR111" s="229"/>
      <c r="BS111" s="230"/>
      <c r="BT111" s="230"/>
      <c r="BU111" s="230"/>
      <c r="BV111" s="227"/>
      <c r="BW111" s="227"/>
      <c r="BX111" s="234"/>
      <c r="BY111" s="229"/>
      <c r="BZ111" s="230"/>
      <c r="CA111" s="235"/>
    </row>
    <row r="112" spans="1:79" ht="151.5" customHeight="1">
      <c r="A112" s="134" t="str">
        <f>IFERROR(INDEX(Riesgos!$A$7:$M$84,MATCH(E112,INDEX(Riesgos!$A$7:$M$84,,MATCH(E$7,Riesgos!$A$6:$M$6,0)),0),MATCH(A$7,Riesgos!$A$6:$M$6,0)),"")</f>
        <v/>
      </c>
      <c r="B112" s="135" t="str">
        <f>IFERROR(INDEX(Riesgos!$A$7:$M$84,MATCH(E112,INDEX(Riesgos!$A$7:$M$84,,MATCH(E$7,Riesgos!$A$6:$M$6,0)),0),MATCH(B$7,Riesgos!$A$6:$M$6,0)),"")</f>
        <v/>
      </c>
      <c r="C112" s="135"/>
      <c r="D112" s="136" t="str">
        <f>IFERROR(INDEX(Riesgos!$A$7:$M$84,MATCH(E112,INDEX(Riesgos!$A$7:$M$84,,MATCH(E$7,Riesgos!$A$6:$M$6,0)),0),MATCH(D$7,Riesgos!$A$6:$M$6,0)),"")</f>
        <v/>
      </c>
      <c r="E112" s="137"/>
      <c r="F112" s="137"/>
      <c r="G112" s="138" t="str">
        <f t="shared" si="2"/>
        <v/>
      </c>
      <c r="H112" s="139"/>
      <c r="I112" s="153" t="str">
        <f>IF(A111=A112,IFERROR(IF(AND(#REF!="Probabilidad",#REF!="Probabilidad"),(#REF!-(+#REF!*#REF!)),IF(#REF!="Probabilidad",(#REF!-(+#REF!*#REF!)),IF(#REF!="Impacto",#REF!,""))),""),IFERROR(IF(#REF!="Probabilidad",(#REF!-(+#REF!*#REF!)),IF(#REF!="Impacto",#REF!,"")),""))</f>
        <v/>
      </c>
      <c r="J112" s="154" t="str">
        <f>IFERROR(IF(I112="","",IF(I112&lt;='Listas y tablas'!$L$3,"Muy Baja",IF(I112&lt;='Listas y tablas'!$L$4,"Baja",IF(I112&lt;='Listas y tablas'!$L$5,"Media",IF(I112&lt;='Listas y tablas'!$L$6,"Alta","Muy Alta"))))),"")</f>
        <v/>
      </c>
      <c r="K112" s="155"/>
      <c r="L112" s="156"/>
      <c r="M112" s="150"/>
      <c r="N112" s="151"/>
      <c r="O112" s="151"/>
      <c r="P112" s="152"/>
      <c r="Q112" s="162"/>
      <c r="R112" s="151"/>
      <c r="S112" s="151"/>
      <c r="T112" s="151"/>
      <c r="U112" s="151"/>
      <c r="V112" s="165"/>
      <c r="W112" s="150"/>
      <c r="X112" s="151"/>
      <c r="Y112" s="151"/>
      <c r="Z112" s="151"/>
      <c r="AA112" s="151"/>
      <c r="AB112" s="151"/>
      <c r="AC112" s="163"/>
      <c r="AD112" s="151"/>
      <c r="AE112" s="152"/>
      <c r="AF112" s="173"/>
      <c r="AG112" s="185"/>
      <c r="AH112" s="185"/>
      <c r="AI112" s="186"/>
      <c r="AJ112" s="181"/>
      <c r="AK112" s="181"/>
      <c r="AL112" s="183"/>
      <c r="AM112" s="173"/>
      <c r="AN112" s="187"/>
      <c r="AO112" s="195"/>
      <c r="AP112" s="193"/>
      <c r="AQ112" s="193"/>
      <c r="AR112" s="193"/>
      <c r="AS112" s="193"/>
      <c r="AT112" s="193"/>
      <c r="AU112" s="193"/>
      <c r="AV112" s="194"/>
      <c r="AW112" s="193"/>
      <c r="AX112" s="207"/>
      <c r="AY112" s="208"/>
      <c r="AZ112" s="209"/>
      <c r="BA112" s="209"/>
      <c r="BB112" s="209"/>
      <c r="BC112" s="206"/>
      <c r="BD112" s="206"/>
      <c r="BE112" s="213"/>
      <c r="BF112" s="217"/>
      <c r="BG112" s="209"/>
      <c r="BH112" s="218"/>
      <c r="BI112" s="215"/>
      <c r="BJ112" s="215"/>
      <c r="BK112" s="215"/>
      <c r="BL112" s="215"/>
      <c r="BM112" s="215"/>
      <c r="BN112" s="215"/>
      <c r="BO112" s="216"/>
      <c r="BP112" s="215"/>
      <c r="BQ112" s="228"/>
      <c r="BR112" s="229"/>
      <c r="BS112" s="230"/>
      <c r="BT112" s="230"/>
      <c r="BU112" s="230"/>
      <c r="BV112" s="227"/>
      <c r="BW112" s="227"/>
      <c r="BX112" s="234"/>
      <c r="BY112" s="229"/>
      <c r="BZ112" s="230"/>
      <c r="CA112" s="235"/>
    </row>
    <row r="113" spans="1:79" ht="151.5" customHeight="1">
      <c r="A113" s="134" t="str">
        <f>IFERROR(INDEX(Riesgos!$A$7:$M$84,MATCH(E113,INDEX(Riesgos!$A$7:$M$84,,MATCH(E$7,Riesgos!$A$6:$M$6,0)),0),MATCH(A$7,Riesgos!$A$6:$M$6,0)),"")</f>
        <v/>
      </c>
      <c r="B113" s="135" t="str">
        <f>IFERROR(INDEX(Riesgos!$A$7:$M$84,MATCH(E113,INDEX(Riesgos!$A$7:$M$84,,MATCH(E$7,Riesgos!$A$6:$M$6,0)),0),MATCH(B$7,Riesgos!$A$6:$M$6,0)),"")</f>
        <v/>
      </c>
      <c r="C113" s="135"/>
      <c r="D113" s="136" t="str">
        <f>IFERROR(INDEX(Riesgos!$A$7:$M$84,MATCH(E113,INDEX(Riesgos!$A$7:$M$84,,MATCH(E$7,Riesgos!$A$6:$M$6,0)),0),MATCH(D$7,Riesgos!$A$6:$M$6,0)),"")</f>
        <v/>
      </c>
      <c r="E113" s="137"/>
      <c r="F113" s="137"/>
      <c r="G113" s="138" t="str">
        <f t="shared" si="2"/>
        <v/>
      </c>
      <c r="H113" s="139"/>
      <c r="I113" s="153" t="str">
        <f>IF(A112=A113,IFERROR(IF(AND(#REF!="Probabilidad",#REF!="Probabilidad"),(#REF!-(+#REF!*#REF!)),IF(#REF!="Probabilidad",(#REF!-(+#REF!*#REF!)),IF(#REF!="Impacto",#REF!,""))),""),IFERROR(IF(#REF!="Probabilidad",(#REF!-(+#REF!*#REF!)),IF(#REF!="Impacto",#REF!,"")),""))</f>
        <v/>
      </c>
      <c r="J113" s="154" t="str">
        <f>IFERROR(IF(I113="","",IF(I113&lt;='Listas y tablas'!$L$3,"Muy Baja",IF(I113&lt;='Listas y tablas'!$L$4,"Baja",IF(I113&lt;='Listas y tablas'!$L$5,"Media",IF(I113&lt;='Listas y tablas'!$L$6,"Alta","Muy Alta"))))),"")</f>
        <v/>
      </c>
      <c r="K113" s="155"/>
      <c r="L113" s="156"/>
      <c r="M113" s="150"/>
      <c r="N113" s="151"/>
      <c r="O113" s="151"/>
      <c r="P113" s="152"/>
      <c r="Q113" s="162"/>
      <c r="R113" s="151"/>
      <c r="S113" s="151"/>
      <c r="T113" s="151"/>
      <c r="U113" s="151"/>
      <c r="V113" s="165"/>
      <c r="W113" s="150"/>
      <c r="X113" s="151"/>
      <c r="Y113" s="151"/>
      <c r="Z113" s="151"/>
      <c r="AA113" s="151"/>
      <c r="AB113" s="151"/>
      <c r="AC113" s="163"/>
      <c r="AD113" s="151"/>
      <c r="AE113" s="152"/>
      <c r="AF113" s="173"/>
      <c r="AG113" s="185"/>
      <c r="AH113" s="185"/>
      <c r="AI113" s="186"/>
      <c r="AJ113" s="181"/>
      <c r="AK113" s="181"/>
      <c r="AL113" s="183"/>
      <c r="AM113" s="173"/>
      <c r="AN113" s="187"/>
      <c r="AO113" s="195"/>
      <c r="AP113" s="193"/>
      <c r="AQ113" s="193"/>
      <c r="AR113" s="193"/>
      <c r="AS113" s="193"/>
      <c r="AT113" s="193"/>
      <c r="AU113" s="193"/>
      <c r="AV113" s="194"/>
      <c r="AW113" s="193"/>
      <c r="AX113" s="207"/>
      <c r="AY113" s="208"/>
      <c r="AZ113" s="209"/>
      <c r="BA113" s="209"/>
      <c r="BB113" s="209"/>
      <c r="BC113" s="206"/>
      <c r="BD113" s="206"/>
      <c r="BE113" s="213"/>
      <c r="BF113" s="217"/>
      <c r="BG113" s="209"/>
      <c r="BH113" s="218"/>
      <c r="BI113" s="215"/>
      <c r="BJ113" s="215"/>
      <c r="BK113" s="215"/>
      <c r="BL113" s="215"/>
      <c r="BM113" s="215"/>
      <c r="BN113" s="215"/>
      <c r="BO113" s="216"/>
      <c r="BP113" s="215"/>
      <c r="BQ113" s="228"/>
      <c r="BR113" s="229"/>
      <c r="BS113" s="230"/>
      <c r="BT113" s="230"/>
      <c r="BU113" s="230"/>
      <c r="BV113" s="227"/>
      <c r="BW113" s="227"/>
      <c r="BX113" s="234"/>
      <c r="BY113" s="229"/>
      <c r="BZ113" s="230"/>
      <c r="CA113" s="235"/>
    </row>
    <row r="114" spans="1:79" ht="151.5" customHeight="1">
      <c r="A114" s="134" t="str">
        <f>IFERROR(INDEX(Riesgos!$A$7:$M$84,MATCH(E114,INDEX(Riesgos!$A$7:$M$84,,MATCH(E$7,Riesgos!$A$6:$M$6,0)),0),MATCH(A$7,Riesgos!$A$6:$M$6,0)),"")</f>
        <v/>
      </c>
      <c r="B114" s="135" t="str">
        <f>IFERROR(INDEX(Riesgos!$A$7:$M$84,MATCH(E114,INDEX(Riesgos!$A$7:$M$84,,MATCH(E$7,Riesgos!$A$6:$M$6,0)),0),MATCH(B$7,Riesgos!$A$6:$M$6,0)),"")</f>
        <v/>
      </c>
      <c r="C114" s="135"/>
      <c r="D114" s="136" t="str">
        <f>IFERROR(INDEX(Riesgos!$A$7:$M$84,MATCH(E114,INDEX(Riesgos!$A$7:$M$84,,MATCH(E$7,Riesgos!$A$6:$M$6,0)),0),MATCH(D$7,Riesgos!$A$6:$M$6,0)),"")</f>
        <v/>
      </c>
      <c r="E114" s="137"/>
      <c r="F114" s="137"/>
      <c r="G114" s="138" t="str">
        <f t="shared" si="2"/>
        <v/>
      </c>
      <c r="H114" s="139"/>
      <c r="I114" s="153" t="str">
        <f>IF(A113=A114,IFERROR(IF(AND(#REF!="Probabilidad",#REF!="Probabilidad"),(#REF!-(+#REF!*#REF!)),IF(#REF!="Probabilidad",(#REF!-(+#REF!*#REF!)),IF(#REF!="Impacto",#REF!,""))),""),IFERROR(IF(#REF!="Probabilidad",(#REF!-(+#REF!*#REF!)),IF(#REF!="Impacto",#REF!,"")),""))</f>
        <v/>
      </c>
      <c r="J114" s="154" t="str">
        <f>IFERROR(IF(I114="","",IF(I114&lt;='Listas y tablas'!$L$3,"Muy Baja",IF(I114&lt;='Listas y tablas'!$L$4,"Baja",IF(I114&lt;='Listas y tablas'!$L$5,"Media",IF(I114&lt;='Listas y tablas'!$L$6,"Alta","Muy Alta"))))),"")</f>
        <v/>
      </c>
      <c r="K114" s="155"/>
      <c r="L114" s="156"/>
      <c r="M114" s="150"/>
      <c r="N114" s="151"/>
      <c r="O114" s="151"/>
      <c r="P114" s="152"/>
      <c r="Q114" s="162"/>
      <c r="R114" s="151"/>
      <c r="S114" s="151"/>
      <c r="T114" s="151"/>
      <c r="U114" s="151"/>
      <c r="V114" s="165"/>
      <c r="W114" s="150"/>
      <c r="X114" s="151"/>
      <c r="Y114" s="151"/>
      <c r="Z114" s="151"/>
      <c r="AA114" s="151"/>
      <c r="AB114" s="151"/>
      <c r="AC114" s="163"/>
      <c r="AD114" s="151"/>
      <c r="AE114" s="152"/>
      <c r="AF114" s="173"/>
      <c r="AG114" s="185"/>
      <c r="AH114" s="185"/>
      <c r="AI114" s="186"/>
      <c r="AJ114" s="181"/>
      <c r="AK114" s="181"/>
      <c r="AL114" s="183"/>
      <c r="AM114" s="173"/>
      <c r="AN114" s="187"/>
      <c r="AO114" s="195"/>
      <c r="AP114" s="193"/>
      <c r="AQ114" s="193"/>
      <c r="AR114" s="193"/>
      <c r="AS114" s="193"/>
      <c r="AT114" s="193"/>
      <c r="AU114" s="193"/>
      <c r="AV114" s="194"/>
      <c r="AW114" s="193"/>
      <c r="AX114" s="207"/>
      <c r="AY114" s="208"/>
      <c r="AZ114" s="209"/>
      <c r="BA114" s="209"/>
      <c r="BB114" s="209"/>
      <c r="BC114" s="206"/>
      <c r="BD114" s="206"/>
      <c r="BE114" s="213"/>
      <c r="BF114" s="217"/>
      <c r="BG114" s="209"/>
      <c r="BH114" s="218"/>
      <c r="BI114" s="215"/>
      <c r="BJ114" s="215"/>
      <c r="BK114" s="215"/>
      <c r="BL114" s="215"/>
      <c r="BM114" s="215"/>
      <c r="BN114" s="215"/>
      <c r="BO114" s="216"/>
      <c r="BP114" s="215"/>
      <c r="BQ114" s="228"/>
      <c r="BR114" s="229"/>
      <c r="BS114" s="230"/>
      <c r="BT114" s="230"/>
      <c r="BU114" s="230"/>
      <c r="BV114" s="227"/>
      <c r="BW114" s="227"/>
      <c r="BX114" s="234"/>
      <c r="BY114" s="229"/>
      <c r="BZ114" s="230"/>
      <c r="CA114" s="235"/>
    </row>
    <row r="115" spans="1:79" ht="151.5" customHeight="1">
      <c r="A115" s="134" t="str">
        <f>IFERROR(INDEX(Riesgos!$A$7:$M$84,MATCH(E115,INDEX(Riesgos!$A$7:$M$84,,MATCH(E$7,Riesgos!$A$6:$M$6,0)),0),MATCH(A$7,Riesgos!$A$6:$M$6,0)),"")</f>
        <v/>
      </c>
      <c r="B115" s="135" t="str">
        <f>IFERROR(INDEX(Riesgos!$A$7:$M$84,MATCH(E115,INDEX(Riesgos!$A$7:$M$84,,MATCH(E$7,Riesgos!$A$6:$M$6,0)),0),MATCH(B$7,Riesgos!$A$6:$M$6,0)),"")</f>
        <v/>
      </c>
      <c r="C115" s="135"/>
      <c r="D115" s="136" t="str">
        <f>IFERROR(INDEX(Riesgos!$A$7:$M$84,MATCH(E115,INDEX(Riesgos!$A$7:$M$84,,MATCH(E$7,Riesgos!$A$6:$M$6,0)),0),MATCH(D$7,Riesgos!$A$6:$M$6,0)),"")</f>
        <v/>
      </c>
      <c r="E115" s="137"/>
      <c r="F115" s="137"/>
      <c r="G115" s="138" t="str">
        <f t="shared" si="2"/>
        <v/>
      </c>
      <c r="H115" s="139"/>
      <c r="I115" s="153" t="str">
        <f>IF(A114=A115,IFERROR(IF(AND(#REF!="Probabilidad",#REF!="Probabilidad"),(#REF!-(+#REF!*#REF!)),IF(#REF!="Probabilidad",(#REF!-(+#REF!*#REF!)),IF(#REF!="Impacto",#REF!,""))),""),IFERROR(IF(#REF!="Probabilidad",(#REF!-(+#REF!*#REF!)),IF(#REF!="Impacto",#REF!,"")),""))</f>
        <v/>
      </c>
      <c r="J115" s="154" t="str">
        <f>IFERROR(IF(I115="","",IF(I115&lt;='Listas y tablas'!$L$3,"Muy Baja",IF(I115&lt;='Listas y tablas'!$L$4,"Baja",IF(I115&lt;='Listas y tablas'!$L$5,"Media",IF(I115&lt;='Listas y tablas'!$L$6,"Alta","Muy Alta"))))),"")</f>
        <v/>
      </c>
      <c r="K115" s="155"/>
      <c r="L115" s="156"/>
      <c r="M115" s="150"/>
      <c r="N115" s="151"/>
      <c r="O115" s="151"/>
      <c r="P115" s="152"/>
      <c r="Q115" s="162"/>
      <c r="R115" s="151"/>
      <c r="S115" s="151"/>
      <c r="T115" s="151"/>
      <c r="U115" s="151"/>
      <c r="V115" s="165"/>
      <c r="W115" s="150"/>
      <c r="X115" s="151"/>
      <c r="Y115" s="151"/>
      <c r="Z115" s="151"/>
      <c r="AA115" s="151"/>
      <c r="AB115" s="151"/>
      <c r="AC115" s="163"/>
      <c r="AD115" s="151"/>
      <c r="AE115" s="152"/>
      <c r="AF115" s="173"/>
      <c r="AG115" s="185"/>
      <c r="AH115" s="185"/>
      <c r="AI115" s="186"/>
      <c r="AJ115" s="181"/>
      <c r="AK115" s="181"/>
      <c r="AL115" s="183"/>
      <c r="AM115" s="173"/>
      <c r="AN115" s="187"/>
      <c r="AO115" s="195"/>
      <c r="AP115" s="193"/>
      <c r="AQ115" s="193"/>
      <c r="AR115" s="193"/>
      <c r="AS115" s="193"/>
      <c r="AT115" s="193"/>
      <c r="AU115" s="193"/>
      <c r="AV115" s="194"/>
      <c r="AW115" s="193"/>
      <c r="AX115" s="207"/>
      <c r="AY115" s="208"/>
      <c r="AZ115" s="209"/>
      <c r="BA115" s="209"/>
      <c r="BB115" s="209"/>
      <c r="BC115" s="206"/>
      <c r="BD115" s="206"/>
      <c r="BE115" s="213"/>
      <c r="BF115" s="217"/>
      <c r="BG115" s="209"/>
      <c r="BH115" s="218"/>
      <c r="BI115" s="215"/>
      <c r="BJ115" s="215"/>
      <c r="BK115" s="215"/>
      <c r="BL115" s="215"/>
      <c r="BM115" s="215"/>
      <c r="BN115" s="215"/>
      <c r="BO115" s="216"/>
      <c r="BP115" s="215"/>
      <c r="BQ115" s="228"/>
      <c r="BR115" s="229"/>
      <c r="BS115" s="230"/>
      <c r="BT115" s="230"/>
      <c r="BU115" s="230"/>
      <c r="BV115" s="227"/>
      <c r="BW115" s="227"/>
      <c r="BX115" s="234"/>
      <c r="BY115" s="229"/>
      <c r="BZ115" s="230"/>
      <c r="CA115" s="235"/>
    </row>
    <row r="116" spans="1:79" ht="151.5" customHeight="1">
      <c r="A116" s="134" t="str">
        <f>IFERROR(INDEX(Riesgos!$A$7:$M$84,MATCH(E116,INDEX(Riesgos!$A$7:$M$84,,MATCH(E$7,Riesgos!$A$6:$M$6,0)),0),MATCH(A$7,Riesgos!$A$6:$M$6,0)),"")</f>
        <v/>
      </c>
      <c r="B116" s="135" t="str">
        <f>IFERROR(INDEX(Riesgos!$A$7:$M$84,MATCH(E116,INDEX(Riesgos!$A$7:$M$84,,MATCH(E$7,Riesgos!$A$6:$M$6,0)),0),MATCH(B$7,Riesgos!$A$6:$M$6,0)),"")</f>
        <v/>
      </c>
      <c r="C116" s="135"/>
      <c r="D116" s="136" t="str">
        <f>IFERROR(INDEX(Riesgos!$A$7:$M$84,MATCH(E116,INDEX(Riesgos!$A$7:$M$84,,MATCH(E$7,Riesgos!$A$6:$M$6,0)),0),MATCH(D$7,Riesgos!$A$6:$M$6,0)),"")</f>
        <v/>
      </c>
      <c r="E116" s="137"/>
      <c r="F116" s="137"/>
      <c r="G116" s="138" t="str">
        <f t="shared" si="2"/>
        <v/>
      </c>
      <c r="H116" s="139"/>
      <c r="I116" s="153" t="str">
        <f>IF(A115=A116,IFERROR(IF(AND(#REF!="Probabilidad",#REF!="Probabilidad"),(#REF!-(+#REF!*#REF!)),IF(#REF!="Probabilidad",(#REF!-(+#REF!*#REF!)),IF(#REF!="Impacto",#REF!,""))),""),IFERROR(IF(#REF!="Probabilidad",(#REF!-(+#REF!*#REF!)),IF(#REF!="Impacto",#REF!,"")),""))</f>
        <v/>
      </c>
      <c r="J116" s="154" t="str">
        <f>IFERROR(IF(I116="","",IF(I116&lt;='Listas y tablas'!$L$3,"Muy Baja",IF(I116&lt;='Listas y tablas'!$L$4,"Baja",IF(I116&lt;='Listas y tablas'!$L$5,"Media",IF(I116&lt;='Listas y tablas'!$L$6,"Alta","Muy Alta"))))),"")</f>
        <v/>
      </c>
      <c r="K116" s="155"/>
      <c r="L116" s="156"/>
      <c r="M116" s="150"/>
      <c r="N116" s="151"/>
      <c r="O116" s="151"/>
      <c r="P116" s="152"/>
      <c r="Q116" s="162"/>
      <c r="R116" s="151"/>
      <c r="S116" s="151"/>
      <c r="T116" s="151"/>
      <c r="U116" s="151"/>
      <c r="V116" s="165"/>
      <c r="W116" s="150"/>
      <c r="X116" s="151"/>
      <c r="Y116" s="151"/>
      <c r="Z116" s="151"/>
      <c r="AA116" s="151"/>
      <c r="AB116" s="151"/>
      <c r="AC116" s="163"/>
      <c r="AD116" s="151"/>
      <c r="AE116" s="152"/>
      <c r="AF116" s="173"/>
      <c r="AG116" s="185"/>
      <c r="AH116" s="185"/>
      <c r="AI116" s="186"/>
      <c r="AJ116" s="181"/>
      <c r="AK116" s="181"/>
      <c r="AL116" s="183"/>
      <c r="AM116" s="173"/>
      <c r="AN116" s="187"/>
      <c r="AO116" s="195"/>
      <c r="AP116" s="193"/>
      <c r="AQ116" s="193"/>
      <c r="AR116" s="193"/>
      <c r="AS116" s="193"/>
      <c r="AT116" s="193"/>
      <c r="AU116" s="193"/>
      <c r="AV116" s="194"/>
      <c r="AW116" s="193"/>
      <c r="AX116" s="207"/>
      <c r="AY116" s="208"/>
      <c r="AZ116" s="209"/>
      <c r="BA116" s="209"/>
      <c r="BB116" s="209"/>
      <c r="BC116" s="206"/>
      <c r="BD116" s="206"/>
      <c r="BE116" s="213"/>
      <c r="BF116" s="217"/>
      <c r="BG116" s="209"/>
      <c r="BH116" s="218"/>
      <c r="BI116" s="215"/>
      <c r="BJ116" s="215"/>
      <c r="BK116" s="215"/>
      <c r="BL116" s="215"/>
      <c r="BM116" s="215"/>
      <c r="BN116" s="215"/>
      <c r="BO116" s="216"/>
      <c r="BP116" s="215"/>
      <c r="BQ116" s="228"/>
      <c r="BR116" s="229"/>
      <c r="BS116" s="230"/>
      <c r="BT116" s="230"/>
      <c r="BU116" s="230"/>
      <c r="BV116" s="227"/>
      <c r="BW116" s="227"/>
      <c r="BX116" s="234"/>
      <c r="BY116" s="229"/>
      <c r="BZ116" s="230"/>
      <c r="CA116" s="235"/>
    </row>
    <row r="117" spans="1:79" ht="151.5" customHeight="1">
      <c r="A117" s="134" t="str">
        <f>IFERROR(INDEX(Riesgos!$A$7:$M$84,MATCH(E117,INDEX(Riesgos!$A$7:$M$84,,MATCH(E$7,Riesgos!$A$6:$M$6,0)),0),MATCH(A$7,Riesgos!$A$6:$M$6,0)),"")</f>
        <v/>
      </c>
      <c r="B117" s="135" t="str">
        <f>IFERROR(INDEX(Riesgos!$A$7:$M$84,MATCH(E117,INDEX(Riesgos!$A$7:$M$84,,MATCH(E$7,Riesgos!$A$6:$M$6,0)),0),MATCH(B$7,Riesgos!$A$6:$M$6,0)),"")</f>
        <v/>
      </c>
      <c r="C117" s="135"/>
      <c r="D117" s="136" t="str">
        <f>IFERROR(INDEX(Riesgos!$A$7:$M$84,MATCH(E117,INDEX(Riesgos!$A$7:$M$84,,MATCH(E$7,Riesgos!$A$6:$M$6,0)),0),MATCH(D$7,Riesgos!$A$6:$M$6,0)),"")</f>
        <v/>
      </c>
      <c r="E117" s="137"/>
      <c r="F117" s="137"/>
      <c r="G117" s="138" t="str">
        <f t="shared" si="2"/>
        <v/>
      </c>
      <c r="H117" s="139"/>
      <c r="I117" s="153" t="str">
        <f>IF(A116=A117,IFERROR(IF(AND(#REF!="Probabilidad",#REF!="Probabilidad"),(#REF!-(+#REF!*#REF!)),IF(#REF!="Probabilidad",(#REF!-(+#REF!*#REF!)),IF(#REF!="Impacto",#REF!,""))),""),IFERROR(IF(#REF!="Probabilidad",(#REF!-(+#REF!*#REF!)),IF(#REF!="Impacto",#REF!,"")),""))</f>
        <v/>
      </c>
      <c r="J117" s="154" t="str">
        <f>IFERROR(IF(I117="","",IF(I117&lt;='Listas y tablas'!$L$3,"Muy Baja",IF(I117&lt;='Listas y tablas'!$L$4,"Baja",IF(I117&lt;='Listas y tablas'!$L$5,"Media",IF(I117&lt;='Listas y tablas'!$L$6,"Alta","Muy Alta"))))),"")</f>
        <v/>
      </c>
      <c r="K117" s="155"/>
      <c r="L117" s="156"/>
      <c r="M117" s="150"/>
      <c r="N117" s="151"/>
      <c r="O117" s="151"/>
      <c r="P117" s="152"/>
      <c r="Q117" s="162"/>
      <c r="R117" s="151"/>
      <c r="S117" s="151"/>
      <c r="T117" s="151"/>
      <c r="U117" s="151"/>
      <c r="V117" s="165"/>
      <c r="W117" s="150"/>
      <c r="X117" s="151"/>
      <c r="Y117" s="151"/>
      <c r="Z117" s="151"/>
      <c r="AA117" s="151"/>
      <c r="AB117" s="151"/>
      <c r="AC117" s="163"/>
      <c r="AD117" s="151"/>
      <c r="AE117" s="152"/>
      <c r="AF117" s="173"/>
      <c r="AG117" s="185"/>
      <c r="AH117" s="185"/>
      <c r="AI117" s="186"/>
      <c r="AJ117" s="181"/>
      <c r="AK117" s="181"/>
      <c r="AL117" s="183"/>
      <c r="AM117" s="173"/>
      <c r="AN117" s="187"/>
      <c r="AO117" s="195"/>
      <c r="AP117" s="193"/>
      <c r="AQ117" s="193"/>
      <c r="AR117" s="193"/>
      <c r="AS117" s="193"/>
      <c r="AT117" s="193"/>
      <c r="AU117" s="193"/>
      <c r="AV117" s="194"/>
      <c r="AW117" s="193"/>
      <c r="AX117" s="207"/>
      <c r="AY117" s="208"/>
      <c r="AZ117" s="209"/>
      <c r="BA117" s="209"/>
      <c r="BB117" s="209"/>
      <c r="BC117" s="206"/>
      <c r="BD117" s="206"/>
      <c r="BE117" s="213"/>
      <c r="BF117" s="217"/>
      <c r="BG117" s="209"/>
      <c r="BH117" s="218"/>
      <c r="BI117" s="215"/>
      <c r="BJ117" s="215"/>
      <c r="BK117" s="215"/>
      <c r="BL117" s="215"/>
      <c r="BM117" s="215"/>
      <c r="BN117" s="215"/>
      <c r="BO117" s="216"/>
      <c r="BP117" s="215"/>
      <c r="BQ117" s="228"/>
      <c r="BR117" s="229"/>
      <c r="BS117" s="230"/>
      <c r="BT117" s="230"/>
      <c r="BU117" s="230"/>
      <c r="BV117" s="227"/>
      <c r="BW117" s="227"/>
      <c r="BX117" s="234"/>
      <c r="BY117" s="229"/>
      <c r="BZ117" s="230"/>
      <c r="CA117" s="235"/>
    </row>
    <row r="118" spans="1:79" ht="151.5" customHeight="1">
      <c r="A118" s="134" t="str">
        <f>IFERROR(INDEX(Riesgos!$A$7:$M$84,MATCH(E118,INDEX(Riesgos!$A$7:$M$84,,MATCH(E$7,Riesgos!$A$6:$M$6,0)),0),MATCH(A$7,Riesgos!$A$6:$M$6,0)),"")</f>
        <v/>
      </c>
      <c r="B118" s="135" t="str">
        <f>IFERROR(INDEX(Riesgos!$A$7:$M$84,MATCH(E118,INDEX(Riesgos!$A$7:$M$84,,MATCH(E$7,Riesgos!$A$6:$M$6,0)),0),MATCH(B$7,Riesgos!$A$6:$M$6,0)),"")</f>
        <v/>
      </c>
      <c r="C118" s="135"/>
      <c r="D118" s="136" t="str">
        <f>IFERROR(INDEX(Riesgos!$A$7:$M$84,MATCH(E118,INDEX(Riesgos!$A$7:$M$84,,MATCH(E$7,Riesgos!$A$6:$M$6,0)),0),MATCH(D$7,Riesgos!$A$6:$M$6,0)),"")</f>
        <v/>
      </c>
      <c r="E118" s="137"/>
      <c r="F118" s="137"/>
      <c r="G118" s="138" t="str">
        <f t="shared" si="2"/>
        <v/>
      </c>
      <c r="H118" s="139"/>
      <c r="I118" s="153" t="str">
        <f>IF(A117=A118,IFERROR(IF(AND(#REF!="Probabilidad",#REF!="Probabilidad"),(#REF!-(+#REF!*#REF!)),IF(#REF!="Probabilidad",(#REF!-(+#REF!*#REF!)),IF(#REF!="Impacto",#REF!,""))),""),IFERROR(IF(#REF!="Probabilidad",(#REF!-(+#REF!*#REF!)),IF(#REF!="Impacto",#REF!,"")),""))</f>
        <v/>
      </c>
      <c r="J118" s="154" t="str">
        <f>IFERROR(IF(I118="","",IF(I118&lt;='Listas y tablas'!$L$3,"Muy Baja",IF(I118&lt;='Listas y tablas'!$L$4,"Baja",IF(I118&lt;='Listas y tablas'!$L$5,"Media",IF(I118&lt;='Listas y tablas'!$L$6,"Alta","Muy Alta"))))),"")</f>
        <v/>
      </c>
      <c r="K118" s="155"/>
      <c r="L118" s="156"/>
      <c r="M118" s="150"/>
      <c r="N118" s="151"/>
      <c r="O118" s="151"/>
      <c r="P118" s="152"/>
      <c r="Q118" s="162"/>
      <c r="R118" s="151"/>
      <c r="S118" s="151"/>
      <c r="T118" s="151"/>
      <c r="U118" s="151"/>
      <c r="V118" s="165"/>
      <c r="W118" s="150"/>
      <c r="X118" s="151"/>
      <c r="Y118" s="151"/>
      <c r="Z118" s="151"/>
      <c r="AA118" s="151"/>
      <c r="AB118" s="151"/>
      <c r="AC118" s="163"/>
      <c r="AD118" s="151"/>
      <c r="AE118" s="152"/>
      <c r="AF118" s="173"/>
      <c r="AG118" s="185"/>
      <c r="AH118" s="185"/>
      <c r="AI118" s="186"/>
      <c r="AJ118" s="181"/>
      <c r="AK118" s="181"/>
      <c r="AL118" s="183"/>
      <c r="AM118" s="173"/>
      <c r="AN118" s="187"/>
      <c r="AO118" s="195"/>
      <c r="AP118" s="193"/>
      <c r="AQ118" s="193"/>
      <c r="AR118" s="193"/>
      <c r="AS118" s="193"/>
      <c r="AT118" s="193"/>
      <c r="AU118" s="193"/>
      <c r="AV118" s="194"/>
      <c r="AW118" s="193"/>
      <c r="AX118" s="207"/>
      <c r="AY118" s="208"/>
      <c r="AZ118" s="209"/>
      <c r="BA118" s="209"/>
      <c r="BB118" s="209"/>
      <c r="BC118" s="206"/>
      <c r="BD118" s="206"/>
      <c r="BE118" s="213"/>
      <c r="BF118" s="217"/>
      <c r="BG118" s="209"/>
      <c r="BH118" s="218"/>
      <c r="BI118" s="215"/>
      <c r="BJ118" s="215"/>
      <c r="BK118" s="215"/>
      <c r="BL118" s="215"/>
      <c r="BM118" s="215"/>
      <c r="BN118" s="215"/>
      <c r="BO118" s="216"/>
      <c r="BP118" s="215"/>
      <c r="BQ118" s="228"/>
      <c r="BR118" s="229"/>
      <c r="BS118" s="230"/>
      <c r="BT118" s="230"/>
      <c r="BU118" s="230"/>
      <c r="BV118" s="227"/>
      <c r="BW118" s="227"/>
      <c r="BX118" s="234"/>
      <c r="BY118" s="229"/>
      <c r="BZ118" s="230"/>
      <c r="CA118" s="235"/>
    </row>
    <row r="119" spans="1:79" ht="151.5" customHeight="1">
      <c r="A119" s="134" t="str">
        <f>IFERROR(INDEX(Riesgos!$A$7:$M$84,MATCH(E119,INDEX(Riesgos!$A$7:$M$84,,MATCH(E$7,Riesgos!$A$6:$M$6,0)),0),MATCH(A$7,Riesgos!$A$6:$M$6,0)),"")</f>
        <v/>
      </c>
      <c r="B119" s="135" t="str">
        <f>IFERROR(INDEX(Riesgos!$A$7:$M$84,MATCH(E119,INDEX(Riesgos!$A$7:$M$84,,MATCH(E$7,Riesgos!$A$6:$M$6,0)),0),MATCH(B$7,Riesgos!$A$6:$M$6,0)),"")</f>
        <v/>
      </c>
      <c r="C119" s="135"/>
      <c r="D119" s="136" t="str">
        <f>IFERROR(INDEX(Riesgos!$A$7:$M$84,MATCH(E119,INDEX(Riesgos!$A$7:$M$84,,MATCH(E$7,Riesgos!$A$6:$M$6,0)),0),MATCH(D$7,Riesgos!$A$6:$M$6,0)),"")</f>
        <v/>
      </c>
      <c r="E119" s="137"/>
      <c r="F119" s="137"/>
      <c r="G119" s="138" t="str">
        <f t="shared" si="2"/>
        <v/>
      </c>
      <c r="H119" s="139"/>
      <c r="I119" s="153" t="str">
        <f>IF(A118=A119,IFERROR(IF(AND(#REF!="Probabilidad",#REF!="Probabilidad"),(#REF!-(+#REF!*#REF!)),IF(#REF!="Probabilidad",(#REF!-(+#REF!*#REF!)),IF(#REF!="Impacto",#REF!,""))),""),IFERROR(IF(#REF!="Probabilidad",(#REF!-(+#REF!*#REF!)),IF(#REF!="Impacto",#REF!,"")),""))</f>
        <v/>
      </c>
      <c r="J119" s="154" t="str">
        <f>IFERROR(IF(I119="","",IF(I119&lt;='Listas y tablas'!$L$3,"Muy Baja",IF(I119&lt;='Listas y tablas'!$L$4,"Baja",IF(I119&lt;='Listas y tablas'!$L$5,"Media",IF(I119&lt;='Listas y tablas'!$L$6,"Alta","Muy Alta"))))),"")</f>
        <v/>
      </c>
      <c r="K119" s="155"/>
      <c r="L119" s="156"/>
      <c r="M119" s="150"/>
      <c r="N119" s="151"/>
      <c r="O119" s="151"/>
      <c r="P119" s="152"/>
      <c r="Q119" s="162"/>
      <c r="R119" s="151"/>
      <c r="S119" s="151"/>
      <c r="T119" s="151"/>
      <c r="U119" s="151"/>
      <c r="V119" s="165"/>
      <c r="W119" s="150"/>
      <c r="X119" s="151"/>
      <c r="Y119" s="151"/>
      <c r="Z119" s="151"/>
      <c r="AA119" s="151"/>
      <c r="AB119" s="151"/>
      <c r="AC119" s="163"/>
      <c r="AD119" s="151"/>
      <c r="AE119" s="152"/>
      <c r="AF119" s="173"/>
      <c r="AG119" s="185"/>
      <c r="AH119" s="185"/>
      <c r="AI119" s="186"/>
      <c r="AJ119" s="181"/>
      <c r="AK119" s="181"/>
      <c r="AL119" s="183"/>
      <c r="AM119" s="173"/>
      <c r="AN119" s="187"/>
      <c r="AO119" s="195"/>
      <c r="AP119" s="193"/>
      <c r="AQ119" s="193"/>
      <c r="AR119" s="193"/>
      <c r="AS119" s="193"/>
      <c r="AT119" s="193"/>
      <c r="AU119" s="193"/>
      <c r="AV119" s="194"/>
      <c r="AW119" s="193"/>
      <c r="AX119" s="207"/>
      <c r="AY119" s="208"/>
      <c r="AZ119" s="209"/>
      <c r="BA119" s="209"/>
      <c r="BB119" s="209"/>
      <c r="BC119" s="206"/>
      <c r="BD119" s="206"/>
      <c r="BE119" s="213"/>
      <c r="BF119" s="217"/>
      <c r="BG119" s="209"/>
      <c r="BH119" s="218"/>
      <c r="BI119" s="215"/>
      <c r="BJ119" s="215"/>
      <c r="BK119" s="215"/>
      <c r="BL119" s="215"/>
      <c r="BM119" s="215"/>
      <c r="BN119" s="215"/>
      <c r="BO119" s="216"/>
      <c r="BP119" s="215"/>
      <c r="BQ119" s="228"/>
      <c r="BR119" s="229"/>
      <c r="BS119" s="230"/>
      <c r="BT119" s="230"/>
      <c r="BU119" s="230"/>
      <c r="BV119" s="227"/>
      <c r="BW119" s="227"/>
      <c r="BX119" s="234"/>
      <c r="BY119" s="229"/>
      <c r="BZ119" s="230"/>
      <c r="CA119" s="235"/>
    </row>
    <row r="120" spans="1:79" ht="151.5" customHeight="1">
      <c r="A120" s="134" t="str">
        <f>IFERROR(INDEX(Riesgos!$A$7:$M$84,MATCH(E120,INDEX(Riesgos!$A$7:$M$84,,MATCH(E$7,Riesgos!$A$6:$M$6,0)),0),MATCH(A$7,Riesgos!$A$6:$M$6,0)),"")</f>
        <v/>
      </c>
      <c r="B120" s="135" t="str">
        <f>IFERROR(INDEX(Riesgos!$A$7:$M$84,MATCH(E120,INDEX(Riesgos!$A$7:$M$84,,MATCH(E$7,Riesgos!$A$6:$M$6,0)),0),MATCH(B$7,Riesgos!$A$6:$M$6,0)),"")</f>
        <v/>
      </c>
      <c r="C120" s="135"/>
      <c r="D120" s="136" t="str">
        <f>IFERROR(INDEX(Riesgos!$A$7:$M$84,MATCH(E120,INDEX(Riesgos!$A$7:$M$84,,MATCH(E$7,Riesgos!$A$6:$M$6,0)),0),MATCH(D$7,Riesgos!$A$6:$M$6,0)),"")</f>
        <v/>
      </c>
      <c r="E120" s="137"/>
      <c r="F120" s="137"/>
      <c r="G120" s="138" t="str">
        <f t="shared" si="2"/>
        <v/>
      </c>
      <c r="H120" s="139"/>
      <c r="I120" s="153" t="str">
        <f>IF(A119=A120,IFERROR(IF(AND(#REF!="Probabilidad",#REF!="Probabilidad"),(#REF!-(+#REF!*#REF!)),IF(#REF!="Probabilidad",(#REF!-(+#REF!*#REF!)),IF(#REF!="Impacto",#REF!,""))),""),IFERROR(IF(#REF!="Probabilidad",(#REF!-(+#REF!*#REF!)),IF(#REF!="Impacto",#REF!,"")),""))</f>
        <v/>
      </c>
      <c r="J120" s="154" t="str">
        <f>IFERROR(IF(I120="","",IF(I120&lt;='Listas y tablas'!$L$3,"Muy Baja",IF(I120&lt;='Listas y tablas'!$L$4,"Baja",IF(I120&lt;='Listas y tablas'!$L$5,"Media",IF(I120&lt;='Listas y tablas'!$L$6,"Alta","Muy Alta"))))),"")</f>
        <v/>
      </c>
      <c r="K120" s="155"/>
      <c r="L120" s="156"/>
      <c r="M120" s="150"/>
      <c r="N120" s="151"/>
      <c r="O120" s="151"/>
      <c r="P120" s="152"/>
      <c r="Q120" s="162"/>
      <c r="R120" s="151"/>
      <c r="S120" s="151"/>
      <c r="T120" s="151"/>
      <c r="U120" s="151"/>
      <c r="V120" s="165"/>
      <c r="W120" s="150"/>
      <c r="X120" s="151"/>
      <c r="Y120" s="151"/>
      <c r="Z120" s="151"/>
      <c r="AA120" s="151"/>
      <c r="AB120" s="151"/>
      <c r="AC120" s="163"/>
      <c r="AD120" s="151"/>
      <c r="AE120" s="152"/>
      <c r="AF120" s="173"/>
      <c r="AG120" s="185"/>
      <c r="AH120" s="185"/>
      <c r="AI120" s="186"/>
      <c r="AJ120" s="181"/>
      <c r="AK120" s="181"/>
      <c r="AL120" s="183"/>
      <c r="AM120" s="173"/>
      <c r="AN120" s="187"/>
      <c r="AO120" s="195"/>
      <c r="AP120" s="193"/>
      <c r="AQ120" s="193"/>
      <c r="AR120" s="193"/>
      <c r="AS120" s="193"/>
      <c r="AT120" s="193"/>
      <c r="AU120" s="193"/>
      <c r="AV120" s="194"/>
      <c r="AW120" s="193"/>
      <c r="AX120" s="207"/>
      <c r="AY120" s="208"/>
      <c r="AZ120" s="209"/>
      <c r="BA120" s="209"/>
      <c r="BB120" s="209"/>
      <c r="BC120" s="206"/>
      <c r="BD120" s="206"/>
      <c r="BE120" s="213"/>
      <c r="BF120" s="217"/>
      <c r="BG120" s="209"/>
      <c r="BH120" s="218"/>
      <c r="BI120" s="215"/>
      <c r="BJ120" s="215"/>
      <c r="BK120" s="215"/>
      <c r="BL120" s="215"/>
      <c r="BM120" s="215"/>
      <c r="BN120" s="215"/>
      <c r="BO120" s="216"/>
      <c r="BP120" s="215"/>
      <c r="BQ120" s="228"/>
      <c r="BR120" s="229"/>
      <c r="BS120" s="230"/>
      <c r="BT120" s="230"/>
      <c r="BU120" s="230"/>
      <c r="BV120" s="227"/>
      <c r="BW120" s="227"/>
      <c r="BX120" s="234"/>
      <c r="BY120" s="229"/>
      <c r="BZ120" s="230"/>
      <c r="CA120" s="235"/>
    </row>
    <row r="121" spans="1:79" ht="151.5" customHeight="1">
      <c r="A121" s="134" t="str">
        <f>IFERROR(INDEX(Riesgos!$A$7:$M$84,MATCH(E121,INDEX(Riesgos!$A$7:$M$84,,MATCH(E$7,Riesgos!$A$6:$M$6,0)),0),MATCH(A$7,Riesgos!$A$6:$M$6,0)),"")</f>
        <v/>
      </c>
      <c r="B121" s="135" t="str">
        <f>IFERROR(INDEX(Riesgos!$A$7:$M$84,MATCH(E121,INDEX(Riesgos!$A$7:$M$84,,MATCH(E$7,Riesgos!$A$6:$M$6,0)),0),MATCH(B$7,Riesgos!$A$6:$M$6,0)),"")</f>
        <v/>
      </c>
      <c r="C121" s="135"/>
      <c r="D121" s="136" t="str">
        <f>IFERROR(INDEX(Riesgos!$A$7:$M$84,MATCH(E121,INDEX(Riesgos!$A$7:$M$84,,MATCH(E$7,Riesgos!$A$6:$M$6,0)),0),MATCH(D$7,Riesgos!$A$6:$M$6,0)),"")</f>
        <v/>
      </c>
      <c r="E121" s="137"/>
      <c r="F121" s="137"/>
      <c r="G121" s="138" t="str">
        <f t="shared" si="2"/>
        <v/>
      </c>
      <c r="H121" s="139"/>
      <c r="I121" s="153" t="str">
        <f>IF(A120=A121,IFERROR(IF(AND(#REF!="Probabilidad",#REF!="Probabilidad"),(#REF!-(+#REF!*#REF!)),IF(#REF!="Probabilidad",(#REF!-(+#REF!*#REF!)),IF(#REF!="Impacto",#REF!,""))),""),IFERROR(IF(#REF!="Probabilidad",(#REF!-(+#REF!*#REF!)),IF(#REF!="Impacto",#REF!,"")),""))</f>
        <v/>
      </c>
      <c r="J121" s="154" t="str">
        <f>IFERROR(IF(I121="","",IF(I121&lt;='Listas y tablas'!$L$3,"Muy Baja",IF(I121&lt;='Listas y tablas'!$L$4,"Baja",IF(I121&lt;='Listas y tablas'!$L$5,"Media",IF(I121&lt;='Listas y tablas'!$L$6,"Alta","Muy Alta"))))),"")</f>
        <v/>
      </c>
      <c r="K121" s="155"/>
      <c r="L121" s="156"/>
      <c r="M121" s="150"/>
      <c r="N121" s="151"/>
      <c r="O121" s="151"/>
      <c r="P121" s="152"/>
      <c r="Q121" s="162"/>
      <c r="R121" s="151"/>
      <c r="S121" s="151"/>
      <c r="T121" s="151"/>
      <c r="U121" s="151"/>
      <c r="V121" s="165"/>
      <c r="W121" s="150"/>
      <c r="X121" s="151"/>
      <c r="Y121" s="151"/>
      <c r="Z121" s="151"/>
      <c r="AA121" s="151"/>
      <c r="AB121" s="151"/>
      <c r="AC121" s="163"/>
      <c r="AD121" s="151"/>
      <c r="AE121" s="152"/>
      <c r="AF121" s="173"/>
      <c r="AG121" s="185"/>
      <c r="AH121" s="185"/>
      <c r="AI121" s="186"/>
      <c r="AJ121" s="181"/>
      <c r="AK121" s="181"/>
      <c r="AL121" s="183"/>
      <c r="AM121" s="173"/>
      <c r="AN121" s="187"/>
      <c r="AO121" s="195"/>
      <c r="AP121" s="193"/>
      <c r="AQ121" s="193"/>
      <c r="AR121" s="193"/>
      <c r="AS121" s="193"/>
      <c r="AT121" s="193"/>
      <c r="AU121" s="193"/>
      <c r="AV121" s="194"/>
      <c r="AW121" s="193"/>
      <c r="AX121" s="207"/>
      <c r="AY121" s="208"/>
      <c r="AZ121" s="209"/>
      <c r="BA121" s="209"/>
      <c r="BB121" s="209"/>
      <c r="BC121" s="206"/>
      <c r="BD121" s="206"/>
      <c r="BE121" s="213"/>
      <c r="BF121" s="217"/>
      <c r="BG121" s="209"/>
      <c r="BH121" s="218"/>
      <c r="BI121" s="215"/>
      <c r="BJ121" s="215"/>
      <c r="BK121" s="215"/>
      <c r="BL121" s="215"/>
      <c r="BM121" s="215"/>
      <c r="BN121" s="215"/>
      <c r="BO121" s="216"/>
      <c r="BP121" s="215"/>
      <c r="BQ121" s="228"/>
      <c r="BR121" s="229"/>
      <c r="BS121" s="230"/>
      <c r="BT121" s="230"/>
      <c r="BU121" s="230"/>
      <c r="BV121" s="227"/>
      <c r="BW121" s="227"/>
      <c r="BX121" s="234"/>
      <c r="BY121" s="229"/>
      <c r="BZ121" s="230"/>
      <c r="CA121" s="235"/>
    </row>
    <row r="122" spans="1:79" ht="151.5" customHeight="1">
      <c r="A122" s="134" t="str">
        <f>IFERROR(INDEX(Riesgos!$A$7:$M$84,MATCH(E122,INDEX(Riesgos!$A$7:$M$84,,MATCH(E$7,Riesgos!$A$6:$M$6,0)),0),MATCH(A$7,Riesgos!$A$6:$M$6,0)),"")</f>
        <v/>
      </c>
      <c r="B122" s="135" t="str">
        <f>IFERROR(INDEX(Riesgos!$A$7:$M$84,MATCH(E122,INDEX(Riesgos!$A$7:$M$84,,MATCH(E$7,Riesgos!$A$6:$M$6,0)),0),MATCH(B$7,Riesgos!$A$6:$M$6,0)),"")</f>
        <v/>
      </c>
      <c r="C122" s="135"/>
      <c r="D122" s="136" t="str">
        <f>IFERROR(INDEX(Riesgos!$A$7:$M$84,MATCH(E122,INDEX(Riesgos!$A$7:$M$84,,MATCH(E$7,Riesgos!$A$6:$M$6,0)),0),MATCH(D$7,Riesgos!$A$6:$M$6,0)),"")</f>
        <v/>
      </c>
      <c r="E122" s="137"/>
      <c r="F122" s="137"/>
      <c r="G122" s="138" t="str">
        <f t="shared" si="2"/>
        <v/>
      </c>
      <c r="H122" s="139"/>
      <c r="I122" s="153" t="str">
        <f>IF(A121=A122,IFERROR(IF(AND(#REF!="Probabilidad",#REF!="Probabilidad"),(#REF!-(+#REF!*#REF!)),IF(#REF!="Probabilidad",(#REF!-(+#REF!*#REF!)),IF(#REF!="Impacto",#REF!,""))),""),IFERROR(IF(#REF!="Probabilidad",(#REF!-(+#REF!*#REF!)),IF(#REF!="Impacto",#REF!,"")),""))</f>
        <v/>
      </c>
      <c r="J122" s="154" t="str">
        <f>IFERROR(IF(I122="","",IF(I122&lt;='Listas y tablas'!$L$3,"Muy Baja",IF(I122&lt;='Listas y tablas'!$L$4,"Baja",IF(I122&lt;='Listas y tablas'!$L$5,"Media",IF(I122&lt;='Listas y tablas'!$L$6,"Alta","Muy Alta"))))),"")</f>
        <v/>
      </c>
      <c r="K122" s="155"/>
      <c r="L122" s="156"/>
      <c r="M122" s="150"/>
      <c r="N122" s="151"/>
      <c r="O122" s="151"/>
      <c r="P122" s="152"/>
      <c r="Q122" s="162"/>
      <c r="R122" s="151"/>
      <c r="S122" s="151"/>
      <c r="T122" s="151"/>
      <c r="U122" s="151"/>
      <c r="V122" s="165"/>
      <c r="W122" s="150"/>
      <c r="X122" s="151"/>
      <c r="Y122" s="151"/>
      <c r="Z122" s="151"/>
      <c r="AA122" s="151"/>
      <c r="AB122" s="151"/>
      <c r="AC122" s="163"/>
      <c r="AD122" s="151"/>
      <c r="AE122" s="152"/>
      <c r="AF122" s="173"/>
      <c r="AG122" s="185"/>
      <c r="AH122" s="185"/>
      <c r="AI122" s="186"/>
      <c r="AJ122" s="181"/>
      <c r="AK122" s="181"/>
      <c r="AL122" s="183"/>
      <c r="AM122" s="173"/>
      <c r="AN122" s="187"/>
      <c r="AO122" s="195"/>
      <c r="AP122" s="193"/>
      <c r="AQ122" s="193"/>
      <c r="AR122" s="193"/>
      <c r="AS122" s="193"/>
      <c r="AT122" s="193"/>
      <c r="AU122" s="193"/>
      <c r="AV122" s="194"/>
      <c r="AW122" s="193"/>
      <c r="AX122" s="207"/>
      <c r="AY122" s="208"/>
      <c r="AZ122" s="209"/>
      <c r="BA122" s="209"/>
      <c r="BB122" s="209"/>
      <c r="BC122" s="206"/>
      <c r="BD122" s="206"/>
      <c r="BE122" s="213"/>
      <c r="BF122" s="217"/>
      <c r="BG122" s="209"/>
      <c r="BH122" s="218"/>
      <c r="BI122" s="215"/>
      <c r="BJ122" s="215"/>
      <c r="BK122" s="215"/>
      <c r="BL122" s="215"/>
      <c r="BM122" s="215"/>
      <c r="BN122" s="215"/>
      <c r="BO122" s="216"/>
      <c r="BP122" s="215"/>
      <c r="BQ122" s="228"/>
      <c r="BR122" s="229"/>
      <c r="BS122" s="230"/>
      <c r="BT122" s="230"/>
      <c r="BU122" s="230"/>
      <c r="BV122" s="227"/>
      <c r="BW122" s="227"/>
      <c r="BX122" s="234"/>
      <c r="BY122" s="229"/>
      <c r="BZ122" s="230"/>
      <c r="CA122" s="235"/>
    </row>
    <row r="123" spans="1:79" ht="151.5" customHeight="1">
      <c r="A123" s="134" t="str">
        <f>IFERROR(INDEX(Riesgos!$A$7:$M$84,MATCH(E123,INDEX(Riesgos!$A$7:$M$84,,MATCH(E$7,Riesgos!$A$6:$M$6,0)),0),MATCH(A$7,Riesgos!$A$6:$M$6,0)),"")</f>
        <v/>
      </c>
      <c r="B123" s="135" t="str">
        <f>IFERROR(INDEX(Riesgos!$A$7:$M$84,MATCH(E123,INDEX(Riesgos!$A$7:$M$84,,MATCH(E$7,Riesgos!$A$6:$M$6,0)),0),MATCH(B$7,Riesgos!$A$6:$M$6,0)),"")</f>
        <v/>
      </c>
      <c r="C123" s="135"/>
      <c r="D123" s="136" t="str">
        <f>IFERROR(INDEX(Riesgos!$A$7:$M$84,MATCH(E123,INDEX(Riesgos!$A$7:$M$84,,MATCH(E$7,Riesgos!$A$6:$M$6,0)),0),MATCH(D$7,Riesgos!$A$6:$M$6,0)),"")</f>
        <v/>
      </c>
      <c r="E123" s="137"/>
      <c r="F123" s="137"/>
      <c r="G123" s="138" t="str">
        <f t="shared" si="2"/>
        <v/>
      </c>
      <c r="H123" s="139"/>
      <c r="I123" s="153" t="str">
        <f>IF(A122=A123,IFERROR(IF(AND(#REF!="Probabilidad",#REF!="Probabilidad"),(#REF!-(+#REF!*#REF!)),IF(#REF!="Probabilidad",(#REF!-(+#REF!*#REF!)),IF(#REF!="Impacto",#REF!,""))),""),IFERROR(IF(#REF!="Probabilidad",(#REF!-(+#REF!*#REF!)),IF(#REF!="Impacto",#REF!,"")),""))</f>
        <v/>
      </c>
      <c r="J123" s="154" t="str">
        <f>IFERROR(IF(I123="","",IF(I123&lt;='Listas y tablas'!$L$3,"Muy Baja",IF(I123&lt;='Listas y tablas'!$L$4,"Baja",IF(I123&lt;='Listas y tablas'!$L$5,"Media",IF(I123&lt;='Listas y tablas'!$L$6,"Alta","Muy Alta"))))),"")</f>
        <v/>
      </c>
      <c r="K123" s="155"/>
      <c r="L123" s="156"/>
      <c r="M123" s="150"/>
      <c r="N123" s="151"/>
      <c r="O123" s="151"/>
      <c r="P123" s="152"/>
      <c r="Q123" s="162"/>
      <c r="R123" s="151"/>
      <c r="S123" s="151"/>
      <c r="T123" s="151"/>
      <c r="U123" s="151"/>
      <c r="V123" s="165"/>
      <c r="W123" s="150"/>
      <c r="X123" s="151"/>
      <c r="Y123" s="151"/>
      <c r="Z123" s="151"/>
      <c r="AA123" s="151"/>
      <c r="AB123" s="151"/>
      <c r="AC123" s="163"/>
      <c r="AD123" s="151"/>
      <c r="AE123" s="152"/>
      <c r="AF123" s="173"/>
      <c r="AG123" s="185"/>
      <c r="AH123" s="185"/>
      <c r="AI123" s="186"/>
      <c r="AJ123" s="181"/>
      <c r="AK123" s="181"/>
      <c r="AL123" s="183"/>
      <c r="AM123" s="173"/>
      <c r="AN123" s="187"/>
      <c r="AO123" s="195"/>
      <c r="AP123" s="193"/>
      <c r="AQ123" s="193"/>
      <c r="AR123" s="193"/>
      <c r="AS123" s="193"/>
      <c r="AT123" s="193"/>
      <c r="AU123" s="193"/>
      <c r="AV123" s="194"/>
      <c r="AW123" s="193"/>
      <c r="AX123" s="207"/>
      <c r="AY123" s="208"/>
      <c r="AZ123" s="209"/>
      <c r="BA123" s="209"/>
      <c r="BB123" s="209"/>
      <c r="BC123" s="206"/>
      <c r="BD123" s="206"/>
      <c r="BE123" s="213"/>
      <c r="BF123" s="217"/>
      <c r="BG123" s="209"/>
      <c r="BH123" s="218"/>
      <c r="BI123" s="215"/>
      <c r="BJ123" s="215"/>
      <c r="BK123" s="215"/>
      <c r="BL123" s="215"/>
      <c r="BM123" s="215"/>
      <c r="BN123" s="215"/>
      <c r="BO123" s="216"/>
      <c r="BP123" s="215"/>
      <c r="BQ123" s="228"/>
      <c r="BR123" s="229"/>
      <c r="BS123" s="230"/>
      <c r="BT123" s="230"/>
      <c r="BU123" s="230"/>
      <c r="BV123" s="227"/>
      <c r="BW123" s="227"/>
      <c r="BX123" s="234"/>
      <c r="BY123" s="229"/>
      <c r="BZ123" s="230"/>
      <c r="CA123" s="235"/>
    </row>
    <row r="124" spans="1:79" ht="151.5" customHeight="1">
      <c r="A124" s="134" t="str">
        <f>IFERROR(INDEX(Riesgos!$A$7:$M$84,MATCH(E124,INDEX(Riesgos!$A$7:$M$84,,MATCH(E$7,Riesgos!$A$6:$M$6,0)),0),MATCH(A$7,Riesgos!$A$6:$M$6,0)),"")</f>
        <v/>
      </c>
      <c r="B124" s="135" t="str">
        <f>IFERROR(INDEX(Riesgos!$A$7:$M$84,MATCH(E124,INDEX(Riesgos!$A$7:$M$84,,MATCH(E$7,Riesgos!$A$6:$M$6,0)),0),MATCH(B$7,Riesgos!$A$6:$M$6,0)),"")</f>
        <v/>
      </c>
      <c r="C124" s="135"/>
      <c r="D124" s="136" t="str">
        <f>IFERROR(INDEX(Riesgos!$A$7:$M$84,MATCH(E124,INDEX(Riesgos!$A$7:$M$84,,MATCH(E$7,Riesgos!$A$6:$M$6,0)),0),MATCH(D$7,Riesgos!$A$6:$M$6,0)),"")</f>
        <v/>
      </c>
      <c r="E124" s="137"/>
      <c r="F124" s="137"/>
      <c r="G124" s="138" t="str">
        <f t="shared" si="2"/>
        <v/>
      </c>
      <c r="H124" s="139"/>
      <c r="I124" s="153" t="str">
        <f>IF(A123=A124,IFERROR(IF(AND(#REF!="Probabilidad",#REF!="Probabilidad"),(#REF!-(+#REF!*#REF!)),IF(#REF!="Probabilidad",(#REF!-(+#REF!*#REF!)),IF(#REF!="Impacto",#REF!,""))),""),IFERROR(IF(#REF!="Probabilidad",(#REF!-(+#REF!*#REF!)),IF(#REF!="Impacto",#REF!,"")),""))</f>
        <v/>
      </c>
      <c r="J124" s="154" t="str">
        <f>IFERROR(IF(I124="","",IF(I124&lt;='Listas y tablas'!$L$3,"Muy Baja",IF(I124&lt;='Listas y tablas'!$L$4,"Baja",IF(I124&lt;='Listas y tablas'!$L$5,"Media",IF(I124&lt;='Listas y tablas'!$L$6,"Alta","Muy Alta"))))),"")</f>
        <v/>
      </c>
      <c r="K124" s="155"/>
      <c r="L124" s="156"/>
      <c r="M124" s="150"/>
      <c r="N124" s="151"/>
      <c r="O124" s="151"/>
      <c r="P124" s="152"/>
      <c r="Q124" s="162"/>
      <c r="R124" s="151"/>
      <c r="S124" s="151"/>
      <c r="T124" s="151"/>
      <c r="U124" s="151"/>
      <c r="V124" s="165"/>
      <c r="W124" s="150"/>
      <c r="X124" s="151"/>
      <c r="Y124" s="151"/>
      <c r="Z124" s="151"/>
      <c r="AA124" s="151"/>
      <c r="AB124" s="151"/>
      <c r="AC124" s="163"/>
      <c r="AD124" s="151"/>
      <c r="AE124" s="152"/>
      <c r="AF124" s="173"/>
      <c r="AG124" s="185"/>
      <c r="AH124" s="185"/>
      <c r="AI124" s="186"/>
      <c r="AJ124" s="181"/>
      <c r="AK124" s="181"/>
      <c r="AL124" s="183"/>
      <c r="AM124" s="173"/>
      <c r="AN124" s="187"/>
      <c r="AO124" s="195"/>
      <c r="AP124" s="193"/>
      <c r="AQ124" s="193"/>
      <c r="AR124" s="193"/>
      <c r="AS124" s="193"/>
      <c r="AT124" s="193"/>
      <c r="AU124" s="193"/>
      <c r="AV124" s="194"/>
      <c r="AW124" s="193"/>
      <c r="AX124" s="207"/>
      <c r="AY124" s="208"/>
      <c r="AZ124" s="209"/>
      <c r="BA124" s="209"/>
      <c r="BB124" s="209"/>
      <c r="BC124" s="206"/>
      <c r="BD124" s="206"/>
      <c r="BE124" s="213"/>
      <c r="BF124" s="217"/>
      <c r="BG124" s="209"/>
      <c r="BH124" s="218"/>
      <c r="BI124" s="215"/>
      <c r="BJ124" s="215"/>
      <c r="BK124" s="215"/>
      <c r="BL124" s="215"/>
      <c r="BM124" s="215"/>
      <c r="BN124" s="215"/>
      <c r="BO124" s="216"/>
      <c r="BP124" s="215"/>
      <c r="BQ124" s="228"/>
      <c r="BR124" s="229"/>
      <c r="BS124" s="230"/>
      <c r="BT124" s="230"/>
      <c r="BU124" s="230"/>
      <c r="BV124" s="227"/>
      <c r="BW124" s="227"/>
      <c r="BX124" s="234"/>
      <c r="BY124" s="229"/>
      <c r="BZ124" s="230"/>
      <c r="CA124" s="235"/>
    </row>
    <row r="125" spans="1:79" ht="151.5" customHeight="1">
      <c r="A125" s="134" t="str">
        <f>IFERROR(INDEX(Riesgos!$A$7:$M$84,MATCH(E125,INDEX(Riesgos!$A$7:$M$84,,MATCH(E$7,Riesgos!$A$6:$M$6,0)),0),MATCH(A$7,Riesgos!$A$6:$M$6,0)),"")</f>
        <v/>
      </c>
      <c r="B125" s="135" t="str">
        <f>IFERROR(INDEX(Riesgos!$A$7:$M$84,MATCH(E125,INDEX(Riesgos!$A$7:$M$84,,MATCH(E$7,Riesgos!$A$6:$M$6,0)),0),MATCH(B$7,Riesgos!$A$6:$M$6,0)),"")</f>
        <v/>
      </c>
      <c r="C125" s="135"/>
      <c r="D125" s="136" t="str">
        <f>IFERROR(INDEX(Riesgos!$A$7:$M$84,MATCH(E125,INDEX(Riesgos!$A$7:$M$84,,MATCH(E$7,Riesgos!$A$6:$M$6,0)),0),MATCH(D$7,Riesgos!$A$6:$M$6,0)),"")</f>
        <v/>
      </c>
      <c r="E125" s="137"/>
      <c r="F125" s="137"/>
      <c r="G125" s="138" t="str">
        <f t="shared" si="2"/>
        <v/>
      </c>
      <c r="H125" s="139"/>
      <c r="I125" s="153" t="str">
        <f>IF(A124=A125,IFERROR(IF(AND(#REF!="Probabilidad",#REF!="Probabilidad"),(#REF!-(+#REF!*#REF!)),IF(#REF!="Probabilidad",(#REF!-(+#REF!*#REF!)),IF(#REF!="Impacto",#REF!,""))),""),IFERROR(IF(#REF!="Probabilidad",(#REF!-(+#REF!*#REF!)),IF(#REF!="Impacto",#REF!,"")),""))</f>
        <v/>
      </c>
      <c r="J125" s="154" t="str">
        <f>IFERROR(IF(I125="","",IF(I125&lt;='Listas y tablas'!$L$3,"Muy Baja",IF(I125&lt;='Listas y tablas'!$L$4,"Baja",IF(I125&lt;='Listas y tablas'!$L$5,"Media",IF(I125&lt;='Listas y tablas'!$L$6,"Alta","Muy Alta"))))),"")</f>
        <v/>
      </c>
      <c r="K125" s="155"/>
      <c r="L125" s="156"/>
      <c r="M125" s="150"/>
      <c r="N125" s="151"/>
      <c r="O125" s="151"/>
      <c r="P125" s="152"/>
      <c r="Q125" s="162"/>
      <c r="R125" s="151"/>
      <c r="S125" s="151"/>
      <c r="T125" s="151"/>
      <c r="U125" s="151"/>
      <c r="V125" s="165"/>
      <c r="W125" s="150"/>
      <c r="X125" s="151"/>
      <c r="Y125" s="151"/>
      <c r="Z125" s="151"/>
      <c r="AA125" s="151"/>
      <c r="AB125" s="151"/>
      <c r="AC125" s="163"/>
      <c r="AD125" s="151"/>
      <c r="AE125" s="152"/>
      <c r="AF125" s="173"/>
      <c r="AG125" s="185"/>
      <c r="AH125" s="185"/>
      <c r="AI125" s="186"/>
      <c r="AJ125" s="181"/>
      <c r="AK125" s="181"/>
      <c r="AL125" s="183"/>
      <c r="AM125" s="173"/>
      <c r="AN125" s="187"/>
      <c r="AO125" s="195"/>
      <c r="AP125" s="193"/>
      <c r="AQ125" s="193"/>
      <c r="AR125" s="193"/>
      <c r="AS125" s="193"/>
      <c r="AT125" s="193"/>
      <c r="AU125" s="193"/>
      <c r="AV125" s="194"/>
      <c r="AW125" s="193"/>
      <c r="AX125" s="207"/>
      <c r="AY125" s="208"/>
      <c r="AZ125" s="209"/>
      <c r="BA125" s="209"/>
      <c r="BB125" s="209"/>
      <c r="BC125" s="206"/>
      <c r="BD125" s="206"/>
      <c r="BE125" s="213"/>
      <c r="BF125" s="217"/>
      <c r="BG125" s="209"/>
      <c r="BH125" s="218"/>
      <c r="BI125" s="215"/>
      <c r="BJ125" s="215"/>
      <c r="BK125" s="215"/>
      <c r="BL125" s="215"/>
      <c r="BM125" s="215"/>
      <c r="BN125" s="215"/>
      <c r="BO125" s="216"/>
      <c r="BP125" s="215"/>
      <c r="BQ125" s="228"/>
      <c r="BR125" s="229"/>
      <c r="BS125" s="230"/>
      <c r="BT125" s="230"/>
      <c r="BU125" s="230"/>
      <c r="BV125" s="227"/>
      <c r="BW125" s="227"/>
      <c r="BX125" s="234"/>
      <c r="BY125" s="229"/>
      <c r="BZ125" s="230"/>
      <c r="CA125" s="235"/>
    </row>
    <row r="126" spans="1:79" ht="151.5" customHeight="1">
      <c r="A126" s="134" t="str">
        <f>IFERROR(INDEX(Riesgos!$A$7:$M$84,MATCH(E126,INDEX(Riesgos!$A$7:$M$84,,MATCH(E$7,Riesgos!$A$6:$M$6,0)),0),MATCH(A$7,Riesgos!$A$6:$M$6,0)),"")</f>
        <v/>
      </c>
      <c r="B126" s="135" t="str">
        <f>IFERROR(INDEX(Riesgos!$A$7:$M$84,MATCH(E126,INDEX(Riesgos!$A$7:$M$84,,MATCH(E$7,Riesgos!$A$6:$M$6,0)),0),MATCH(B$7,Riesgos!$A$6:$M$6,0)),"")</f>
        <v/>
      </c>
      <c r="C126" s="135"/>
      <c r="D126" s="136" t="str">
        <f>IFERROR(INDEX(Riesgos!$A$7:$M$84,MATCH(E126,INDEX(Riesgos!$A$7:$M$84,,MATCH(E$7,Riesgos!$A$6:$M$6,0)),0),MATCH(D$7,Riesgos!$A$6:$M$6,0)),"")</f>
        <v/>
      </c>
      <c r="E126" s="137"/>
      <c r="F126" s="137"/>
      <c r="G126" s="138" t="str">
        <f t="shared" si="2"/>
        <v/>
      </c>
      <c r="H126" s="139"/>
      <c r="I126" s="153" t="str">
        <f>IF(A125=A126,IFERROR(IF(AND(#REF!="Probabilidad",#REF!="Probabilidad"),(#REF!-(+#REF!*#REF!)),IF(#REF!="Probabilidad",(#REF!-(+#REF!*#REF!)),IF(#REF!="Impacto",#REF!,""))),""),IFERROR(IF(#REF!="Probabilidad",(#REF!-(+#REF!*#REF!)),IF(#REF!="Impacto",#REF!,"")),""))</f>
        <v/>
      </c>
      <c r="J126" s="154" t="str">
        <f>IFERROR(IF(I126="","",IF(I126&lt;='Listas y tablas'!$L$3,"Muy Baja",IF(I126&lt;='Listas y tablas'!$L$4,"Baja",IF(I126&lt;='Listas y tablas'!$L$5,"Media",IF(I126&lt;='Listas y tablas'!$L$6,"Alta","Muy Alta"))))),"")</f>
        <v/>
      </c>
      <c r="K126" s="155"/>
      <c r="L126" s="156"/>
      <c r="M126" s="150"/>
      <c r="N126" s="151"/>
      <c r="O126" s="151"/>
      <c r="P126" s="152"/>
      <c r="Q126" s="162"/>
      <c r="R126" s="151"/>
      <c r="S126" s="151"/>
      <c r="T126" s="151"/>
      <c r="U126" s="151"/>
      <c r="V126" s="165"/>
      <c r="W126" s="150"/>
      <c r="X126" s="151"/>
      <c r="Y126" s="151"/>
      <c r="Z126" s="151"/>
      <c r="AA126" s="151"/>
      <c r="AB126" s="151"/>
      <c r="AC126" s="163"/>
      <c r="AD126" s="151"/>
      <c r="AE126" s="152"/>
      <c r="AF126" s="173"/>
      <c r="AG126" s="185"/>
      <c r="AH126" s="185"/>
      <c r="AI126" s="186"/>
      <c r="AJ126" s="181"/>
      <c r="AK126" s="181"/>
      <c r="AL126" s="183"/>
      <c r="AM126" s="173"/>
      <c r="AN126" s="187"/>
      <c r="AO126" s="195"/>
      <c r="AP126" s="193"/>
      <c r="AQ126" s="193"/>
      <c r="AR126" s="193"/>
      <c r="AS126" s="193"/>
      <c r="AT126" s="193"/>
      <c r="AU126" s="193"/>
      <c r="AV126" s="194"/>
      <c r="AW126" s="193"/>
      <c r="AX126" s="207"/>
      <c r="AY126" s="208"/>
      <c r="AZ126" s="209"/>
      <c r="BA126" s="209"/>
      <c r="BB126" s="209"/>
      <c r="BC126" s="206"/>
      <c r="BD126" s="206"/>
      <c r="BE126" s="213"/>
      <c r="BF126" s="217"/>
      <c r="BG126" s="209"/>
      <c r="BH126" s="218"/>
      <c r="BI126" s="215"/>
      <c r="BJ126" s="215"/>
      <c r="BK126" s="215"/>
      <c r="BL126" s="215"/>
      <c r="BM126" s="215"/>
      <c r="BN126" s="215"/>
      <c r="BO126" s="216"/>
      <c r="BP126" s="215"/>
      <c r="BQ126" s="228"/>
      <c r="BR126" s="229"/>
      <c r="BS126" s="230"/>
      <c r="BT126" s="230"/>
      <c r="BU126" s="230"/>
      <c r="BV126" s="227"/>
      <c r="BW126" s="227"/>
      <c r="BX126" s="234"/>
      <c r="BY126" s="229"/>
      <c r="BZ126" s="230"/>
      <c r="CA126" s="235"/>
    </row>
    <row r="127" spans="1:79" ht="151.5" customHeight="1">
      <c r="A127" s="134" t="str">
        <f>IFERROR(INDEX(Riesgos!$A$7:$M$84,MATCH(E127,INDEX(Riesgos!$A$7:$M$84,,MATCH(E$7,Riesgos!$A$6:$M$6,0)),0),MATCH(A$7,Riesgos!$A$6:$M$6,0)),"")</f>
        <v/>
      </c>
      <c r="B127" s="135" t="str">
        <f>IFERROR(INDEX(Riesgos!$A$7:$M$84,MATCH(E127,INDEX(Riesgos!$A$7:$M$84,,MATCH(E$7,Riesgos!$A$6:$M$6,0)),0),MATCH(B$7,Riesgos!$A$6:$M$6,0)),"")</f>
        <v/>
      </c>
      <c r="C127" s="135"/>
      <c r="D127" s="136" t="str">
        <f>IFERROR(INDEX(Riesgos!$A$7:$M$84,MATCH(E127,INDEX(Riesgos!$A$7:$M$84,,MATCH(E$7,Riesgos!$A$6:$M$6,0)),0),MATCH(D$7,Riesgos!$A$6:$M$6,0)),"")</f>
        <v/>
      </c>
      <c r="E127" s="137"/>
      <c r="F127" s="137"/>
      <c r="G127" s="138" t="str">
        <f t="shared" si="2"/>
        <v/>
      </c>
      <c r="H127" s="139"/>
      <c r="I127" s="153" t="str">
        <f>IF(A126=A127,IFERROR(IF(AND(#REF!="Probabilidad",#REF!="Probabilidad"),(#REF!-(+#REF!*#REF!)),IF(#REF!="Probabilidad",(#REF!-(+#REF!*#REF!)),IF(#REF!="Impacto",#REF!,""))),""),IFERROR(IF(#REF!="Probabilidad",(#REF!-(+#REF!*#REF!)),IF(#REF!="Impacto",#REF!,"")),""))</f>
        <v/>
      </c>
      <c r="J127" s="154" t="str">
        <f>IFERROR(IF(I127="","",IF(I127&lt;='Listas y tablas'!$L$3,"Muy Baja",IF(I127&lt;='Listas y tablas'!$L$4,"Baja",IF(I127&lt;='Listas y tablas'!$L$5,"Media",IF(I127&lt;='Listas y tablas'!$L$6,"Alta","Muy Alta"))))),"")</f>
        <v/>
      </c>
      <c r="K127" s="155"/>
      <c r="L127" s="156"/>
      <c r="M127" s="150"/>
      <c r="N127" s="151"/>
      <c r="O127" s="151"/>
      <c r="P127" s="152"/>
      <c r="Q127" s="162"/>
      <c r="R127" s="151"/>
      <c r="S127" s="151"/>
      <c r="T127" s="151"/>
      <c r="U127" s="151"/>
      <c r="V127" s="165"/>
      <c r="W127" s="150"/>
      <c r="X127" s="151"/>
      <c r="Y127" s="151"/>
      <c r="Z127" s="151"/>
      <c r="AA127" s="151"/>
      <c r="AB127" s="151"/>
      <c r="AC127" s="163"/>
      <c r="AD127" s="151"/>
      <c r="AE127" s="152"/>
      <c r="AF127" s="173"/>
      <c r="AG127" s="185"/>
      <c r="AH127" s="185"/>
      <c r="AI127" s="186"/>
      <c r="AJ127" s="181"/>
      <c r="AK127" s="181"/>
      <c r="AL127" s="183"/>
      <c r="AM127" s="173"/>
      <c r="AN127" s="187"/>
      <c r="AO127" s="195"/>
      <c r="AP127" s="193"/>
      <c r="AQ127" s="193"/>
      <c r="AR127" s="193"/>
      <c r="AS127" s="193"/>
      <c r="AT127" s="193"/>
      <c r="AU127" s="193"/>
      <c r="AV127" s="194"/>
      <c r="AW127" s="193"/>
      <c r="AX127" s="207"/>
      <c r="AY127" s="208"/>
      <c r="AZ127" s="209"/>
      <c r="BA127" s="209"/>
      <c r="BB127" s="209"/>
      <c r="BC127" s="206"/>
      <c r="BD127" s="206"/>
      <c r="BE127" s="213"/>
      <c r="BF127" s="217"/>
      <c r="BG127" s="209"/>
      <c r="BH127" s="218"/>
      <c r="BI127" s="215"/>
      <c r="BJ127" s="215"/>
      <c r="BK127" s="215"/>
      <c r="BL127" s="215"/>
      <c r="BM127" s="215"/>
      <c r="BN127" s="215"/>
      <c r="BO127" s="216"/>
      <c r="BP127" s="215"/>
      <c r="BQ127" s="228"/>
      <c r="BR127" s="229"/>
      <c r="BS127" s="230"/>
      <c r="BT127" s="230"/>
      <c r="BU127" s="230"/>
      <c r="BV127" s="227"/>
      <c r="BW127" s="227"/>
      <c r="BX127" s="234"/>
      <c r="BY127" s="229"/>
      <c r="BZ127" s="230"/>
      <c r="CA127" s="235"/>
    </row>
    <row r="128" spans="1:79" ht="151.5" customHeight="1">
      <c r="A128" s="134" t="str">
        <f>IFERROR(INDEX(Riesgos!$A$7:$M$84,MATCH(E128,INDEX(Riesgos!$A$7:$M$84,,MATCH(E$7,Riesgos!$A$6:$M$6,0)),0),MATCH(A$7,Riesgos!$A$6:$M$6,0)),"")</f>
        <v/>
      </c>
      <c r="B128" s="135" t="str">
        <f>IFERROR(INDEX(Riesgos!$A$7:$M$84,MATCH(E128,INDEX(Riesgos!$A$7:$M$84,,MATCH(E$7,Riesgos!$A$6:$M$6,0)),0),MATCH(B$7,Riesgos!$A$6:$M$6,0)),"")</f>
        <v/>
      </c>
      <c r="C128" s="135"/>
      <c r="D128" s="136" t="str">
        <f>IFERROR(INDEX(Riesgos!$A$7:$M$84,MATCH(E128,INDEX(Riesgos!$A$7:$M$84,,MATCH(E$7,Riesgos!$A$6:$M$6,0)),0),MATCH(D$7,Riesgos!$A$6:$M$6,0)),"")</f>
        <v/>
      </c>
      <c r="E128" s="137"/>
      <c r="F128" s="137"/>
      <c r="G128" s="138" t="str">
        <f t="shared" si="2"/>
        <v/>
      </c>
      <c r="H128" s="139"/>
      <c r="I128" s="153" t="str">
        <f>IF(A127=A128,IFERROR(IF(AND(#REF!="Probabilidad",#REF!="Probabilidad"),(#REF!-(+#REF!*#REF!)),IF(#REF!="Probabilidad",(#REF!-(+#REF!*#REF!)),IF(#REF!="Impacto",#REF!,""))),""),IFERROR(IF(#REF!="Probabilidad",(#REF!-(+#REF!*#REF!)),IF(#REF!="Impacto",#REF!,"")),""))</f>
        <v/>
      </c>
      <c r="J128" s="154" t="str">
        <f>IFERROR(IF(I128="","",IF(I128&lt;='Listas y tablas'!$L$3,"Muy Baja",IF(I128&lt;='Listas y tablas'!$L$4,"Baja",IF(I128&lt;='Listas y tablas'!$L$5,"Media",IF(I128&lt;='Listas y tablas'!$L$6,"Alta","Muy Alta"))))),"")</f>
        <v/>
      </c>
      <c r="K128" s="155"/>
      <c r="L128" s="156"/>
      <c r="M128" s="150"/>
      <c r="N128" s="151"/>
      <c r="O128" s="151"/>
      <c r="P128" s="152"/>
      <c r="Q128" s="162"/>
      <c r="R128" s="151"/>
      <c r="S128" s="151"/>
      <c r="T128" s="151"/>
      <c r="U128" s="151"/>
      <c r="V128" s="165"/>
      <c r="W128" s="150"/>
      <c r="X128" s="151"/>
      <c r="Y128" s="151"/>
      <c r="Z128" s="151"/>
      <c r="AA128" s="151"/>
      <c r="AB128" s="151"/>
      <c r="AC128" s="163"/>
      <c r="AD128" s="151"/>
      <c r="AE128" s="152"/>
      <c r="AF128" s="173"/>
      <c r="AG128" s="185"/>
      <c r="AH128" s="185"/>
      <c r="AI128" s="186"/>
      <c r="AJ128" s="181"/>
      <c r="AK128" s="181"/>
      <c r="AL128" s="183"/>
      <c r="AM128" s="173"/>
      <c r="AN128" s="187"/>
      <c r="AO128" s="195"/>
      <c r="AP128" s="193"/>
      <c r="AQ128" s="193"/>
      <c r="AR128" s="193"/>
      <c r="AS128" s="193"/>
      <c r="AT128" s="193"/>
      <c r="AU128" s="193"/>
      <c r="AV128" s="194"/>
      <c r="AW128" s="193"/>
      <c r="AX128" s="207"/>
      <c r="AY128" s="208"/>
      <c r="AZ128" s="209"/>
      <c r="BA128" s="209"/>
      <c r="BB128" s="209"/>
      <c r="BC128" s="206"/>
      <c r="BD128" s="206"/>
      <c r="BE128" s="213"/>
      <c r="BF128" s="217"/>
      <c r="BG128" s="209"/>
      <c r="BH128" s="218"/>
      <c r="BI128" s="215"/>
      <c r="BJ128" s="215"/>
      <c r="BK128" s="215"/>
      <c r="BL128" s="215"/>
      <c r="BM128" s="215"/>
      <c r="BN128" s="215"/>
      <c r="BO128" s="216"/>
      <c r="BP128" s="215"/>
      <c r="BQ128" s="228"/>
      <c r="BR128" s="229"/>
      <c r="BS128" s="230"/>
      <c r="BT128" s="230"/>
      <c r="BU128" s="230"/>
      <c r="BV128" s="227"/>
      <c r="BW128" s="227"/>
      <c r="BX128" s="234"/>
      <c r="BY128" s="229"/>
      <c r="BZ128" s="230"/>
      <c r="CA128" s="235"/>
    </row>
    <row r="129" spans="1:79" ht="151.5" customHeight="1">
      <c r="A129" s="134" t="str">
        <f>IFERROR(INDEX(Riesgos!$A$7:$M$84,MATCH(E129,INDEX(Riesgos!$A$7:$M$84,,MATCH(E$7,Riesgos!$A$6:$M$6,0)),0),MATCH(A$7,Riesgos!$A$6:$M$6,0)),"")</f>
        <v/>
      </c>
      <c r="B129" s="135" t="str">
        <f>IFERROR(INDEX(Riesgos!$A$7:$M$84,MATCH(E129,INDEX(Riesgos!$A$7:$M$84,,MATCH(E$7,Riesgos!$A$6:$M$6,0)),0),MATCH(B$7,Riesgos!$A$6:$M$6,0)),"")</f>
        <v/>
      </c>
      <c r="C129" s="135"/>
      <c r="D129" s="136" t="str">
        <f>IFERROR(INDEX(Riesgos!$A$7:$M$84,MATCH(E129,INDEX(Riesgos!$A$7:$M$84,,MATCH(E$7,Riesgos!$A$6:$M$6,0)),0),MATCH(D$7,Riesgos!$A$6:$M$6,0)),"")</f>
        <v/>
      </c>
      <c r="E129" s="137"/>
      <c r="F129" s="137"/>
      <c r="G129" s="138" t="str">
        <f t="shared" si="2"/>
        <v/>
      </c>
      <c r="H129" s="139"/>
      <c r="I129" s="153" t="str">
        <f>IF(A128=A129,IFERROR(IF(AND(#REF!="Probabilidad",#REF!="Probabilidad"),(#REF!-(+#REF!*#REF!)),IF(#REF!="Probabilidad",(#REF!-(+#REF!*#REF!)),IF(#REF!="Impacto",#REF!,""))),""),IFERROR(IF(#REF!="Probabilidad",(#REF!-(+#REF!*#REF!)),IF(#REF!="Impacto",#REF!,"")),""))</f>
        <v/>
      </c>
      <c r="J129" s="154" t="str">
        <f>IFERROR(IF(I129="","",IF(I129&lt;='Listas y tablas'!$L$3,"Muy Baja",IF(I129&lt;='Listas y tablas'!$L$4,"Baja",IF(I129&lt;='Listas y tablas'!$L$5,"Media",IF(I129&lt;='Listas y tablas'!$L$6,"Alta","Muy Alta"))))),"")</f>
        <v/>
      </c>
      <c r="K129" s="155"/>
      <c r="L129" s="156"/>
      <c r="M129" s="150"/>
      <c r="N129" s="151"/>
      <c r="O129" s="151"/>
      <c r="P129" s="152"/>
      <c r="Q129" s="162"/>
      <c r="R129" s="151"/>
      <c r="S129" s="151"/>
      <c r="T129" s="151"/>
      <c r="U129" s="151"/>
      <c r="V129" s="165"/>
      <c r="W129" s="150"/>
      <c r="X129" s="151"/>
      <c r="Y129" s="151"/>
      <c r="Z129" s="151"/>
      <c r="AA129" s="151"/>
      <c r="AB129" s="151"/>
      <c r="AC129" s="163"/>
      <c r="AD129" s="151"/>
      <c r="AE129" s="152"/>
      <c r="AF129" s="173"/>
      <c r="AG129" s="185"/>
      <c r="AH129" s="185"/>
      <c r="AI129" s="186"/>
      <c r="AJ129" s="181"/>
      <c r="AK129" s="181"/>
      <c r="AL129" s="183"/>
      <c r="AM129" s="173"/>
      <c r="AN129" s="187"/>
      <c r="AO129" s="195"/>
      <c r="AP129" s="193"/>
      <c r="AQ129" s="193"/>
      <c r="AR129" s="193"/>
      <c r="AS129" s="193"/>
      <c r="AT129" s="193"/>
      <c r="AU129" s="193"/>
      <c r="AV129" s="194"/>
      <c r="AW129" s="193"/>
      <c r="AX129" s="207"/>
      <c r="AY129" s="208"/>
      <c r="AZ129" s="209"/>
      <c r="BA129" s="209"/>
      <c r="BB129" s="209"/>
      <c r="BC129" s="206"/>
      <c r="BD129" s="206"/>
      <c r="BE129" s="213"/>
      <c r="BF129" s="217"/>
      <c r="BG129" s="209"/>
      <c r="BH129" s="218"/>
      <c r="BI129" s="215"/>
      <c r="BJ129" s="215"/>
      <c r="BK129" s="215"/>
      <c r="BL129" s="215"/>
      <c r="BM129" s="215"/>
      <c r="BN129" s="215"/>
      <c r="BO129" s="216"/>
      <c r="BP129" s="215"/>
      <c r="BQ129" s="228"/>
      <c r="BR129" s="229"/>
      <c r="BS129" s="230"/>
      <c r="BT129" s="230"/>
      <c r="BU129" s="230"/>
      <c r="BV129" s="227"/>
      <c r="BW129" s="227"/>
      <c r="BX129" s="234"/>
      <c r="BY129" s="229"/>
      <c r="BZ129" s="230"/>
      <c r="CA129" s="235"/>
    </row>
    <row r="130" spans="1:79" ht="151.5" customHeight="1">
      <c r="A130" s="134" t="str">
        <f>IFERROR(INDEX(Riesgos!$A$7:$M$84,MATCH(E130,INDEX(Riesgos!$A$7:$M$84,,MATCH(E$7,Riesgos!$A$6:$M$6,0)),0),MATCH(A$7,Riesgos!$A$6:$M$6,0)),"")</f>
        <v/>
      </c>
      <c r="B130" s="135" t="str">
        <f>IFERROR(INDEX(Riesgos!$A$7:$M$84,MATCH(E130,INDEX(Riesgos!$A$7:$M$84,,MATCH(E$7,Riesgos!$A$6:$M$6,0)),0),MATCH(B$7,Riesgos!$A$6:$M$6,0)),"")</f>
        <v/>
      </c>
      <c r="C130" s="135"/>
      <c r="D130" s="136" t="str">
        <f>IFERROR(INDEX(Riesgos!$A$7:$M$84,MATCH(E130,INDEX(Riesgos!$A$7:$M$84,,MATCH(E$7,Riesgos!$A$6:$M$6,0)),0),MATCH(D$7,Riesgos!$A$6:$M$6,0)),"")</f>
        <v/>
      </c>
      <c r="E130" s="137"/>
      <c r="F130" s="137"/>
      <c r="G130" s="138" t="str">
        <f t="shared" ref="G130:G193" si="3">IF(ISTEXT(E130),1+G129,"")</f>
        <v/>
      </c>
      <c r="H130" s="139"/>
      <c r="I130" s="153" t="str">
        <f>IF(A129=A130,IFERROR(IF(AND(#REF!="Probabilidad",#REF!="Probabilidad"),(#REF!-(+#REF!*#REF!)),IF(#REF!="Probabilidad",(#REF!-(+#REF!*#REF!)),IF(#REF!="Impacto",#REF!,""))),""),IFERROR(IF(#REF!="Probabilidad",(#REF!-(+#REF!*#REF!)),IF(#REF!="Impacto",#REF!,"")),""))</f>
        <v/>
      </c>
      <c r="J130" s="154" t="str">
        <f>IFERROR(IF(I130="","",IF(I130&lt;='Listas y tablas'!$L$3,"Muy Baja",IF(I130&lt;='Listas y tablas'!$L$4,"Baja",IF(I130&lt;='Listas y tablas'!$L$5,"Media",IF(I130&lt;='Listas y tablas'!$L$6,"Alta","Muy Alta"))))),"")</f>
        <v/>
      </c>
      <c r="K130" s="155"/>
      <c r="L130" s="156"/>
      <c r="M130" s="150"/>
      <c r="N130" s="151"/>
      <c r="O130" s="151"/>
      <c r="P130" s="152"/>
      <c r="Q130" s="162"/>
      <c r="R130" s="151"/>
      <c r="S130" s="151"/>
      <c r="T130" s="151"/>
      <c r="U130" s="151"/>
      <c r="V130" s="165"/>
      <c r="W130" s="150"/>
      <c r="X130" s="151"/>
      <c r="Y130" s="151"/>
      <c r="Z130" s="151"/>
      <c r="AA130" s="151"/>
      <c r="AB130" s="151"/>
      <c r="AC130" s="163"/>
      <c r="AD130" s="151"/>
      <c r="AE130" s="152"/>
      <c r="AF130" s="173"/>
      <c r="AG130" s="185"/>
      <c r="AH130" s="185"/>
      <c r="AI130" s="186"/>
      <c r="AJ130" s="181"/>
      <c r="AK130" s="181"/>
      <c r="AL130" s="183"/>
      <c r="AM130" s="173"/>
      <c r="AN130" s="187"/>
      <c r="AO130" s="195"/>
      <c r="AP130" s="193"/>
      <c r="AQ130" s="193"/>
      <c r="AR130" s="193"/>
      <c r="AS130" s="193"/>
      <c r="AT130" s="193"/>
      <c r="AU130" s="193"/>
      <c r="AV130" s="194"/>
      <c r="AW130" s="193"/>
      <c r="AX130" s="207"/>
      <c r="AY130" s="208"/>
      <c r="AZ130" s="209"/>
      <c r="BA130" s="209"/>
      <c r="BB130" s="209"/>
      <c r="BC130" s="206"/>
      <c r="BD130" s="206"/>
      <c r="BE130" s="213"/>
      <c r="BF130" s="217"/>
      <c r="BG130" s="209"/>
      <c r="BH130" s="218"/>
      <c r="BI130" s="215"/>
      <c r="BJ130" s="215"/>
      <c r="BK130" s="215"/>
      <c r="BL130" s="215"/>
      <c r="BM130" s="215"/>
      <c r="BN130" s="215"/>
      <c r="BO130" s="216"/>
      <c r="BP130" s="215"/>
      <c r="BQ130" s="228"/>
      <c r="BR130" s="229"/>
      <c r="BS130" s="230"/>
      <c r="BT130" s="230"/>
      <c r="BU130" s="230"/>
      <c r="BV130" s="227"/>
      <c r="BW130" s="227"/>
      <c r="BX130" s="234"/>
      <c r="BY130" s="229"/>
      <c r="BZ130" s="230"/>
      <c r="CA130" s="235"/>
    </row>
    <row r="131" spans="1:79" ht="151.5" customHeight="1">
      <c r="A131" s="134" t="str">
        <f>IFERROR(INDEX(Riesgos!$A$7:$M$84,MATCH(E131,INDEX(Riesgos!$A$7:$M$84,,MATCH(E$7,Riesgos!$A$6:$M$6,0)),0),MATCH(A$7,Riesgos!$A$6:$M$6,0)),"")</f>
        <v/>
      </c>
      <c r="B131" s="135" t="str">
        <f>IFERROR(INDEX(Riesgos!$A$7:$M$84,MATCH(E131,INDEX(Riesgos!$A$7:$M$84,,MATCH(E$7,Riesgos!$A$6:$M$6,0)),0),MATCH(B$7,Riesgos!$A$6:$M$6,0)),"")</f>
        <v/>
      </c>
      <c r="C131" s="135"/>
      <c r="D131" s="136" t="str">
        <f>IFERROR(INDEX(Riesgos!$A$7:$M$84,MATCH(E131,INDEX(Riesgos!$A$7:$M$84,,MATCH(E$7,Riesgos!$A$6:$M$6,0)),0),MATCH(D$7,Riesgos!$A$6:$M$6,0)),"")</f>
        <v/>
      </c>
      <c r="E131" s="137"/>
      <c r="F131" s="137"/>
      <c r="G131" s="138" t="str">
        <f t="shared" si="3"/>
        <v/>
      </c>
      <c r="H131" s="139"/>
      <c r="I131" s="153" t="str">
        <f>IF(A130=A131,IFERROR(IF(AND(#REF!="Probabilidad",#REF!="Probabilidad"),(#REF!-(+#REF!*#REF!)),IF(#REF!="Probabilidad",(#REF!-(+#REF!*#REF!)),IF(#REF!="Impacto",#REF!,""))),""),IFERROR(IF(#REF!="Probabilidad",(#REF!-(+#REF!*#REF!)),IF(#REF!="Impacto",#REF!,"")),""))</f>
        <v/>
      </c>
      <c r="J131" s="154" t="str">
        <f>IFERROR(IF(I131="","",IF(I131&lt;='Listas y tablas'!$L$3,"Muy Baja",IF(I131&lt;='Listas y tablas'!$L$4,"Baja",IF(I131&lt;='Listas y tablas'!$L$5,"Media",IF(I131&lt;='Listas y tablas'!$L$6,"Alta","Muy Alta"))))),"")</f>
        <v/>
      </c>
      <c r="K131" s="155"/>
      <c r="L131" s="156"/>
      <c r="M131" s="150"/>
      <c r="N131" s="151"/>
      <c r="O131" s="151"/>
      <c r="P131" s="152"/>
      <c r="Q131" s="162"/>
      <c r="R131" s="151"/>
      <c r="S131" s="151"/>
      <c r="T131" s="151"/>
      <c r="U131" s="151"/>
      <c r="V131" s="165"/>
      <c r="W131" s="150"/>
      <c r="X131" s="151"/>
      <c r="Y131" s="151"/>
      <c r="Z131" s="151"/>
      <c r="AA131" s="151"/>
      <c r="AB131" s="151"/>
      <c r="AC131" s="163"/>
      <c r="AD131" s="151"/>
      <c r="AE131" s="152"/>
      <c r="AF131" s="173"/>
      <c r="AG131" s="185"/>
      <c r="AH131" s="185"/>
      <c r="AI131" s="186"/>
      <c r="AJ131" s="181"/>
      <c r="AK131" s="181"/>
      <c r="AL131" s="183"/>
      <c r="AM131" s="173"/>
      <c r="AN131" s="187"/>
      <c r="AO131" s="195"/>
      <c r="AP131" s="193"/>
      <c r="AQ131" s="193"/>
      <c r="AR131" s="193"/>
      <c r="AS131" s="193"/>
      <c r="AT131" s="193"/>
      <c r="AU131" s="193"/>
      <c r="AV131" s="194"/>
      <c r="AW131" s="193"/>
      <c r="AX131" s="207"/>
      <c r="AY131" s="208"/>
      <c r="AZ131" s="209"/>
      <c r="BA131" s="209"/>
      <c r="BB131" s="209"/>
      <c r="BC131" s="206"/>
      <c r="BD131" s="206"/>
      <c r="BE131" s="213"/>
      <c r="BF131" s="217"/>
      <c r="BG131" s="209"/>
      <c r="BH131" s="218"/>
      <c r="BI131" s="215"/>
      <c r="BJ131" s="215"/>
      <c r="BK131" s="215"/>
      <c r="BL131" s="215"/>
      <c r="BM131" s="215"/>
      <c r="BN131" s="215"/>
      <c r="BO131" s="216"/>
      <c r="BP131" s="215"/>
      <c r="BQ131" s="228"/>
      <c r="BR131" s="229"/>
      <c r="BS131" s="230"/>
      <c r="BT131" s="230"/>
      <c r="BU131" s="230"/>
      <c r="BV131" s="227"/>
      <c r="BW131" s="227"/>
      <c r="BX131" s="234"/>
      <c r="BY131" s="229"/>
      <c r="BZ131" s="230"/>
      <c r="CA131" s="235"/>
    </row>
    <row r="132" spans="1:79" ht="151.5" customHeight="1">
      <c r="A132" s="134" t="str">
        <f>IFERROR(INDEX(Riesgos!$A$7:$M$84,MATCH(E132,INDEX(Riesgos!$A$7:$M$84,,MATCH(E$7,Riesgos!$A$6:$M$6,0)),0),MATCH(A$7,Riesgos!$A$6:$M$6,0)),"")</f>
        <v/>
      </c>
      <c r="B132" s="135" t="str">
        <f>IFERROR(INDEX(Riesgos!$A$7:$M$84,MATCH(E132,INDEX(Riesgos!$A$7:$M$84,,MATCH(E$7,Riesgos!$A$6:$M$6,0)),0),MATCH(B$7,Riesgos!$A$6:$M$6,0)),"")</f>
        <v/>
      </c>
      <c r="C132" s="135"/>
      <c r="D132" s="136" t="str">
        <f>IFERROR(INDEX(Riesgos!$A$7:$M$84,MATCH(E132,INDEX(Riesgos!$A$7:$M$84,,MATCH(E$7,Riesgos!$A$6:$M$6,0)),0),MATCH(D$7,Riesgos!$A$6:$M$6,0)),"")</f>
        <v/>
      </c>
      <c r="E132" s="137"/>
      <c r="F132" s="137"/>
      <c r="G132" s="138" t="str">
        <f t="shared" si="3"/>
        <v/>
      </c>
      <c r="H132" s="139"/>
      <c r="I132" s="153" t="str">
        <f>IF(A131=A132,IFERROR(IF(AND(#REF!="Probabilidad",#REF!="Probabilidad"),(#REF!-(+#REF!*#REF!)),IF(#REF!="Probabilidad",(#REF!-(+#REF!*#REF!)),IF(#REF!="Impacto",#REF!,""))),""),IFERROR(IF(#REF!="Probabilidad",(#REF!-(+#REF!*#REF!)),IF(#REF!="Impacto",#REF!,"")),""))</f>
        <v/>
      </c>
      <c r="J132" s="154" t="str">
        <f>IFERROR(IF(I132="","",IF(I132&lt;='Listas y tablas'!$L$3,"Muy Baja",IF(I132&lt;='Listas y tablas'!$L$4,"Baja",IF(I132&lt;='Listas y tablas'!$L$5,"Media",IF(I132&lt;='Listas y tablas'!$L$6,"Alta","Muy Alta"))))),"")</f>
        <v/>
      </c>
      <c r="K132" s="155"/>
      <c r="L132" s="156"/>
      <c r="M132" s="150"/>
      <c r="N132" s="151"/>
      <c r="O132" s="151"/>
      <c r="P132" s="152"/>
      <c r="Q132" s="162"/>
      <c r="R132" s="151"/>
      <c r="S132" s="151"/>
      <c r="T132" s="151"/>
      <c r="U132" s="151"/>
      <c r="V132" s="165"/>
      <c r="W132" s="150"/>
      <c r="X132" s="151"/>
      <c r="Y132" s="151"/>
      <c r="Z132" s="151"/>
      <c r="AA132" s="151"/>
      <c r="AB132" s="151"/>
      <c r="AC132" s="163"/>
      <c r="AD132" s="151"/>
      <c r="AE132" s="152"/>
      <c r="AF132" s="173"/>
      <c r="AG132" s="185"/>
      <c r="AH132" s="185"/>
      <c r="AI132" s="186"/>
      <c r="AJ132" s="181"/>
      <c r="AK132" s="181"/>
      <c r="AL132" s="183"/>
      <c r="AM132" s="173"/>
      <c r="AN132" s="187"/>
      <c r="AO132" s="195"/>
      <c r="AP132" s="193"/>
      <c r="AQ132" s="193"/>
      <c r="AR132" s="193"/>
      <c r="AS132" s="193"/>
      <c r="AT132" s="193"/>
      <c r="AU132" s="193"/>
      <c r="AV132" s="194"/>
      <c r="AW132" s="193"/>
      <c r="AX132" s="207"/>
      <c r="AY132" s="208"/>
      <c r="AZ132" s="209"/>
      <c r="BA132" s="209"/>
      <c r="BB132" s="209"/>
      <c r="BC132" s="206"/>
      <c r="BD132" s="206"/>
      <c r="BE132" s="213"/>
      <c r="BF132" s="217"/>
      <c r="BG132" s="209"/>
      <c r="BH132" s="218"/>
      <c r="BI132" s="215"/>
      <c r="BJ132" s="215"/>
      <c r="BK132" s="215"/>
      <c r="BL132" s="215"/>
      <c r="BM132" s="215"/>
      <c r="BN132" s="215"/>
      <c r="BO132" s="216"/>
      <c r="BP132" s="215"/>
      <c r="BQ132" s="228"/>
      <c r="BR132" s="229"/>
      <c r="BS132" s="230"/>
      <c r="BT132" s="230"/>
      <c r="BU132" s="230"/>
      <c r="BV132" s="227"/>
      <c r="BW132" s="227"/>
      <c r="BX132" s="234"/>
      <c r="BY132" s="229"/>
      <c r="BZ132" s="230"/>
      <c r="CA132" s="235"/>
    </row>
    <row r="133" spans="1:79" ht="151.5" customHeight="1">
      <c r="A133" s="134" t="str">
        <f>IFERROR(INDEX(Riesgos!$A$7:$M$84,MATCH(E133,INDEX(Riesgos!$A$7:$M$84,,MATCH(E$7,Riesgos!$A$6:$M$6,0)),0),MATCH(A$7,Riesgos!$A$6:$M$6,0)),"")</f>
        <v/>
      </c>
      <c r="B133" s="135" t="str">
        <f>IFERROR(INDEX(Riesgos!$A$7:$M$84,MATCH(E133,INDEX(Riesgos!$A$7:$M$84,,MATCH(E$7,Riesgos!$A$6:$M$6,0)),0),MATCH(B$7,Riesgos!$A$6:$M$6,0)),"")</f>
        <v/>
      </c>
      <c r="C133" s="135"/>
      <c r="D133" s="136" t="str">
        <f>IFERROR(INDEX(Riesgos!$A$7:$M$84,MATCH(E133,INDEX(Riesgos!$A$7:$M$84,,MATCH(E$7,Riesgos!$A$6:$M$6,0)),0),MATCH(D$7,Riesgos!$A$6:$M$6,0)),"")</f>
        <v/>
      </c>
      <c r="E133" s="137"/>
      <c r="F133" s="137"/>
      <c r="G133" s="138" t="str">
        <f t="shared" si="3"/>
        <v/>
      </c>
      <c r="H133" s="139"/>
      <c r="I133" s="153" t="str">
        <f>IF(A132=A133,IFERROR(IF(AND(#REF!="Probabilidad",#REF!="Probabilidad"),(#REF!-(+#REF!*#REF!)),IF(#REF!="Probabilidad",(#REF!-(+#REF!*#REF!)),IF(#REF!="Impacto",#REF!,""))),""),IFERROR(IF(#REF!="Probabilidad",(#REF!-(+#REF!*#REF!)),IF(#REF!="Impacto",#REF!,"")),""))</f>
        <v/>
      </c>
      <c r="J133" s="154" t="str">
        <f>IFERROR(IF(I133="","",IF(I133&lt;='Listas y tablas'!$L$3,"Muy Baja",IF(I133&lt;='Listas y tablas'!$L$4,"Baja",IF(I133&lt;='Listas y tablas'!$L$5,"Media",IF(I133&lt;='Listas y tablas'!$L$6,"Alta","Muy Alta"))))),"")</f>
        <v/>
      </c>
      <c r="K133" s="155"/>
      <c r="L133" s="156"/>
      <c r="M133" s="150"/>
      <c r="N133" s="151"/>
      <c r="O133" s="151"/>
      <c r="P133" s="152"/>
      <c r="Q133" s="162"/>
      <c r="R133" s="151"/>
      <c r="S133" s="151"/>
      <c r="T133" s="151"/>
      <c r="U133" s="151"/>
      <c r="V133" s="165"/>
      <c r="W133" s="150"/>
      <c r="X133" s="151"/>
      <c r="Y133" s="151"/>
      <c r="Z133" s="151"/>
      <c r="AA133" s="151"/>
      <c r="AB133" s="151"/>
      <c r="AC133" s="163"/>
      <c r="AD133" s="151"/>
      <c r="AE133" s="152"/>
      <c r="AF133" s="173"/>
      <c r="AG133" s="185"/>
      <c r="AH133" s="185"/>
      <c r="AI133" s="186"/>
      <c r="AJ133" s="181"/>
      <c r="AK133" s="181"/>
      <c r="AL133" s="183"/>
      <c r="AM133" s="173"/>
      <c r="AN133" s="187"/>
      <c r="AO133" s="195"/>
      <c r="AP133" s="193"/>
      <c r="AQ133" s="193"/>
      <c r="AR133" s="193"/>
      <c r="AS133" s="193"/>
      <c r="AT133" s="193"/>
      <c r="AU133" s="193"/>
      <c r="AV133" s="194"/>
      <c r="AW133" s="193"/>
      <c r="AX133" s="207"/>
      <c r="AY133" s="208"/>
      <c r="AZ133" s="209"/>
      <c r="BA133" s="209"/>
      <c r="BB133" s="209"/>
      <c r="BC133" s="206"/>
      <c r="BD133" s="206"/>
      <c r="BE133" s="213"/>
      <c r="BF133" s="217"/>
      <c r="BG133" s="209"/>
      <c r="BH133" s="218"/>
      <c r="BI133" s="215"/>
      <c r="BJ133" s="215"/>
      <c r="BK133" s="215"/>
      <c r="BL133" s="215"/>
      <c r="BM133" s="215"/>
      <c r="BN133" s="215"/>
      <c r="BO133" s="216"/>
      <c r="BP133" s="215"/>
      <c r="BQ133" s="228"/>
      <c r="BR133" s="229"/>
      <c r="BS133" s="230"/>
      <c r="BT133" s="230"/>
      <c r="BU133" s="230"/>
      <c r="BV133" s="227"/>
      <c r="BW133" s="227"/>
      <c r="BX133" s="234"/>
      <c r="BY133" s="229"/>
      <c r="BZ133" s="230"/>
      <c r="CA133" s="235"/>
    </row>
    <row r="134" spans="1:79" ht="151.5" customHeight="1">
      <c r="A134" s="134" t="str">
        <f>IFERROR(INDEX(Riesgos!$A$7:$M$84,MATCH(E134,INDEX(Riesgos!$A$7:$M$84,,MATCH(E$7,Riesgos!$A$6:$M$6,0)),0),MATCH(A$7,Riesgos!$A$6:$M$6,0)),"")</f>
        <v/>
      </c>
      <c r="B134" s="135" t="str">
        <f>IFERROR(INDEX(Riesgos!$A$7:$M$84,MATCH(E134,INDEX(Riesgos!$A$7:$M$84,,MATCH(E$7,Riesgos!$A$6:$M$6,0)),0),MATCH(B$7,Riesgos!$A$6:$M$6,0)),"")</f>
        <v/>
      </c>
      <c r="C134" s="135"/>
      <c r="D134" s="136" t="str">
        <f>IFERROR(INDEX(Riesgos!$A$7:$M$84,MATCH(E134,INDEX(Riesgos!$A$7:$M$84,,MATCH(E$7,Riesgos!$A$6:$M$6,0)),0),MATCH(D$7,Riesgos!$A$6:$M$6,0)),"")</f>
        <v/>
      </c>
      <c r="E134" s="137"/>
      <c r="F134" s="137"/>
      <c r="G134" s="138" t="str">
        <f t="shared" si="3"/>
        <v/>
      </c>
      <c r="H134" s="139"/>
      <c r="I134" s="153" t="str">
        <f>IF(A133=A134,IFERROR(IF(AND(#REF!="Probabilidad",#REF!="Probabilidad"),(#REF!-(+#REF!*#REF!)),IF(#REF!="Probabilidad",(#REF!-(+#REF!*#REF!)),IF(#REF!="Impacto",#REF!,""))),""),IFERROR(IF(#REF!="Probabilidad",(#REF!-(+#REF!*#REF!)),IF(#REF!="Impacto",#REF!,"")),""))</f>
        <v/>
      </c>
      <c r="J134" s="154" t="str">
        <f>IFERROR(IF(I134="","",IF(I134&lt;='Listas y tablas'!$L$3,"Muy Baja",IF(I134&lt;='Listas y tablas'!$L$4,"Baja",IF(I134&lt;='Listas y tablas'!$L$5,"Media",IF(I134&lt;='Listas y tablas'!$L$6,"Alta","Muy Alta"))))),"")</f>
        <v/>
      </c>
      <c r="K134" s="155"/>
      <c r="L134" s="156"/>
      <c r="M134" s="150"/>
      <c r="N134" s="151"/>
      <c r="O134" s="151"/>
      <c r="P134" s="152"/>
      <c r="Q134" s="162"/>
      <c r="R134" s="151"/>
      <c r="S134" s="151"/>
      <c r="T134" s="151"/>
      <c r="U134" s="151"/>
      <c r="V134" s="165"/>
      <c r="W134" s="150"/>
      <c r="X134" s="151"/>
      <c r="Y134" s="151"/>
      <c r="Z134" s="151"/>
      <c r="AA134" s="151"/>
      <c r="AB134" s="151"/>
      <c r="AC134" s="163"/>
      <c r="AD134" s="151"/>
      <c r="AE134" s="152"/>
      <c r="AF134" s="173"/>
      <c r="AG134" s="185"/>
      <c r="AH134" s="185"/>
      <c r="AI134" s="186"/>
      <c r="AJ134" s="181"/>
      <c r="AK134" s="181"/>
      <c r="AL134" s="183"/>
      <c r="AM134" s="173"/>
      <c r="AN134" s="187"/>
      <c r="AO134" s="195"/>
      <c r="AP134" s="193"/>
      <c r="AQ134" s="193"/>
      <c r="AR134" s="193"/>
      <c r="AS134" s="193"/>
      <c r="AT134" s="193"/>
      <c r="AU134" s="193"/>
      <c r="AV134" s="194"/>
      <c r="AW134" s="193"/>
      <c r="AX134" s="207"/>
      <c r="AY134" s="208"/>
      <c r="AZ134" s="209"/>
      <c r="BA134" s="209"/>
      <c r="BB134" s="209"/>
      <c r="BC134" s="206"/>
      <c r="BD134" s="206"/>
      <c r="BE134" s="213"/>
      <c r="BF134" s="217"/>
      <c r="BG134" s="209"/>
      <c r="BH134" s="218"/>
      <c r="BI134" s="215"/>
      <c r="BJ134" s="215"/>
      <c r="BK134" s="215"/>
      <c r="BL134" s="215"/>
      <c r="BM134" s="215"/>
      <c r="BN134" s="215"/>
      <c r="BO134" s="216"/>
      <c r="BP134" s="215"/>
      <c r="BQ134" s="228"/>
      <c r="BR134" s="229"/>
      <c r="BS134" s="230"/>
      <c r="BT134" s="230"/>
      <c r="BU134" s="230"/>
      <c r="BV134" s="227"/>
      <c r="BW134" s="227"/>
      <c r="BX134" s="234"/>
      <c r="BY134" s="229"/>
      <c r="BZ134" s="230"/>
      <c r="CA134" s="235"/>
    </row>
    <row r="135" spans="1:79" ht="151.5" customHeight="1">
      <c r="A135" s="134" t="str">
        <f>IFERROR(INDEX(Riesgos!$A$7:$M$84,MATCH(E135,INDEX(Riesgos!$A$7:$M$84,,MATCH(E$7,Riesgos!$A$6:$M$6,0)),0),MATCH(A$7,Riesgos!$A$6:$M$6,0)),"")</f>
        <v/>
      </c>
      <c r="B135" s="135" t="str">
        <f>IFERROR(INDEX(Riesgos!$A$7:$M$84,MATCH(E135,INDEX(Riesgos!$A$7:$M$84,,MATCH(E$7,Riesgos!$A$6:$M$6,0)),0),MATCH(B$7,Riesgos!$A$6:$M$6,0)),"")</f>
        <v/>
      </c>
      <c r="C135" s="135"/>
      <c r="D135" s="136" t="str">
        <f>IFERROR(INDEX(Riesgos!$A$7:$M$84,MATCH(E135,INDEX(Riesgos!$A$7:$M$84,,MATCH(E$7,Riesgos!$A$6:$M$6,0)),0),MATCH(D$7,Riesgos!$A$6:$M$6,0)),"")</f>
        <v/>
      </c>
      <c r="E135" s="137"/>
      <c r="F135" s="137"/>
      <c r="G135" s="138" t="str">
        <f t="shared" si="3"/>
        <v/>
      </c>
      <c r="H135" s="139"/>
      <c r="I135" s="153" t="str">
        <f>IF(A134=A135,IFERROR(IF(AND(#REF!="Probabilidad",#REF!="Probabilidad"),(#REF!-(+#REF!*#REF!)),IF(#REF!="Probabilidad",(#REF!-(+#REF!*#REF!)),IF(#REF!="Impacto",#REF!,""))),""),IFERROR(IF(#REF!="Probabilidad",(#REF!-(+#REF!*#REF!)),IF(#REF!="Impacto",#REF!,"")),""))</f>
        <v/>
      </c>
      <c r="J135" s="154" t="str">
        <f>IFERROR(IF(I135="","",IF(I135&lt;='Listas y tablas'!$L$3,"Muy Baja",IF(I135&lt;='Listas y tablas'!$L$4,"Baja",IF(I135&lt;='Listas y tablas'!$L$5,"Media",IF(I135&lt;='Listas y tablas'!$L$6,"Alta","Muy Alta"))))),"")</f>
        <v/>
      </c>
      <c r="K135" s="155"/>
      <c r="L135" s="156"/>
      <c r="M135" s="150"/>
      <c r="N135" s="151"/>
      <c r="O135" s="151"/>
      <c r="P135" s="152"/>
      <c r="Q135" s="162"/>
      <c r="R135" s="151"/>
      <c r="S135" s="151"/>
      <c r="T135" s="151"/>
      <c r="U135" s="151"/>
      <c r="V135" s="165"/>
      <c r="W135" s="150"/>
      <c r="X135" s="151"/>
      <c r="Y135" s="151"/>
      <c r="Z135" s="151"/>
      <c r="AA135" s="151"/>
      <c r="AB135" s="151"/>
      <c r="AC135" s="163"/>
      <c r="AD135" s="151"/>
      <c r="AE135" s="152"/>
      <c r="AF135" s="173"/>
      <c r="AG135" s="185"/>
      <c r="AH135" s="185"/>
      <c r="AI135" s="186"/>
      <c r="AJ135" s="181"/>
      <c r="AK135" s="181"/>
      <c r="AL135" s="183"/>
      <c r="AM135" s="173"/>
      <c r="AN135" s="187"/>
      <c r="AO135" s="195"/>
      <c r="AP135" s="193"/>
      <c r="AQ135" s="193"/>
      <c r="AR135" s="193"/>
      <c r="AS135" s="193"/>
      <c r="AT135" s="193"/>
      <c r="AU135" s="193"/>
      <c r="AV135" s="194"/>
      <c r="AW135" s="193"/>
      <c r="AX135" s="207"/>
      <c r="AY135" s="208"/>
      <c r="AZ135" s="209"/>
      <c r="BA135" s="209"/>
      <c r="BB135" s="209"/>
      <c r="BC135" s="206"/>
      <c r="BD135" s="206"/>
      <c r="BE135" s="213"/>
      <c r="BF135" s="217"/>
      <c r="BG135" s="209"/>
      <c r="BH135" s="218"/>
      <c r="BI135" s="215"/>
      <c r="BJ135" s="215"/>
      <c r="BK135" s="215"/>
      <c r="BL135" s="215"/>
      <c r="BM135" s="215"/>
      <c r="BN135" s="215"/>
      <c r="BO135" s="216"/>
      <c r="BP135" s="215"/>
      <c r="BQ135" s="228"/>
      <c r="BR135" s="229"/>
      <c r="BS135" s="230"/>
      <c r="BT135" s="230"/>
      <c r="BU135" s="230"/>
      <c r="BV135" s="227"/>
      <c r="BW135" s="227"/>
      <c r="BX135" s="234"/>
      <c r="BY135" s="229"/>
      <c r="BZ135" s="230"/>
      <c r="CA135" s="235"/>
    </row>
    <row r="136" spans="1:79" ht="151.5" customHeight="1">
      <c r="A136" s="134" t="str">
        <f>IFERROR(INDEX(Riesgos!$A$7:$M$84,MATCH(E136,INDEX(Riesgos!$A$7:$M$84,,MATCH(E$7,Riesgos!$A$6:$M$6,0)),0),MATCH(A$7,Riesgos!$A$6:$M$6,0)),"")</f>
        <v/>
      </c>
      <c r="B136" s="135" t="str">
        <f>IFERROR(INDEX(Riesgos!$A$7:$M$84,MATCH(E136,INDEX(Riesgos!$A$7:$M$84,,MATCH(E$7,Riesgos!$A$6:$M$6,0)),0),MATCH(B$7,Riesgos!$A$6:$M$6,0)),"")</f>
        <v/>
      </c>
      <c r="C136" s="135"/>
      <c r="D136" s="136" t="str">
        <f>IFERROR(INDEX(Riesgos!$A$7:$M$84,MATCH(E136,INDEX(Riesgos!$A$7:$M$84,,MATCH(E$7,Riesgos!$A$6:$M$6,0)),0),MATCH(D$7,Riesgos!$A$6:$M$6,0)),"")</f>
        <v/>
      </c>
      <c r="E136" s="137"/>
      <c r="F136" s="137"/>
      <c r="G136" s="138" t="str">
        <f t="shared" si="3"/>
        <v/>
      </c>
      <c r="H136" s="139"/>
      <c r="I136" s="153" t="str">
        <f>IF(A135=A136,IFERROR(IF(AND(#REF!="Probabilidad",#REF!="Probabilidad"),(#REF!-(+#REF!*#REF!)),IF(#REF!="Probabilidad",(#REF!-(+#REF!*#REF!)),IF(#REF!="Impacto",#REF!,""))),""),IFERROR(IF(#REF!="Probabilidad",(#REF!-(+#REF!*#REF!)),IF(#REF!="Impacto",#REF!,"")),""))</f>
        <v/>
      </c>
      <c r="J136" s="154" t="str">
        <f>IFERROR(IF(I136="","",IF(I136&lt;='Listas y tablas'!$L$3,"Muy Baja",IF(I136&lt;='Listas y tablas'!$L$4,"Baja",IF(I136&lt;='Listas y tablas'!$L$5,"Media",IF(I136&lt;='Listas y tablas'!$L$6,"Alta","Muy Alta"))))),"")</f>
        <v/>
      </c>
      <c r="K136" s="155"/>
      <c r="L136" s="156"/>
      <c r="M136" s="150"/>
      <c r="N136" s="151"/>
      <c r="O136" s="151"/>
      <c r="P136" s="152"/>
      <c r="Q136" s="162"/>
      <c r="R136" s="151"/>
      <c r="S136" s="151"/>
      <c r="T136" s="151"/>
      <c r="U136" s="151"/>
      <c r="V136" s="165"/>
      <c r="W136" s="150"/>
      <c r="X136" s="151"/>
      <c r="Y136" s="151"/>
      <c r="Z136" s="151"/>
      <c r="AA136" s="151"/>
      <c r="AB136" s="151"/>
      <c r="AC136" s="163"/>
      <c r="AD136" s="151"/>
      <c r="AE136" s="152"/>
      <c r="AF136" s="173"/>
      <c r="AG136" s="185"/>
      <c r="AH136" s="185"/>
      <c r="AI136" s="186"/>
      <c r="AJ136" s="181"/>
      <c r="AK136" s="181"/>
      <c r="AL136" s="183"/>
      <c r="AM136" s="173"/>
      <c r="AN136" s="187"/>
      <c r="AO136" s="195"/>
      <c r="AP136" s="193"/>
      <c r="AQ136" s="193"/>
      <c r="AR136" s="193"/>
      <c r="AS136" s="193"/>
      <c r="AT136" s="193"/>
      <c r="AU136" s="193"/>
      <c r="AV136" s="194"/>
      <c r="AW136" s="193"/>
      <c r="AX136" s="207"/>
      <c r="AY136" s="208"/>
      <c r="AZ136" s="209"/>
      <c r="BA136" s="209"/>
      <c r="BB136" s="209"/>
      <c r="BC136" s="206"/>
      <c r="BD136" s="206"/>
      <c r="BE136" s="213"/>
      <c r="BF136" s="217"/>
      <c r="BG136" s="209"/>
      <c r="BH136" s="218"/>
      <c r="BI136" s="215"/>
      <c r="BJ136" s="215"/>
      <c r="BK136" s="215"/>
      <c r="BL136" s="215"/>
      <c r="BM136" s="215"/>
      <c r="BN136" s="215"/>
      <c r="BO136" s="216"/>
      <c r="BP136" s="215"/>
      <c r="BQ136" s="228"/>
      <c r="BR136" s="229"/>
      <c r="BS136" s="230"/>
      <c r="BT136" s="230"/>
      <c r="BU136" s="230"/>
      <c r="BV136" s="227"/>
      <c r="BW136" s="227"/>
      <c r="BX136" s="234"/>
      <c r="BY136" s="229"/>
      <c r="BZ136" s="230"/>
      <c r="CA136" s="235"/>
    </row>
    <row r="137" spans="1:79" ht="151.5" customHeight="1">
      <c r="A137" s="134" t="str">
        <f>IFERROR(INDEX(Riesgos!$A$7:$M$84,MATCH(E137,INDEX(Riesgos!$A$7:$M$84,,MATCH(E$7,Riesgos!$A$6:$M$6,0)),0),MATCH(A$7,Riesgos!$A$6:$M$6,0)),"")</f>
        <v/>
      </c>
      <c r="B137" s="135" t="str">
        <f>IFERROR(INDEX(Riesgos!$A$7:$M$84,MATCH(E137,INDEX(Riesgos!$A$7:$M$84,,MATCH(E$7,Riesgos!$A$6:$M$6,0)),0),MATCH(B$7,Riesgos!$A$6:$M$6,0)),"")</f>
        <v/>
      </c>
      <c r="C137" s="135"/>
      <c r="D137" s="136" t="str">
        <f>IFERROR(INDEX(Riesgos!$A$7:$M$84,MATCH(E137,INDEX(Riesgos!$A$7:$M$84,,MATCH(E$7,Riesgos!$A$6:$M$6,0)),0),MATCH(D$7,Riesgos!$A$6:$M$6,0)),"")</f>
        <v/>
      </c>
      <c r="E137" s="137"/>
      <c r="F137" s="137"/>
      <c r="G137" s="138" t="str">
        <f t="shared" si="3"/>
        <v/>
      </c>
      <c r="H137" s="139"/>
      <c r="I137" s="153" t="str">
        <f>IF(A136=A137,IFERROR(IF(AND(#REF!="Probabilidad",#REF!="Probabilidad"),(#REF!-(+#REF!*#REF!)),IF(#REF!="Probabilidad",(#REF!-(+#REF!*#REF!)),IF(#REF!="Impacto",#REF!,""))),""),IFERROR(IF(#REF!="Probabilidad",(#REF!-(+#REF!*#REF!)),IF(#REF!="Impacto",#REF!,"")),""))</f>
        <v/>
      </c>
      <c r="J137" s="154" t="str">
        <f>IFERROR(IF(I137="","",IF(I137&lt;='Listas y tablas'!$L$3,"Muy Baja",IF(I137&lt;='Listas y tablas'!$L$4,"Baja",IF(I137&lt;='Listas y tablas'!$L$5,"Media",IF(I137&lt;='Listas y tablas'!$L$6,"Alta","Muy Alta"))))),"")</f>
        <v/>
      </c>
      <c r="K137" s="155"/>
      <c r="L137" s="156"/>
      <c r="M137" s="150"/>
      <c r="N137" s="151"/>
      <c r="O137" s="151"/>
      <c r="P137" s="152"/>
      <c r="Q137" s="162"/>
      <c r="R137" s="151"/>
      <c r="S137" s="151"/>
      <c r="T137" s="151"/>
      <c r="U137" s="151"/>
      <c r="V137" s="165"/>
      <c r="W137" s="150"/>
      <c r="X137" s="151"/>
      <c r="Y137" s="151"/>
      <c r="Z137" s="151"/>
      <c r="AA137" s="151"/>
      <c r="AB137" s="151"/>
      <c r="AC137" s="163"/>
      <c r="AD137" s="151"/>
      <c r="AE137" s="152"/>
      <c r="AF137" s="173"/>
      <c r="AG137" s="185"/>
      <c r="AH137" s="185"/>
      <c r="AI137" s="186"/>
      <c r="AJ137" s="181"/>
      <c r="AK137" s="181"/>
      <c r="AL137" s="183"/>
      <c r="AM137" s="173"/>
      <c r="AN137" s="187"/>
      <c r="AO137" s="195"/>
      <c r="AP137" s="193"/>
      <c r="AQ137" s="193"/>
      <c r="AR137" s="193"/>
      <c r="AS137" s="193"/>
      <c r="AT137" s="193"/>
      <c r="AU137" s="193"/>
      <c r="AV137" s="194"/>
      <c r="AW137" s="193"/>
      <c r="AX137" s="207"/>
      <c r="AY137" s="208"/>
      <c r="AZ137" s="209"/>
      <c r="BA137" s="209"/>
      <c r="BB137" s="209"/>
      <c r="BC137" s="206"/>
      <c r="BD137" s="206"/>
      <c r="BE137" s="213"/>
      <c r="BF137" s="217"/>
      <c r="BG137" s="209"/>
      <c r="BH137" s="218"/>
      <c r="BI137" s="215"/>
      <c r="BJ137" s="215"/>
      <c r="BK137" s="215"/>
      <c r="BL137" s="215"/>
      <c r="BM137" s="215"/>
      <c r="BN137" s="215"/>
      <c r="BO137" s="216"/>
      <c r="BP137" s="215"/>
      <c r="BQ137" s="228"/>
      <c r="BR137" s="229"/>
      <c r="BS137" s="230"/>
      <c r="BT137" s="230"/>
      <c r="BU137" s="230"/>
      <c r="BV137" s="227"/>
      <c r="BW137" s="227"/>
      <c r="BX137" s="234"/>
      <c r="BY137" s="229"/>
      <c r="BZ137" s="230"/>
      <c r="CA137" s="235"/>
    </row>
    <row r="138" spans="1:79" ht="151.5" customHeight="1">
      <c r="A138" s="134" t="str">
        <f>IFERROR(INDEX(Riesgos!$A$7:$M$84,MATCH(E138,INDEX(Riesgos!$A$7:$M$84,,MATCH(E$7,Riesgos!$A$6:$M$6,0)),0),MATCH(A$7,Riesgos!$A$6:$M$6,0)),"")</f>
        <v/>
      </c>
      <c r="B138" s="135" t="str">
        <f>IFERROR(INDEX(Riesgos!$A$7:$M$84,MATCH(E138,INDEX(Riesgos!$A$7:$M$84,,MATCH(E$7,Riesgos!$A$6:$M$6,0)),0),MATCH(B$7,Riesgos!$A$6:$M$6,0)),"")</f>
        <v/>
      </c>
      <c r="C138" s="135"/>
      <c r="D138" s="136" t="str">
        <f>IFERROR(INDEX(Riesgos!$A$7:$M$84,MATCH(E138,INDEX(Riesgos!$A$7:$M$84,,MATCH(E$7,Riesgos!$A$6:$M$6,0)),0),MATCH(D$7,Riesgos!$A$6:$M$6,0)),"")</f>
        <v/>
      </c>
      <c r="E138" s="137"/>
      <c r="F138" s="137"/>
      <c r="G138" s="138" t="str">
        <f t="shared" si="3"/>
        <v/>
      </c>
      <c r="H138" s="139"/>
      <c r="I138" s="153" t="str">
        <f>IF(A137=A138,IFERROR(IF(AND(#REF!="Probabilidad",#REF!="Probabilidad"),(#REF!-(+#REF!*#REF!)),IF(#REF!="Probabilidad",(#REF!-(+#REF!*#REF!)),IF(#REF!="Impacto",#REF!,""))),""),IFERROR(IF(#REF!="Probabilidad",(#REF!-(+#REF!*#REF!)),IF(#REF!="Impacto",#REF!,"")),""))</f>
        <v/>
      </c>
      <c r="J138" s="154" t="str">
        <f>IFERROR(IF(I138="","",IF(I138&lt;='Listas y tablas'!$L$3,"Muy Baja",IF(I138&lt;='Listas y tablas'!$L$4,"Baja",IF(I138&lt;='Listas y tablas'!$L$5,"Media",IF(I138&lt;='Listas y tablas'!$L$6,"Alta","Muy Alta"))))),"")</f>
        <v/>
      </c>
      <c r="K138" s="155"/>
      <c r="L138" s="156"/>
      <c r="M138" s="150"/>
      <c r="N138" s="151"/>
      <c r="O138" s="151"/>
      <c r="P138" s="152"/>
      <c r="Q138" s="162"/>
      <c r="R138" s="151"/>
      <c r="S138" s="151"/>
      <c r="T138" s="151"/>
      <c r="U138" s="151"/>
      <c r="V138" s="165"/>
      <c r="W138" s="150"/>
      <c r="X138" s="151"/>
      <c r="Y138" s="151"/>
      <c r="Z138" s="151"/>
      <c r="AA138" s="151"/>
      <c r="AB138" s="151"/>
      <c r="AC138" s="163"/>
      <c r="AD138" s="151"/>
      <c r="AE138" s="152"/>
      <c r="AF138" s="173"/>
      <c r="AG138" s="185"/>
      <c r="AH138" s="185"/>
      <c r="AI138" s="186"/>
      <c r="AJ138" s="181"/>
      <c r="AK138" s="181"/>
      <c r="AL138" s="183"/>
      <c r="AM138" s="173"/>
      <c r="AN138" s="187"/>
      <c r="AO138" s="195"/>
      <c r="AP138" s="193"/>
      <c r="AQ138" s="193"/>
      <c r="AR138" s="193"/>
      <c r="AS138" s="193"/>
      <c r="AT138" s="193"/>
      <c r="AU138" s="193"/>
      <c r="AV138" s="194"/>
      <c r="AW138" s="193"/>
      <c r="AX138" s="207"/>
      <c r="AY138" s="208"/>
      <c r="AZ138" s="209"/>
      <c r="BA138" s="209"/>
      <c r="BB138" s="209"/>
      <c r="BC138" s="206"/>
      <c r="BD138" s="206"/>
      <c r="BE138" s="213"/>
      <c r="BF138" s="217"/>
      <c r="BG138" s="209"/>
      <c r="BH138" s="218"/>
      <c r="BI138" s="215"/>
      <c r="BJ138" s="215"/>
      <c r="BK138" s="215"/>
      <c r="BL138" s="215"/>
      <c r="BM138" s="215"/>
      <c r="BN138" s="215"/>
      <c r="BO138" s="216"/>
      <c r="BP138" s="215"/>
      <c r="BQ138" s="228"/>
      <c r="BR138" s="229"/>
      <c r="BS138" s="230"/>
      <c r="BT138" s="230"/>
      <c r="BU138" s="230"/>
      <c r="BV138" s="227"/>
      <c r="BW138" s="227"/>
      <c r="BX138" s="234"/>
      <c r="BY138" s="229"/>
      <c r="BZ138" s="230"/>
      <c r="CA138" s="235"/>
    </row>
    <row r="139" spans="1:79" ht="151.5" customHeight="1">
      <c r="A139" s="134" t="str">
        <f>IFERROR(INDEX(Riesgos!$A$7:$M$84,MATCH(E139,INDEX(Riesgos!$A$7:$M$84,,MATCH(E$7,Riesgos!$A$6:$M$6,0)),0),MATCH(A$7,Riesgos!$A$6:$M$6,0)),"")</f>
        <v/>
      </c>
      <c r="B139" s="135" t="str">
        <f>IFERROR(INDEX(Riesgos!$A$7:$M$84,MATCH(E139,INDEX(Riesgos!$A$7:$M$84,,MATCH(E$7,Riesgos!$A$6:$M$6,0)),0),MATCH(B$7,Riesgos!$A$6:$M$6,0)),"")</f>
        <v/>
      </c>
      <c r="C139" s="135"/>
      <c r="D139" s="136" t="str">
        <f>IFERROR(INDEX(Riesgos!$A$7:$M$84,MATCH(E139,INDEX(Riesgos!$A$7:$M$84,,MATCH(E$7,Riesgos!$A$6:$M$6,0)),0),MATCH(D$7,Riesgos!$A$6:$M$6,0)),"")</f>
        <v/>
      </c>
      <c r="E139" s="137"/>
      <c r="F139" s="137"/>
      <c r="G139" s="138" t="str">
        <f t="shared" si="3"/>
        <v/>
      </c>
      <c r="H139" s="139"/>
      <c r="I139" s="153" t="str">
        <f>IF(A138=A139,IFERROR(IF(AND(#REF!="Probabilidad",#REF!="Probabilidad"),(#REF!-(+#REF!*#REF!)),IF(#REF!="Probabilidad",(#REF!-(+#REF!*#REF!)),IF(#REF!="Impacto",#REF!,""))),""),IFERROR(IF(#REF!="Probabilidad",(#REF!-(+#REF!*#REF!)),IF(#REF!="Impacto",#REF!,"")),""))</f>
        <v/>
      </c>
      <c r="J139" s="154" t="str">
        <f>IFERROR(IF(I139="","",IF(I139&lt;='Listas y tablas'!$L$3,"Muy Baja",IF(I139&lt;='Listas y tablas'!$L$4,"Baja",IF(I139&lt;='Listas y tablas'!$L$5,"Media",IF(I139&lt;='Listas y tablas'!$L$6,"Alta","Muy Alta"))))),"")</f>
        <v/>
      </c>
      <c r="K139" s="155"/>
      <c r="L139" s="156"/>
      <c r="M139" s="150"/>
      <c r="N139" s="151"/>
      <c r="O139" s="151"/>
      <c r="P139" s="152"/>
      <c r="Q139" s="162"/>
      <c r="R139" s="151"/>
      <c r="S139" s="151"/>
      <c r="T139" s="151"/>
      <c r="U139" s="151"/>
      <c r="V139" s="165"/>
      <c r="W139" s="150"/>
      <c r="X139" s="151"/>
      <c r="Y139" s="151"/>
      <c r="Z139" s="151"/>
      <c r="AA139" s="151"/>
      <c r="AB139" s="151"/>
      <c r="AC139" s="163"/>
      <c r="AD139" s="151"/>
      <c r="AE139" s="152"/>
      <c r="AF139" s="173"/>
      <c r="AG139" s="185"/>
      <c r="AH139" s="185"/>
      <c r="AI139" s="186"/>
      <c r="AJ139" s="181"/>
      <c r="AK139" s="181"/>
      <c r="AL139" s="183"/>
      <c r="AM139" s="173"/>
      <c r="AN139" s="187"/>
      <c r="AO139" s="195"/>
      <c r="AP139" s="193"/>
      <c r="AQ139" s="193"/>
      <c r="AR139" s="193"/>
      <c r="AS139" s="193"/>
      <c r="AT139" s="193"/>
      <c r="AU139" s="193"/>
      <c r="AV139" s="194"/>
      <c r="AW139" s="193"/>
      <c r="AX139" s="207"/>
      <c r="AY139" s="208"/>
      <c r="AZ139" s="209"/>
      <c r="BA139" s="209"/>
      <c r="BB139" s="209"/>
      <c r="BC139" s="206"/>
      <c r="BD139" s="206"/>
      <c r="BE139" s="213"/>
      <c r="BF139" s="217"/>
      <c r="BG139" s="209"/>
      <c r="BH139" s="218"/>
      <c r="BI139" s="215"/>
      <c r="BJ139" s="215"/>
      <c r="BK139" s="215"/>
      <c r="BL139" s="215"/>
      <c r="BM139" s="215"/>
      <c r="BN139" s="215"/>
      <c r="BO139" s="216"/>
      <c r="BP139" s="215"/>
      <c r="BQ139" s="228"/>
      <c r="BR139" s="229"/>
      <c r="BS139" s="230"/>
      <c r="BT139" s="230"/>
      <c r="BU139" s="230"/>
      <c r="BV139" s="227"/>
      <c r="BW139" s="227"/>
      <c r="BX139" s="234"/>
      <c r="BY139" s="229"/>
      <c r="BZ139" s="230"/>
      <c r="CA139" s="235"/>
    </row>
    <row r="140" spans="1:79" ht="151.5" customHeight="1">
      <c r="A140" s="134" t="str">
        <f>IFERROR(INDEX(Riesgos!$A$7:$M$84,MATCH(E140,INDEX(Riesgos!$A$7:$M$84,,MATCH(E$7,Riesgos!$A$6:$M$6,0)),0),MATCH(A$7,Riesgos!$A$6:$M$6,0)),"")</f>
        <v/>
      </c>
      <c r="B140" s="135" t="str">
        <f>IFERROR(INDEX(Riesgos!$A$7:$M$84,MATCH(E140,INDEX(Riesgos!$A$7:$M$84,,MATCH(E$7,Riesgos!$A$6:$M$6,0)),0),MATCH(B$7,Riesgos!$A$6:$M$6,0)),"")</f>
        <v/>
      </c>
      <c r="C140" s="135"/>
      <c r="D140" s="136" t="str">
        <f>IFERROR(INDEX(Riesgos!$A$7:$M$84,MATCH(E140,INDEX(Riesgos!$A$7:$M$84,,MATCH(E$7,Riesgos!$A$6:$M$6,0)),0),MATCH(D$7,Riesgos!$A$6:$M$6,0)),"")</f>
        <v/>
      </c>
      <c r="E140" s="137"/>
      <c r="F140" s="137"/>
      <c r="G140" s="138" t="str">
        <f t="shared" si="3"/>
        <v/>
      </c>
      <c r="H140" s="139"/>
      <c r="I140" s="153" t="str">
        <f>IF(A139=A140,IFERROR(IF(AND(#REF!="Probabilidad",#REF!="Probabilidad"),(#REF!-(+#REF!*#REF!)),IF(#REF!="Probabilidad",(#REF!-(+#REF!*#REF!)),IF(#REF!="Impacto",#REF!,""))),""),IFERROR(IF(#REF!="Probabilidad",(#REF!-(+#REF!*#REF!)),IF(#REF!="Impacto",#REF!,"")),""))</f>
        <v/>
      </c>
      <c r="J140" s="154" t="str">
        <f>IFERROR(IF(I140="","",IF(I140&lt;='Listas y tablas'!$L$3,"Muy Baja",IF(I140&lt;='Listas y tablas'!$L$4,"Baja",IF(I140&lt;='Listas y tablas'!$L$5,"Media",IF(I140&lt;='Listas y tablas'!$L$6,"Alta","Muy Alta"))))),"")</f>
        <v/>
      </c>
      <c r="K140" s="155"/>
      <c r="L140" s="156"/>
      <c r="M140" s="150"/>
      <c r="N140" s="151"/>
      <c r="O140" s="151"/>
      <c r="P140" s="152"/>
      <c r="Q140" s="162"/>
      <c r="R140" s="151"/>
      <c r="S140" s="151"/>
      <c r="T140" s="151"/>
      <c r="U140" s="151"/>
      <c r="V140" s="165"/>
      <c r="W140" s="150"/>
      <c r="X140" s="151"/>
      <c r="Y140" s="151"/>
      <c r="Z140" s="151"/>
      <c r="AA140" s="151"/>
      <c r="AB140" s="151"/>
      <c r="AC140" s="163"/>
      <c r="AD140" s="151"/>
      <c r="AE140" s="152"/>
      <c r="AF140" s="173"/>
      <c r="AG140" s="185"/>
      <c r="AH140" s="185"/>
      <c r="AI140" s="186"/>
      <c r="AJ140" s="181"/>
      <c r="AK140" s="181"/>
      <c r="AL140" s="183"/>
      <c r="AM140" s="173"/>
      <c r="AN140" s="187"/>
      <c r="AO140" s="195"/>
      <c r="AP140" s="193"/>
      <c r="AQ140" s="193"/>
      <c r="AR140" s="193"/>
      <c r="AS140" s="193"/>
      <c r="AT140" s="193"/>
      <c r="AU140" s="193"/>
      <c r="AV140" s="194"/>
      <c r="AW140" s="193"/>
      <c r="AX140" s="207"/>
      <c r="AY140" s="208"/>
      <c r="AZ140" s="209"/>
      <c r="BA140" s="209"/>
      <c r="BB140" s="209"/>
      <c r="BC140" s="206"/>
      <c r="BD140" s="206"/>
      <c r="BE140" s="213"/>
      <c r="BF140" s="217"/>
      <c r="BG140" s="209"/>
      <c r="BH140" s="218"/>
      <c r="BI140" s="215"/>
      <c r="BJ140" s="215"/>
      <c r="BK140" s="215"/>
      <c r="BL140" s="215"/>
      <c r="BM140" s="215"/>
      <c r="BN140" s="215"/>
      <c r="BO140" s="216"/>
      <c r="BP140" s="215"/>
      <c r="BQ140" s="228"/>
      <c r="BR140" s="229"/>
      <c r="BS140" s="230"/>
      <c r="BT140" s="230"/>
      <c r="BU140" s="230"/>
      <c r="BV140" s="227"/>
      <c r="BW140" s="227"/>
      <c r="BX140" s="234"/>
      <c r="BY140" s="229"/>
      <c r="BZ140" s="230"/>
      <c r="CA140" s="235"/>
    </row>
    <row r="141" spans="1:79" ht="151.5" customHeight="1">
      <c r="A141" s="134" t="str">
        <f>IFERROR(INDEX(Riesgos!$A$7:$M$84,MATCH(E141,INDEX(Riesgos!$A$7:$M$84,,MATCH(E$7,Riesgos!$A$6:$M$6,0)),0),MATCH(A$7,Riesgos!$A$6:$M$6,0)),"")</f>
        <v/>
      </c>
      <c r="B141" s="135" t="str">
        <f>IFERROR(INDEX(Riesgos!$A$7:$M$84,MATCH(E141,INDEX(Riesgos!$A$7:$M$84,,MATCH(E$7,Riesgos!$A$6:$M$6,0)),0),MATCH(B$7,Riesgos!$A$6:$M$6,0)),"")</f>
        <v/>
      </c>
      <c r="C141" s="135"/>
      <c r="D141" s="136" t="str">
        <f>IFERROR(INDEX(Riesgos!$A$7:$M$84,MATCH(E141,INDEX(Riesgos!$A$7:$M$84,,MATCH(E$7,Riesgos!$A$6:$M$6,0)),0),MATCH(D$7,Riesgos!$A$6:$M$6,0)),"")</f>
        <v/>
      </c>
      <c r="E141" s="137"/>
      <c r="F141" s="137"/>
      <c r="G141" s="138" t="str">
        <f t="shared" si="3"/>
        <v/>
      </c>
      <c r="H141" s="139"/>
      <c r="I141" s="153" t="str">
        <f>IF(A140=A141,IFERROR(IF(AND(#REF!="Probabilidad",#REF!="Probabilidad"),(#REF!-(+#REF!*#REF!)),IF(#REF!="Probabilidad",(#REF!-(+#REF!*#REF!)),IF(#REF!="Impacto",#REF!,""))),""),IFERROR(IF(#REF!="Probabilidad",(#REF!-(+#REF!*#REF!)),IF(#REF!="Impacto",#REF!,"")),""))</f>
        <v/>
      </c>
      <c r="J141" s="154" t="str">
        <f>IFERROR(IF(I141="","",IF(I141&lt;='Listas y tablas'!$L$3,"Muy Baja",IF(I141&lt;='Listas y tablas'!$L$4,"Baja",IF(I141&lt;='Listas y tablas'!$L$5,"Media",IF(I141&lt;='Listas y tablas'!$L$6,"Alta","Muy Alta"))))),"")</f>
        <v/>
      </c>
      <c r="K141" s="155"/>
      <c r="L141" s="156"/>
      <c r="M141" s="150"/>
      <c r="N141" s="151"/>
      <c r="O141" s="151"/>
      <c r="P141" s="152"/>
      <c r="Q141" s="162"/>
      <c r="R141" s="151"/>
      <c r="S141" s="151"/>
      <c r="T141" s="151"/>
      <c r="U141" s="151"/>
      <c r="V141" s="165"/>
      <c r="W141" s="150"/>
      <c r="X141" s="151"/>
      <c r="Y141" s="151"/>
      <c r="Z141" s="151"/>
      <c r="AA141" s="151"/>
      <c r="AB141" s="151"/>
      <c r="AC141" s="163"/>
      <c r="AD141" s="151"/>
      <c r="AE141" s="152"/>
      <c r="AF141" s="173"/>
      <c r="AG141" s="185"/>
      <c r="AH141" s="185"/>
      <c r="AI141" s="186"/>
      <c r="AJ141" s="181"/>
      <c r="AK141" s="181"/>
      <c r="AL141" s="183"/>
      <c r="AM141" s="173"/>
      <c r="AN141" s="187"/>
      <c r="AO141" s="195"/>
      <c r="AP141" s="193"/>
      <c r="AQ141" s="193"/>
      <c r="AR141" s="193"/>
      <c r="AS141" s="193"/>
      <c r="AT141" s="193"/>
      <c r="AU141" s="193"/>
      <c r="AV141" s="194"/>
      <c r="AW141" s="193"/>
      <c r="AX141" s="207"/>
      <c r="AY141" s="208"/>
      <c r="AZ141" s="209"/>
      <c r="BA141" s="209"/>
      <c r="BB141" s="209"/>
      <c r="BC141" s="206"/>
      <c r="BD141" s="206"/>
      <c r="BE141" s="213"/>
      <c r="BF141" s="217"/>
      <c r="BG141" s="209"/>
      <c r="BH141" s="218"/>
      <c r="BI141" s="215"/>
      <c r="BJ141" s="215"/>
      <c r="BK141" s="215"/>
      <c r="BL141" s="215"/>
      <c r="BM141" s="215"/>
      <c r="BN141" s="215"/>
      <c r="BO141" s="216"/>
      <c r="BP141" s="215"/>
      <c r="BQ141" s="228"/>
      <c r="BR141" s="229"/>
      <c r="BS141" s="230"/>
      <c r="BT141" s="230"/>
      <c r="BU141" s="230"/>
      <c r="BV141" s="227"/>
      <c r="BW141" s="227"/>
      <c r="BX141" s="234"/>
      <c r="BY141" s="229"/>
      <c r="BZ141" s="230"/>
      <c r="CA141" s="235"/>
    </row>
    <row r="142" spans="1:79" ht="151.5" customHeight="1">
      <c r="A142" s="134" t="str">
        <f>IFERROR(INDEX(Riesgos!$A$7:$M$84,MATCH(E142,INDEX(Riesgos!$A$7:$M$84,,MATCH(E$7,Riesgos!$A$6:$M$6,0)),0),MATCH(A$7,Riesgos!$A$6:$M$6,0)),"")</f>
        <v/>
      </c>
      <c r="B142" s="135" t="str">
        <f>IFERROR(INDEX(Riesgos!$A$7:$M$84,MATCH(E142,INDEX(Riesgos!$A$7:$M$84,,MATCH(E$7,Riesgos!$A$6:$M$6,0)),0),MATCH(B$7,Riesgos!$A$6:$M$6,0)),"")</f>
        <v/>
      </c>
      <c r="C142" s="135"/>
      <c r="D142" s="136" t="str">
        <f>IFERROR(INDEX(Riesgos!$A$7:$M$84,MATCH(E142,INDEX(Riesgos!$A$7:$M$84,,MATCH(E$7,Riesgos!$A$6:$M$6,0)),0),MATCH(D$7,Riesgos!$A$6:$M$6,0)),"")</f>
        <v/>
      </c>
      <c r="E142" s="137"/>
      <c r="F142" s="137"/>
      <c r="G142" s="138" t="str">
        <f t="shared" si="3"/>
        <v/>
      </c>
      <c r="H142" s="139"/>
      <c r="I142" s="153" t="str">
        <f>IF(A141=A142,IFERROR(IF(AND(#REF!="Probabilidad",#REF!="Probabilidad"),(#REF!-(+#REF!*#REF!)),IF(#REF!="Probabilidad",(#REF!-(+#REF!*#REF!)),IF(#REF!="Impacto",#REF!,""))),""),IFERROR(IF(#REF!="Probabilidad",(#REF!-(+#REF!*#REF!)),IF(#REF!="Impacto",#REF!,"")),""))</f>
        <v/>
      </c>
      <c r="J142" s="154" t="str">
        <f>IFERROR(IF(I142="","",IF(I142&lt;='Listas y tablas'!$L$3,"Muy Baja",IF(I142&lt;='Listas y tablas'!$L$4,"Baja",IF(I142&lt;='Listas y tablas'!$L$5,"Media",IF(I142&lt;='Listas y tablas'!$L$6,"Alta","Muy Alta"))))),"")</f>
        <v/>
      </c>
      <c r="K142" s="155"/>
      <c r="L142" s="156"/>
      <c r="M142" s="150"/>
      <c r="N142" s="151"/>
      <c r="O142" s="151"/>
      <c r="P142" s="152"/>
      <c r="Q142" s="162"/>
      <c r="R142" s="151"/>
      <c r="S142" s="151"/>
      <c r="T142" s="151"/>
      <c r="U142" s="151"/>
      <c r="V142" s="165"/>
      <c r="W142" s="150"/>
      <c r="X142" s="151"/>
      <c r="Y142" s="151"/>
      <c r="Z142" s="151"/>
      <c r="AA142" s="151"/>
      <c r="AB142" s="151"/>
      <c r="AC142" s="163"/>
      <c r="AD142" s="151"/>
      <c r="AE142" s="152"/>
      <c r="AF142" s="173"/>
      <c r="AG142" s="185"/>
      <c r="AH142" s="185"/>
      <c r="AI142" s="186"/>
      <c r="AJ142" s="181"/>
      <c r="AK142" s="181"/>
      <c r="AL142" s="183"/>
      <c r="AM142" s="173"/>
      <c r="AN142" s="187"/>
      <c r="AO142" s="195"/>
      <c r="AP142" s="193"/>
      <c r="AQ142" s="193"/>
      <c r="AR142" s="193"/>
      <c r="AS142" s="193"/>
      <c r="AT142" s="193"/>
      <c r="AU142" s="193"/>
      <c r="AV142" s="194"/>
      <c r="AW142" s="193"/>
      <c r="AX142" s="207"/>
      <c r="AY142" s="208"/>
      <c r="AZ142" s="209"/>
      <c r="BA142" s="209"/>
      <c r="BB142" s="209"/>
      <c r="BC142" s="206"/>
      <c r="BD142" s="206"/>
      <c r="BE142" s="213"/>
      <c r="BF142" s="217"/>
      <c r="BG142" s="209"/>
      <c r="BH142" s="218"/>
      <c r="BI142" s="215"/>
      <c r="BJ142" s="215"/>
      <c r="BK142" s="215"/>
      <c r="BL142" s="215"/>
      <c r="BM142" s="215"/>
      <c r="BN142" s="215"/>
      <c r="BO142" s="216"/>
      <c r="BP142" s="215"/>
      <c r="BQ142" s="228"/>
      <c r="BR142" s="229"/>
      <c r="BS142" s="230"/>
      <c r="BT142" s="230"/>
      <c r="BU142" s="230"/>
      <c r="BV142" s="227"/>
      <c r="BW142" s="227"/>
      <c r="BX142" s="234"/>
      <c r="BY142" s="229"/>
      <c r="BZ142" s="230"/>
      <c r="CA142" s="235"/>
    </row>
    <row r="143" spans="1:79" ht="151.5" customHeight="1">
      <c r="A143" s="134" t="str">
        <f>IFERROR(INDEX(Riesgos!$A$7:$M$84,MATCH(E143,INDEX(Riesgos!$A$7:$M$84,,MATCH(E$7,Riesgos!$A$6:$M$6,0)),0),MATCH(A$7,Riesgos!$A$6:$M$6,0)),"")</f>
        <v/>
      </c>
      <c r="B143" s="135" t="str">
        <f>IFERROR(INDEX(Riesgos!$A$7:$M$84,MATCH(E143,INDEX(Riesgos!$A$7:$M$84,,MATCH(E$7,Riesgos!$A$6:$M$6,0)),0),MATCH(B$7,Riesgos!$A$6:$M$6,0)),"")</f>
        <v/>
      </c>
      <c r="C143" s="135"/>
      <c r="D143" s="136" t="str">
        <f>IFERROR(INDEX(Riesgos!$A$7:$M$84,MATCH(E143,INDEX(Riesgos!$A$7:$M$84,,MATCH(E$7,Riesgos!$A$6:$M$6,0)),0),MATCH(D$7,Riesgos!$A$6:$M$6,0)),"")</f>
        <v/>
      </c>
      <c r="E143" s="137"/>
      <c r="F143" s="137"/>
      <c r="G143" s="138" t="str">
        <f t="shared" si="3"/>
        <v/>
      </c>
      <c r="H143" s="139"/>
      <c r="I143" s="153" t="str">
        <f>IF(A142=A143,IFERROR(IF(AND(#REF!="Probabilidad",#REF!="Probabilidad"),(#REF!-(+#REF!*#REF!)),IF(#REF!="Probabilidad",(#REF!-(+#REF!*#REF!)),IF(#REF!="Impacto",#REF!,""))),""),IFERROR(IF(#REF!="Probabilidad",(#REF!-(+#REF!*#REF!)),IF(#REF!="Impacto",#REF!,"")),""))</f>
        <v/>
      </c>
      <c r="J143" s="154" t="str">
        <f>IFERROR(IF(I143="","",IF(I143&lt;='Listas y tablas'!$L$3,"Muy Baja",IF(I143&lt;='Listas y tablas'!$L$4,"Baja",IF(I143&lt;='Listas y tablas'!$L$5,"Media",IF(I143&lt;='Listas y tablas'!$L$6,"Alta","Muy Alta"))))),"")</f>
        <v/>
      </c>
      <c r="K143" s="155"/>
      <c r="L143" s="156"/>
      <c r="M143" s="150"/>
      <c r="N143" s="151"/>
      <c r="O143" s="151"/>
      <c r="P143" s="152"/>
      <c r="Q143" s="162"/>
      <c r="R143" s="151"/>
      <c r="S143" s="151"/>
      <c r="T143" s="151"/>
      <c r="U143" s="151"/>
      <c r="V143" s="165"/>
      <c r="W143" s="150"/>
      <c r="X143" s="151"/>
      <c r="Y143" s="151"/>
      <c r="Z143" s="151"/>
      <c r="AA143" s="151"/>
      <c r="AB143" s="151"/>
      <c r="AC143" s="163"/>
      <c r="AD143" s="151"/>
      <c r="AE143" s="152"/>
      <c r="AF143" s="173"/>
      <c r="AG143" s="185"/>
      <c r="AH143" s="185"/>
      <c r="AI143" s="186"/>
      <c r="AJ143" s="181"/>
      <c r="AK143" s="181"/>
      <c r="AL143" s="183"/>
      <c r="AM143" s="173"/>
      <c r="AN143" s="187"/>
      <c r="AO143" s="195"/>
      <c r="AP143" s="193"/>
      <c r="AQ143" s="193"/>
      <c r="AR143" s="193"/>
      <c r="AS143" s="193"/>
      <c r="AT143" s="193"/>
      <c r="AU143" s="193"/>
      <c r="AV143" s="194"/>
      <c r="AW143" s="193"/>
      <c r="AX143" s="207"/>
      <c r="AY143" s="208"/>
      <c r="AZ143" s="209"/>
      <c r="BA143" s="209"/>
      <c r="BB143" s="209"/>
      <c r="BC143" s="206"/>
      <c r="BD143" s="206"/>
      <c r="BE143" s="213"/>
      <c r="BF143" s="217"/>
      <c r="BG143" s="209"/>
      <c r="BH143" s="218"/>
      <c r="BI143" s="215"/>
      <c r="BJ143" s="215"/>
      <c r="BK143" s="215"/>
      <c r="BL143" s="215"/>
      <c r="BM143" s="215"/>
      <c r="BN143" s="215"/>
      <c r="BO143" s="216"/>
      <c r="BP143" s="215"/>
      <c r="BQ143" s="228"/>
      <c r="BR143" s="229"/>
      <c r="BS143" s="230"/>
      <c r="BT143" s="230"/>
      <c r="BU143" s="230"/>
      <c r="BV143" s="227"/>
      <c r="BW143" s="227"/>
      <c r="BX143" s="234"/>
      <c r="BY143" s="229"/>
      <c r="BZ143" s="230"/>
      <c r="CA143" s="235"/>
    </row>
    <row r="144" spans="1:79" ht="151.5" customHeight="1">
      <c r="A144" s="134" t="str">
        <f>IFERROR(INDEX(Riesgos!$A$7:$M$84,MATCH(E144,INDEX(Riesgos!$A$7:$M$84,,MATCH(E$7,Riesgos!$A$6:$M$6,0)),0),MATCH(A$7,Riesgos!$A$6:$M$6,0)),"")</f>
        <v/>
      </c>
      <c r="B144" s="135" t="str">
        <f>IFERROR(INDEX(Riesgos!$A$7:$M$84,MATCH(E144,INDEX(Riesgos!$A$7:$M$84,,MATCH(E$7,Riesgos!$A$6:$M$6,0)),0),MATCH(B$7,Riesgos!$A$6:$M$6,0)),"")</f>
        <v/>
      </c>
      <c r="C144" s="135"/>
      <c r="D144" s="136" t="str">
        <f>IFERROR(INDEX(Riesgos!$A$7:$M$84,MATCH(E144,INDEX(Riesgos!$A$7:$M$84,,MATCH(E$7,Riesgos!$A$6:$M$6,0)),0),MATCH(D$7,Riesgos!$A$6:$M$6,0)),"")</f>
        <v/>
      </c>
      <c r="E144" s="137"/>
      <c r="F144" s="137"/>
      <c r="G144" s="138" t="str">
        <f t="shared" si="3"/>
        <v/>
      </c>
      <c r="H144" s="139"/>
      <c r="I144" s="153" t="str">
        <f>IF(A143=A144,IFERROR(IF(AND(#REF!="Probabilidad",#REF!="Probabilidad"),(#REF!-(+#REF!*#REF!)),IF(#REF!="Probabilidad",(#REF!-(+#REF!*#REF!)),IF(#REF!="Impacto",#REF!,""))),""),IFERROR(IF(#REF!="Probabilidad",(#REF!-(+#REF!*#REF!)),IF(#REF!="Impacto",#REF!,"")),""))</f>
        <v/>
      </c>
      <c r="J144" s="154" t="str">
        <f>IFERROR(IF(I144="","",IF(I144&lt;='Listas y tablas'!$L$3,"Muy Baja",IF(I144&lt;='Listas y tablas'!$L$4,"Baja",IF(I144&lt;='Listas y tablas'!$L$5,"Media",IF(I144&lt;='Listas y tablas'!$L$6,"Alta","Muy Alta"))))),"")</f>
        <v/>
      </c>
      <c r="K144" s="155"/>
      <c r="L144" s="156"/>
      <c r="M144" s="150"/>
      <c r="N144" s="151"/>
      <c r="O144" s="151"/>
      <c r="P144" s="152"/>
      <c r="Q144" s="162"/>
      <c r="R144" s="151"/>
      <c r="S144" s="151"/>
      <c r="T144" s="151"/>
      <c r="U144" s="151"/>
      <c r="V144" s="165"/>
      <c r="W144" s="150"/>
      <c r="X144" s="151"/>
      <c r="Y144" s="151"/>
      <c r="Z144" s="151"/>
      <c r="AA144" s="151"/>
      <c r="AB144" s="151"/>
      <c r="AC144" s="163"/>
      <c r="AD144" s="151"/>
      <c r="AE144" s="152"/>
      <c r="AF144" s="173"/>
      <c r="AG144" s="185"/>
      <c r="AH144" s="185"/>
      <c r="AI144" s="186"/>
      <c r="AJ144" s="181"/>
      <c r="AK144" s="181"/>
      <c r="AL144" s="183"/>
      <c r="AM144" s="173"/>
      <c r="AN144" s="187"/>
      <c r="AO144" s="195"/>
      <c r="AP144" s="193"/>
      <c r="AQ144" s="193"/>
      <c r="AR144" s="193"/>
      <c r="AS144" s="193"/>
      <c r="AT144" s="193"/>
      <c r="AU144" s="193"/>
      <c r="AV144" s="194"/>
      <c r="AW144" s="193"/>
      <c r="AX144" s="207"/>
      <c r="AY144" s="208"/>
      <c r="AZ144" s="209"/>
      <c r="BA144" s="209"/>
      <c r="BB144" s="209"/>
      <c r="BC144" s="206"/>
      <c r="BD144" s="206"/>
      <c r="BE144" s="213"/>
      <c r="BF144" s="217"/>
      <c r="BG144" s="209"/>
      <c r="BH144" s="218"/>
      <c r="BI144" s="215"/>
      <c r="BJ144" s="215"/>
      <c r="BK144" s="215"/>
      <c r="BL144" s="215"/>
      <c r="BM144" s="215"/>
      <c r="BN144" s="215"/>
      <c r="BO144" s="216"/>
      <c r="BP144" s="215"/>
      <c r="BQ144" s="228"/>
      <c r="BR144" s="229"/>
      <c r="BS144" s="230"/>
      <c r="BT144" s="230"/>
      <c r="BU144" s="230"/>
      <c r="BV144" s="227"/>
      <c r="BW144" s="227"/>
      <c r="BX144" s="234"/>
      <c r="BY144" s="229"/>
      <c r="BZ144" s="230"/>
      <c r="CA144" s="235"/>
    </row>
    <row r="145" spans="1:79" ht="151.5" customHeight="1">
      <c r="A145" s="134" t="str">
        <f>IFERROR(INDEX(Riesgos!$A$7:$M$84,MATCH(E145,INDEX(Riesgos!$A$7:$M$84,,MATCH(E$7,Riesgos!$A$6:$M$6,0)),0),MATCH(A$7,Riesgos!$A$6:$M$6,0)),"")</f>
        <v/>
      </c>
      <c r="B145" s="135" t="str">
        <f>IFERROR(INDEX(Riesgos!$A$7:$M$84,MATCH(E145,INDEX(Riesgos!$A$7:$M$84,,MATCH(E$7,Riesgos!$A$6:$M$6,0)),0),MATCH(B$7,Riesgos!$A$6:$M$6,0)),"")</f>
        <v/>
      </c>
      <c r="C145" s="135"/>
      <c r="D145" s="136" t="str">
        <f>IFERROR(INDEX(Riesgos!$A$7:$M$84,MATCH(E145,INDEX(Riesgos!$A$7:$M$84,,MATCH(E$7,Riesgos!$A$6:$M$6,0)),0),MATCH(D$7,Riesgos!$A$6:$M$6,0)),"")</f>
        <v/>
      </c>
      <c r="E145" s="137"/>
      <c r="F145" s="137"/>
      <c r="G145" s="138" t="str">
        <f t="shared" si="3"/>
        <v/>
      </c>
      <c r="H145" s="139"/>
      <c r="I145" s="153" t="str">
        <f>IF(A144=A145,IFERROR(IF(AND(#REF!="Probabilidad",#REF!="Probabilidad"),(#REF!-(+#REF!*#REF!)),IF(#REF!="Probabilidad",(#REF!-(+#REF!*#REF!)),IF(#REF!="Impacto",#REF!,""))),""),IFERROR(IF(#REF!="Probabilidad",(#REF!-(+#REF!*#REF!)),IF(#REF!="Impacto",#REF!,"")),""))</f>
        <v/>
      </c>
      <c r="J145" s="154" t="str">
        <f>IFERROR(IF(I145="","",IF(I145&lt;='Listas y tablas'!$L$3,"Muy Baja",IF(I145&lt;='Listas y tablas'!$L$4,"Baja",IF(I145&lt;='Listas y tablas'!$L$5,"Media",IF(I145&lt;='Listas y tablas'!$L$6,"Alta","Muy Alta"))))),"")</f>
        <v/>
      </c>
      <c r="K145" s="155"/>
      <c r="L145" s="156"/>
      <c r="M145" s="150"/>
      <c r="N145" s="151"/>
      <c r="O145" s="151"/>
      <c r="P145" s="152"/>
      <c r="Q145" s="162"/>
      <c r="R145" s="151"/>
      <c r="S145" s="151"/>
      <c r="T145" s="151"/>
      <c r="U145" s="151"/>
      <c r="V145" s="165"/>
      <c r="W145" s="150"/>
      <c r="X145" s="151"/>
      <c r="Y145" s="151"/>
      <c r="Z145" s="151"/>
      <c r="AA145" s="151"/>
      <c r="AB145" s="151"/>
      <c r="AC145" s="163"/>
      <c r="AD145" s="151"/>
      <c r="AE145" s="152"/>
      <c r="AF145" s="173"/>
      <c r="AG145" s="185"/>
      <c r="AH145" s="185"/>
      <c r="AI145" s="186"/>
      <c r="AJ145" s="181"/>
      <c r="AK145" s="181"/>
      <c r="AL145" s="183"/>
      <c r="AM145" s="173"/>
      <c r="AN145" s="187"/>
      <c r="AO145" s="195"/>
      <c r="AP145" s="193"/>
      <c r="AQ145" s="193"/>
      <c r="AR145" s="193"/>
      <c r="AS145" s="193"/>
      <c r="AT145" s="193"/>
      <c r="AU145" s="193"/>
      <c r="AV145" s="194"/>
      <c r="AW145" s="193"/>
      <c r="AX145" s="207"/>
      <c r="AY145" s="208"/>
      <c r="AZ145" s="209"/>
      <c r="BA145" s="209"/>
      <c r="BB145" s="209"/>
      <c r="BC145" s="206"/>
      <c r="BD145" s="206"/>
      <c r="BE145" s="213"/>
      <c r="BF145" s="217"/>
      <c r="BG145" s="209"/>
      <c r="BH145" s="218"/>
      <c r="BI145" s="215"/>
      <c r="BJ145" s="215"/>
      <c r="BK145" s="215"/>
      <c r="BL145" s="215"/>
      <c r="BM145" s="215"/>
      <c r="BN145" s="215"/>
      <c r="BO145" s="216"/>
      <c r="BP145" s="215"/>
      <c r="BQ145" s="228"/>
      <c r="BR145" s="229"/>
      <c r="BS145" s="230"/>
      <c r="BT145" s="230"/>
      <c r="BU145" s="230"/>
      <c r="BV145" s="227"/>
      <c r="BW145" s="227"/>
      <c r="BX145" s="234"/>
      <c r="BY145" s="229"/>
      <c r="BZ145" s="230"/>
      <c r="CA145" s="235"/>
    </row>
    <row r="146" spans="1:79" ht="151.5" customHeight="1">
      <c r="A146" s="134" t="str">
        <f>IFERROR(INDEX(Riesgos!$A$7:$M$84,MATCH(E146,INDEX(Riesgos!$A$7:$M$84,,MATCH(E$7,Riesgos!$A$6:$M$6,0)),0),MATCH(A$7,Riesgos!$A$6:$M$6,0)),"")</f>
        <v/>
      </c>
      <c r="B146" s="135" t="str">
        <f>IFERROR(INDEX(Riesgos!$A$7:$M$84,MATCH(E146,INDEX(Riesgos!$A$7:$M$84,,MATCH(E$7,Riesgos!$A$6:$M$6,0)),0),MATCH(B$7,Riesgos!$A$6:$M$6,0)),"")</f>
        <v/>
      </c>
      <c r="C146" s="135"/>
      <c r="D146" s="136" t="str">
        <f>IFERROR(INDEX(Riesgos!$A$7:$M$84,MATCH(E146,INDEX(Riesgos!$A$7:$M$84,,MATCH(E$7,Riesgos!$A$6:$M$6,0)),0),MATCH(D$7,Riesgos!$A$6:$M$6,0)),"")</f>
        <v/>
      </c>
      <c r="E146" s="137"/>
      <c r="F146" s="137"/>
      <c r="G146" s="138" t="str">
        <f t="shared" si="3"/>
        <v/>
      </c>
      <c r="H146" s="139"/>
      <c r="I146" s="153" t="str">
        <f>IF(A145=A146,IFERROR(IF(AND(#REF!="Probabilidad",#REF!="Probabilidad"),(#REF!-(+#REF!*#REF!)),IF(#REF!="Probabilidad",(#REF!-(+#REF!*#REF!)),IF(#REF!="Impacto",#REF!,""))),""),IFERROR(IF(#REF!="Probabilidad",(#REF!-(+#REF!*#REF!)),IF(#REF!="Impacto",#REF!,"")),""))</f>
        <v/>
      </c>
      <c r="J146" s="154" t="str">
        <f>IFERROR(IF(I146="","",IF(I146&lt;='Listas y tablas'!$L$3,"Muy Baja",IF(I146&lt;='Listas y tablas'!$L$4,"Baja",IF(I146&lt;='Listas y tablas'!$L$5,"Media",IF(I146&lt;='Listas y tablas'!$L$6,"Alta","Muy Alta"))))),"")</f>
        <v/>
      </c>
      <c r="K146" s="155"/>
      <c r="L146" s="156"/>
      <c r="M146" s="150"/>
      <c r="N146" s="151"/>
      <c r="O146" s="151"/>
      <c r="P146" s="152"/>
      <c r="Q146" s="162"/>
      <c r="R146" s="151"/>
      <c r="S146" s="151"/>
      <c r="T146" s="151"/>
      <c r="U146" s="151"/>
      <c r="V146" s="165"/>
      <c r="W146" s="150"/>
      <c r="X146" s="151"/>
      <c r="Y146" s="151"/>
      <c r="Z146" s="151"/>
      <c r="AA146" s="151"/>
      <c r="AB146" s="151"/>
      <c r="AC146" s="163"/>
      <c r="AD146" s="151"/>
      <c r="AE146" s="152"/>
      <c r="AF146" s="173"/>
      <c r="AG146" s="185"/>
      <c r="AH146" s="185"/>
      <c r="AI146" s="186"/>
      <c r="AJ146" s="181"/>
      <c r="AK146" s="181"/>
      <c r="AL146" s="183"/>
      <c r="AM146" s="173"/>
      <c r="AN146" s="187"/>
      <c r="AO146" s="195"/>
      <c r="AP146" s="193"/>
      <c r="AQ146" s="193"/>
      <c r="AR146" s="193"/>
      <c r="AS146" s="193"/>
      <c r="AT146" s="193"/>
      <c r="AU146" s="193"/>
      <c r="AV146" s="194"/>
      <c r="AW146" s="193"/>
      <c r="AX146" s="207"/>
      <c r="AY146" s="208"/>
      <c r="AZ146" s="209"/>
      <c r="BA146" s="209"/>
      <c r="BB146" s="209"/>
      <c r="BC146" s="206"/>
      <c r="BD146" s="206"/>
      <c r="BE146" s="213"/>
      <c r="BF146" s="217"/>
      <c r="BG146" s="209"/>
      <c r="BH146" s="218"/>
      <c r="BI146" s="215"/>
      <c r="BJ146" s="215"/>
      <c r="BK146" s="215"/>
      <c r="BL146" s="215"/>
      <c r="BM146" s="215"/>
      <c r="BN146" s="215"/>
      <c r="BO146" s="216"/>
      <c r="BP146" s="215"/>
      <c r="BQ146" s="228"/>
      <c r="BR146" s="229"/>
      <c r="BS146" s="230"/>
      <c r="BT146" s="230"/>
      <c r="BU146" s="230"/>
      <c r="BV146" s="227"/>
      <c r="BW146" s="227"/>
      <c r="BX146" s="234"/>
      <c r="BY146" s="229"/>
      <c r="BZ146" s="230"/>
      <c r="CA146" s="235"/>
    </row>
    <row r="147" spans="1:79" ht="151.5" customHeight="1">
      <c r="A147" s="134" t="str">
        <f>IFERROR(INDEX(Riesgos!$A$7:$M$84,MATCH(E147,INDEX(Riesgos!$A$7:$M$84,,MATCH(E$7,Riesgos!$A$6:$M$6,0)),0),MATCH(A$7,Riesgos!$A$6:$M$6,0)),"")</f>
        <v/>
      </c>
      <c r="B147" s="135" t="str">
        <f>IFERROR(INDEX(Riesgos!$A$7:$M$84,MATCH(E147,INDEX(Riesgos!$A$7:$M$84,,MATCH(E$7,Riesgos!$A$6:$M$6,0)),0),MATCH(B$7,Riesgos!$A$6:$M$6,0)),"")</f>
        <v/>
      </c>
      <c r="C147" s="135"/>
      <c r="D147" s="136" t="str">
        <f>IFERROR(INDEX(Riesgos!$A$7:$M$84,MATCH(E147,INDEX(Riesgos!$A$7:$M$84,,MATCH(E$7,Riesgos!$A$6:$M$6,0)),0),MATCH(D$7,Riesgos!$A$6:$M$6,0)),"")</f>
        <v/>
      </c>
      <c r="E147" s="137"/>
      <c r="F147" s="137"/>
      <c r="G147" s="138" t="str">
        <f t="shared" si="3"/>
        <v/>
      </c>
      <c r="H147" s="139"/>
      <c r="I147" s="153" t="str">
        <f>IF(A146=A147,IFERROR(IF(AND(#REF!="Probabilidad",#REF!="Probabilidad"),(#REF!-(+#REF!*#REF!)),IF(#REF!="Probabilidad",(#REF!-(+#REF!*#REF!)),IF(#REF!="Impacto",#REF!,""))),""),IFERROR(IF(#REF!="Probabilidad",(#REF!-(+#REF!*#REF!)),IF(#REF!="Impacto",#REF!,"")),""))</f>
        <v/>
      </c>
      <c r="J147" s="154" t="str">
        <f>IFERROR(IF(I147="","",IF(I147&lt;='Listas y tablas'!$L$3,"Muy Baja",IF(I147&lt;='Listas y tablas'!$L$4,"Baja",IF(I147&lt;='Listas y tablas'!$L$5,"Media",IF(I147&lt;='Listas y tablas'!$L$6,"Alta","Muy Alta"))))),"")</f>
        <v/>
      </c>
      <c r="K147" s="155"/>
      <c r="L147" s="156"/>
      <c r="M147" s="150"/>
      <c r="N147" s="151"/>
      <c r="O147" s="151"/>
      <c r="P147" s="152"/>
      <c r="Q147" s="162"/>
      <c r="R147" s="151"/>
      <c r="S147" s="151"/>
      <c r="T147" s="151"/>
      <c r="U147" s="151"/>
      <c r="V147" s="165"/>
      <c r="W147" s="150"/>
      <c r="X147" s="151"/>
      <c r="Y147" s="151"/>
      <c r="Z147" s="151"/>
      <c r="AA147" s="151"/>
      <c r="AB147" s="151"/>
      <c r="AC147" s="163"/>
      <c r="AD147" s="151"/>
      <c r="AE147" s="152"/>
      <c r="AF147" s="173"/>
      <c r="AG147" s="185"/>
      <c r="AH147" s="185"/>
      <c r="AI147" s="186"/>
      <c r="AJ147" s="181"/>
      <c r="AK147" s="181"/>
      <c r="AL147" s="183"/>
      <c r="AM147" s="173"/>
      <c r="AN147" s="187"/>
      <c r="AO147" s="195"/>
      <c r="AP147" s="193"/>
      <c r="AQ147" s="193"/>
      <c r="AR147" s="193"/>
      <c r="AS147" s="193"/>
      <c r="AT147" s="193"/>
      <c r="AU147" s="193"/>
      <c r="AV147" s="194"/>
      <c r="AW147" s="193"/>
      <c r="AX147" s="207"/>
      <c r="AY147" s="208"/>
      <c r="AZ147" s="209"/>
      <c r="BA147" s="209"/>
      <c r="BB147" s="209"/>
      <c r="BC147" s="206"/>
      <c r="BD147" s="206"/>
      <c r="BE147" s="213"/>
      <c r="BF147" s="217"/>
      <c r="BG147" s="209"/>
      <c r="BH147" s="218"/>
      <c r="BI147" s="215"/>
      <c r="BJ147" s="215"/>
      <c r="BK147" s="215"/>
      <c r="BL147" s="215"/>
      <c r="BM147" s="215"/>
      <c r="BN147" s="215"/>
      <c r="BO147" s="216"/>
      <c r="BP147" s="215"/>
      <c r="BQ147" s="228"/>
      <c r="BR147" s="229"/>
      <c r="BS147" s="230"/>
      <c r="BT147" s="230"/>
      <c r="BU147" s="230"/>
      <c r="BV147" s="227"/>
      <c r="BW147" s="227"/>
      <c r="BX147" s="234"/>
      <c r="BY147" s="229"/>
      <c r="BZ147" s="230"/>
      <c r="CA147" s="235"/>
    </row>
    <row r="148" spans="1:79" ht="151.5" customHeight="1">
      <c r="A148" s="134" t="str">
        <f>IFERROR(INDEX(Riesgos!$A$7:$M$84,MATCH(E148,INDEX(Riesgos!$A$7:$M$84,,MATCH(E$7,Riesgos!$A$6:$M$6,0)),0),MATCH(A$7,Riesgos!$A$6:$M$6,0)),"")</f>
        <v/>
      </c>
      <c r="B148" s="135" t="str">
        <f>IFERROR(INDEX(Riesgos!$A$7:$M$84,MATCH(E148,INDEX(Riesgos!$A$7:$M$84,,MATCH(E$7,Riesgos!$A$6:$M$6,0)),0),MATCH(B$7,Riesgos!$A$6:$M$6,0)),"")</f>
        <v/>
      </c>
      <c r="C148" s="135"/>
      <c r="D148" s="136" t="str">
        <f>IFERROR(INDEX(Riesgos!$A$7:$M$84,MATCH(E148,INDEX(Riesgos!$A$7:$M$84,,MATCH(E$7,Riesgos!$A$6:$M$6,0)),0),MATCH(D$7,Riesgos!$A$6:$M$6,0)),"")</f>
        <v/>
      </c>
      <c r="E148" s="137"/>
      <c r="F148" s="137"/>
      <c r="G148" s="138" t="str">
        <f t="shared" si="3"/>
        <v/>
      </c>
      <c r="H148" s="139"/>
      <c r="I148" s="153" t="str">
        <f>IF(A147=A148,IFERROR(IF(AND(#REF!="Probabilidad",#REF!="Probabilidad"),(#REF!-(+#REF!*#REF!)),IF(#REF!="Probabilidad",(#REF!-(+#REF!*#REF!)),IF(#REF!="Impacto",#REF!,""))),""),IFERROR(IF(#REF!="Probabilidad",(#REF!-(+#REF!*#REF!)),IF(#REF!="Impacto",#REF!,"")),""))</f>
        <v/>
      </c>
      <c r="J148" s="154" t="str">
        <f>IFERROR(IF(I148="","",IF(I148&lt;='Listas y tablas'!$L$3,"Muy Baja",IF(I148&lt;='Listas y tablas'!$L$4,"Baja",IF(I148&lt;='Listas y tablas'!$L$5,"Media",IF(I148&lt;='Listas y tablas'!$L$6,"Alta","Muy Alta"))))),"")</f>
        <v/>
      </c>
      <c r="K148" s="155"/>
      <c r="L148" s="156"/>
      <c r="M148" s="150"/>
      <c r="N148" s="151"/>
      <c r="O148" s="151"/>
      <c r="P148" s="152"/>
      <c r="Q148" s="162"/>
      <c r="R148" s="151"/>
      <c r="S148" s="151"/>
      <c r="T148" s="151"/>
      <c r="U148" s="151"/>
      <c r="V148" s="165"/>
      <c r="W148" s="150"/>
      <c r="X148" s="151"/>
      <c r="Y148" s="151"/>
      <c r="Z148" s="151"/>
      <c r="AA148" s="151"/>
      <c r="AB148" s="151"/>
      <c r="AC148" s="163"/>
      <c r="AD148" s="151"/>
      <c r="AE148" s="152"/>
      <c r="AF148" s="173"/>
      <c r="AG148" s="185"/>
      <c r="AH148" s="185"/>
      <c r="AI148" s="186"/>
      <c r="AJ148" s="181"/>
      <c r="AK148" s="181"/>
      <c r="AL148" s="183"/>
      <c r="AM148" s="173"/>
      <c r="AN148" s="187"/>
      <c r="AO148" s="195"/>
      <c r="AP148" s="193"/>
      <c r="AQ148" s="193"/>
      <c r="AR148" s="193"/>
      <c r="AS148" s="193"/>
      <c r="AT148" s="193"/>
      <c r="AU148" s="193"/>
      <c r="AV148" s="194"/>
      <c r="AW148" s="193"/>
      <c r="AX148" s="207"/>
      <c r="AY148" s="208"/>
      <c r="AZ148" s="209"/>
      <c r="BA148" s="209"/>
      <c r="BB148" s="209"/>
      <c r="BC148" s="206"/>
      <c r="BD148" s="206"/>
      <c r="BE148" s="213"/>
      <c r="BF148" s="217"/>
      <c r="BG148" s="209"/>
      <c r="BH148" s="218"/>
      <c r="BI148" s="215"/>
      <c r="BJ148" s="215"/>
      <c r="BK148" s="215"/>
      <c r="BL148" s="215"/>
      <c r="BM148" s="215"/>
      <c r="BN148" s="215"/>
      <c r="BO148" s="216"/>
      <c r="BP148" s="215"/>
      <c r="BQ148" s="228"/>
      <c r="BR148" s="229"/>
      <c r="BS148" s="230"/>
      <c r="BT148" s="230"/>
      <c r="BU148" s="230"/>
      <c r="BV148" s="227"/>
      <c r="BW148" s="227"/>
      <c r="BX148" s="234"/>
      <c r="BY148" s="229"/>
      <c r="BZ148" s="230"/>
      <c r="CA148" s="235"/>
    </row>
    <row r="149" spans="1:79" ht="151.5" customHeight="1">
      <c r="A149" s="134" t="str">
        <f>IFERROR(INDEX(Riesgos!$A$7:$M$84,MATCH(E149,INDEX(Riesgos!$A$7:$M$84,,MATCH(E$7,Riesgos!$A$6:$M$6,0)),0),MATCH(A$7,Riesgos!$A$6:$M$6,0)),"")</f>
        <v/>
      </c>
      <c r="B149" s="135" t="str">
        <f>IFERROR(INDEX(Riesgos!$A$7:$M$84,MATCH(E149,INDEX(Riesgos!$A$7:$M$84,,MATCH(E$7,Riesgos!$A$6:$M$6,0)),0),MATCH(B$7,Riesgos!$A$6:$M$6,0)),"")</f>
        <v/>
      </c>
      <c r="C149" s="135"/>
      <c r="D149" s="136" t="str">
        <f>IFERROR(INDEX(Riesgos!$A$7:$M$84,MATCH(E149,INDEX(Riesgos!$A$7:$M$84,,MATCH(E$7,Riesgos!$A$6:$M$6,0)),0),MATCH(D$7,Riesgos!$A$6:$M$6,0)),"")</f>
        <v/>
      </c>
      <c r="E149" s="137"/>
      <c r="F149" s="137"/>
      <c r="G149" s="138" t="str">
        <f t="shared" si="3"/>
        <v/>
      </c>
      <c r="H149" s="139"/>
      <c r="I149" s="153" t="str">
        <f>IF(A148=A149,IFERROR(IF(AND(#REF!="Probabilidad",#REF!="Probabilidad"),(#REF!-(+#REF!*#REF!)),IF(#REF!="Probabilidad",(#REF!-(+#REF!*#REF!)),IF(#REF!="Impacto",#REF!,""))),""),IFERROR(IF(#REF!="Probabilidad",(#REF!-(+#REF!*#REF!)),IF(#REF!="Impacto",#REF!,"")),""))</f>
        <v/>
      </c>
      <c r="J149" s="154" t="str">
        <f>IFERROR(IF(I149="","",IF(I149&lt;='Listas y tablas'!$L$3,"Muy Baja",IF(I149&lt;='Listas y tablas'!$L$4,"Baja",IF(I149&lt;='Listas y tablas'!$L$5,"Media",IF(I149&lt;='Listas y tablas'!$L$6,"Alta","Muy Alta"))))),"")</f>
        <v/>
      </c>
      <c r="K149" s="155"/>
      <c r="L149" s="156"/>
      <c r="M149" s="150"/>
      <c r="N149" s="151"/>
      <c r="O149" s="151"/>
      <c r="P149" s="152"/>
      <c r="Q149" s="162"/>
      <c r="R149" s="151"/>
      <c r="S149" s="151"/>
      <c r="T149" s="151"/>
      <c r="U149" s="151"/>
      <c r="V149" s="165"/>
      <c r="W149" s="150"/>
      <c r="X149" s="151"/>
      <c r="Y149" s="151"/>
      <c r="Z149" s="151"/>
      <c r="AA149" s="151"/>
      <c r="AB149" s="151"/>
      <c r="AC149" s="163"/>
      <c r="AD149" s="151"/>
      <c r="AE149" s="152"/>
      <c r="AF149" s="173"/>
      <c r="AG149" s="185"/>
      <c r="AH149" s="185"/>
      <c r="AI149" s="186"/>
      <c r="AJ149" s="181"/>
      <c r="AK149" s="181"/>
      <c r="AL149" s="183"/>
      <c r="AM149" s="173"/>
      <c r="AN149" s="187"/>
      <c r="AO149" s="195"/>
      <c r="AP149" s="193"/>
      <c r="AQ149" s="193"/>
      <c r="AR149" s="193"/>
      <c r="AS149" s="193"/>
      <c r="AT149" s="193"/>
      <c r="AU149" s="193"/>
      <c r="AV149" s="194"/>
      <c r="AW149" s="193"/>
      <c r="AX149" s="207"/>
      <c r="AY149" s="208"/>
      <c r="AZ149" s="209"/>
      <c r="BA149" s="209"/>
      <c r="BB149" s="209"/>
      <c r="BC149" s="206"/>
      <c r="BD149" s="206"/>
      <c r="BE149" s="213"/>
      <c r="BF149" s="217"/>
      <c r="BG149" s="209"/>
      <c r="BH149" s="218"/>
      <c r="BI149" s="215"/>
      <c r="BJ149" s="215"/>
      <c r="BK149" s="215"/>
      <c r="BL149" s="215"/>
      <c r="BM149" s="215"/>
      <c r="BN149" s="215"/>
      <c r="BO149" s="216"/>
      <c r="BP149" s="215"/>
      <c r="BQ149" s="228"/>
      <c r="BR149" s="229"/>
      <c r="BS149" s="230"/>
      <c r="BT149" s="230"/>
      <c r="BU149" s="230"/>
      <c r="BV149" s="227"/>
      <c r="BW149" s="227"/>
      <c r="BX149" s="234"/>
      <c r="BY149" s="229"/>
      <c r="BZ149" s="230"/>
      <c r="CA149" s="235"/>
    </row>
    <row r="150" spans="1:79" ht="151.5" customHeight="1">
      <c r="A150" s="134" t="str">
        <f>IFERROR(INDEX(Riesgos!$A$7:$M$84,MATCH(E150,INDEX(Riesgos!$A$7:$M$84,,MATCH(E$7,Riesgos!$A$6:$M$6,0)),0),MATCH(A$7,Riesgos!$A$6:$M$6,0)),"")</f>
        <v/>
      </c>
      <c r="B150" s="135" t="str">
        <f>IFERROR(INDEX(Riesgos!$A$7:$M$84,MATCH(E150,INDEX(Riesgos!$A$7:$M$84,,MATCH(E$7,Riesgos!$A$6:$M$6,0)),0),MATCH(B$7,Riesgos!$A$6:$M$6,0)),"")</f>
        <v/>
      </c>
      <c r="C150" s="135"/>
      <c r="D150" s="136" t="str">
        <f>IFERROR(INDEX(Riesgos!$A$7:$M$84,MATCH(E150,INDEX(Riesgos!$A$7:$M$84,,MATCH(E$7,Riesgos!$A$6:$M$6,0)),0),MATCH(D$7,Riesgos!$A$6:$M$6,0)),"")</f>
        <v/>
      </c>
      <c r="E150" s="137"/>
      <c r="F150" s="137"/>
      <c r="G150" s="138" t="str">
        <f t="shared" si="3"/>
        <v/>
      </c>
      <c r="H150" s="139"/>
      <c r="I150" s="153" t="str">
        <f>IF(A149=A150,IFERROR(IF(AND(#REF!="Probabilidad",#REF!="Probabilidad"),(#REF!-(+#REF!*#REF!)),IF(#REF!="Probabilidad",(#REF!-(+#REF!*#REF!)),IF(#REF!="Impacto",#REF!,""))),""),IFERROR(IF(#REF!="Probabilidad",(#REF!-(+#REF!*#REF!)),IF(#REF!="Impacto",#REF!,"")),""))</f>
        <v/>
      </c>
      <c r="J150" s="154" t="str">
        <f>IFERROR(IF(I150="","",IF(I150&lt;='Listas y tablas'!$L$3,"Muy Baja",IF(I150&lt;='Listas y tablas'!$L$4,"Baja",IF(I150&lt;='Listas y tablas'!$L$5,"Media",IF(I150&lt;='Listas y tablas'!$L$6,"Alta","Muy Alta"))))),"")</f>
        <v/>
      </c>
      <c r="K150" s="155"/>
      <c r="L150" s="156"/>
      <c r="M150" s="150"/>
      <c r="N150" s="151"/>
      <c r="O150" s="151"/>
      <c r="P150" s="152"/>
      <c r="Q150" s="162"/>
      <c r="R150" s="151"/>
      <c r="S150" s="151"/>
      <c r="T150" s="151"/>
      <c r="U150" s="151"/>
      <c r="V150" s="165"/>
      <c r="W150" s="150"/>
      <c r="X150" s="151"/>
      <c r="Y150" s="151"/>
      <c r="Z150" s="151"/>
      <c r="AA150" s="151"/>
      <c r="AB150" s="151"/>
      <c r="AC150" s="163"/>
      <c r="AD150" s="151"/>
      <c r="AE150" s="152"/>
      <c r="AF150" s="173"/>
      <c r="AG150" s="185"/>
      <c r="AH150" s="185"/>
      <c r="AI150" s="186"/>
      <c r="AJ150" s="181"/>
      <c r="AK150" s="181"/>
      <c r="AL150" s="183"/>
      <c r="AM150" s="173"/>
      <c r="AN150" s="187"/>
      <c r="AO150" s="195"/>
      <c r="AP150" s="193"/>
      <c r="AQ150" s="193"/>
      <c r="AR150" s="193"/>
      <c r="AS150" s="193"/>
      <c r="AT150" s="193"/>
      <c r="AU150" s="193"/>
      <c r="AV150" s="194"/>
      <c r="AW150" s="193"/>
      <c r="AX150" s="207"/>
      <c r="AY150" s="208"/>
      <c r="AZ150" s="209"/>
      <c r="BA150" s="209"/>
      <c r="BB150" s="209"/>
      <c r="BC150" s="206"/>
      <c r="BD150" s="206"/>
      <c r="BE150" s="213"/>
      <c r="BF150" s="217"/>
      <c r="BG150" s="209"/>
      <c r="BH150" s="218"/>
      <c r="BI150" s="215"/>
      <c r="BJ150" s="215"/>
      <c r="BK150" s="215"/>
      <c r="BL150" s="215"/>
      <c r="BM150" s="215"/>
      <c r="BN150" s="215"/>
      <c r="BO150" s="216"/>
      <c r="BP150" s="215"/>
      <c r="BQ150" s="228"/>
      <c r="BR150" s="229"/>
      <c r="BS150" s="230"/>
      <c r="BT150" s="230"/>
      <c r="BU150" s="230"/>
      <c r="BV150" s="227"/>
      <c r="BW150" s="227"/>
      <c r="BX150" s="234"/>
      <c r="BY150" s="229"/>
      <c r="BZ150" s="230"/>
      <c r="CA150" s="235"/>
    </row>
    <row r="151" spans="1:79" ht="151.5" customHeight="1">
      <c r="A151" s="134" t="str">
        <f>IFERROR(INDEX(Riesgos!$A$7:$M$84,MATCH(E151,INDEX(Riesgos!$A$7:$M$84,,MATCH(E$7,Riesgos!$A$6:$M$6,0)),0),MATCH(A$7,Riesgos!$A$6:$M$6,0)),"")</f>
        <v/>
      </c>
      <c r="B151" s="135" t="str">
        <f>IFERROR(INDEX(Riesgos!$A$7:$M$84,MATCH(E151,INDEX(Riesgos!$A$7:$M$84,,MATCH(E$7,Riesgos!$A$6:$M$6,0)),0),MATCH(B$7,Riesgos!$A$6:$M$6,0)),"")</f>
        <v/>
      </c>
      <c r="C151" s="135"/>
      <c r="D151" s="136" t="str">
        <f>IFERROR(INDEX(Riesgos!$A$7:$M$84,MATCH(E151,INDEX(Riesgos!$A$7:$M$84,,MATCH(E$7,Riesgos!$A$6:$M$6,0)),0),MATCH(D$7,Riesgos!$A$6:$M$6,0)),"")</f>
        <v/>
      </c>
      <c r="E151" s="137"/>
      <c r="F151" s="137"/>
      <c r="G151" s="138" t="str">
        <f t="shared" si="3"/>
        <v/>
      </c>
      <c r="H151" s="139"/>
      <c r="I151" s="153" t="str">
        <f>IF(A150=A151,IFERROR(IF(AND(#REF!="Probabilidad",#REF!="Probabilidad"),(#REF!-(+#REF!*#REF!)),IF(#REF!="Probabilidad",(#REF!-(+#REF!*#REF!)),IF(#REF!="Impacto",#REF!,""))),""),IFERROR(IF(#REF!="Probabilidad",(#REF!-(+#REF!*#REF!)),IF(#REF!="Impacto",#REF!,"")),""))</f>
        <v/>
      </c>
      <c r="J151" s="154" t="str">
        <f>IFERROR(IF(I151="","",IF(I151&lt;='Listas y tablas'!$L$3,"Muy Baja",IF(I151&lt;='Listas y tablas'!$L$4,"Baja",IF(I151&lt;='Listas y tablas'!$L$5,"Media",IF(I151&lt;='Listas y tablas'!$L$6,"Alta","Muy Alta"))))),"")</f>
        <v/>
      </c>
      <c r="K151" s="155"/>
      <c r="L151" s="156"/>
      <c r="M151" s="150"/>
      <c r="N151" s="151"/>
      <c r="O151" s="151"/>
      <c r="P151" s="152"/>
      <c r="Q151" s="162"/>
      <c r="R151" s="151"/>
      <c r="S151" s="151"/>
      <c r="T151" s="151"/>
      <c r="U151" s="151"/>
      <c r="V151" s="165"/>
      <c r="W151" s="150"/>
      <c r="X151" s="151"/>
      <c r="Y151" s="151"/>
      <c r="Z151" s="151"/>
      <c r="AA151" s="151"/>
      <c r="AB151" s="151"/>
      <c r="AC151" s="163"/>
      <c r="AD151" s="151"/>
      <c r="AE151" s="152"/>
      <c r="AF151" s="173"/>
      <c r="AG151" s="185"/>
      <c r="AH151" s="185"/>
      <c r="AI151" s="186"/>
      <c r="AJ151" s="181"/>
      <c r="AK151" s="181"/>
      <c r="AL151" s="183"/>
      <c r="AM151" s="173"/>
      <c r="AN151" s="187"/>
      <c r="AO151" s="195"/>
      <c r="AP151" s="193"/>
      <c r="AQ151" s="193"/>
      <c r="AR151" s="193"/>
      <c r="AS151" s="193"/>
      <c r="AT151" s="193"/>
      <c r="AU151" s="193"/>
      <c r="AV151" s="194"/>
      <c r="AW151" s="193"/>
      <c r="AX151" s="207"/>
      <c r="AY151" s="208"/>
      <c r="AZ151" s="209"/>
      <c r="BA151" s="209"/>
      <c r="BB151" s="209"/>
      <c r="BC151" s="206"/>
      <c r="BD151" s="206"/>
      <c r="BE151" s="213"/>
      <c r="BF151" s="217"/>
      <c r="BG151" s="209"/>
      <c r="BH151" s="218"/>
      <c r="BI151" s="215"/>
      <c r="BJ151" s="215"/>
      <c r="BK151" s="215"/>
      <c r="BL151" s="215"/>
      <c r="BM151" s="215"/>
      <c r="BN151" s="215"/>
      <c r="BO151" s="216"/>
      <c r="BP151" s="215"/>
      <c r="BQ151" s="228"/>
      <c r="BR151" s="229"/>
      <c r="BS151" s="230"/>
      <c r="BT151" s="230"/>
      <c r="BU151" s="230"/>
      <c r="BV151" s="227"/>
      <c r="BW151" s="227"/>
      <c r="BX151" s="234"/>
      <c r="BY151" s="229"/>
      <c r="BZ151" s="230"/>
      <c r="CA151" s="235"/>
    </row>
    <row r="152" spans="1:79" ht="151.5" customHeight="1">
      <c r="A152" s="134" t="str">
        <f>IFERROR(INDEX(Riesgos!$A$7:$M$84,MATCH(E152,INDEX(Riesgos!$A$7:$M$84,,MATCH(E$7,Riesgos!$A$6:$M$6,0)),0),MATCH(A$7,Riesgos!$A$6:$M$6,0)),"")</f>
        <v/>
      </c>
      <c r="B152" s="135" t="str">
        <f>IFERROR(INDEX(Riesgos!$A$7:$M$84,MATCH(E152,INDEX(Riesgos!$A$7:$M$84,,MATCH(E$7,Riesgos!$A$6:$M$6,0)),0),MATCH(B$7,Riesgos!$A$6:$M$6,0)),"")</f>
        <v/>
      </c>
      <c r="C152" s="135"/>
      <c r="D152" s="136" t="str">
        <f>IFERROR(INDEX(Riesgos!$A$7:$M$84,MATCH(E152,INDEX(Riesgos!$A$7:$M$84,,MATCH(E$7,Riesgos!$A$6:$M$6,0)),0),MATCH(D$7,Riesgos!$A$6:$M$6,0)),"")</f>
        <v/>
      </c>
      <c r="E152" s="137"/>
      <c r="F152" s="137"/>
      <c r="G152" s="138" t="str">
        <f t="shared" si="3"/>
        <v/>
      </c>
      <c r="H152" s="139"/>
      <c r="I152" s="153" t="str">
        <f>IF(A151=A152,IFERROR(IF(AND(#REF!="Probabilidad",#REF!="Probabilidad"),(#REF!-(+#REF!*#REF!)),IF(#REF!="Probabilidad",(#REF!-(+#REF!*#REF!)),IF(#REF!="Impacto",#REF!,""))),""),IFERROR(IF(#REF!="Probabilidad",(#REF!-(+#REF!*#REF!)),IF(#REF!="Impacto",#REF!,"")),""))</f>
        <v/>
      </c>
      <c r="J152" s="154" t="str">
        <f>IFERROR(IF(I152="","",IF(I152&lt;='Listas y tablas'!$L$3,"Muy Baja",IF(I152&lt;='Listas y tablas'!$L$4,"Baja",IF(I152&lt;='Listas y tablas'!$L$5,"Media",IF(I152&lt;='Listas y tablas'!$L$6,"Alta","Muy Alta"))))),"")</f>
        <v/>
      </c>
      <c r="K152" s="155"/>
      <c r="L152" s="156"/>
      <c r="M152" s="150"/>
      <c r="N152" s="151"/>
      <c r="O152" s="151"/>
      <c r="P152" s="152"/>
      <c r="Q152" s="162"/>
      <c r="R152" s="151"/>
      <c r="S152" s="151"/>
      <c r="T152" s="151"/>
      <c r="U152" s="151"/>
      <c r="V152" s="165"/>
      <c r="W152" s="150"/>
      <c r="X152" s="151"/>
      <c r="Y152" s="151"/>
      <c r="Z152" s="151"/>
      <c r="AA152" s="151"/>
      <c r="AB152" s="151"/>
      <c r="AC152" s="163"/>
      <c r="AD152" s="151"/>
      <c r="AE152" s="152"/>
      <c r="AF152" s="173"/>
      <c r="AG152" s="185"/>
      <c r="AH152" s="185"/>
      <c r="AI152" s="186"/>
      <c r="AJ152" s="181"/>
      <c r="AK152" s="181"/>
      <c r="AL152" s="183"/>
      <c r="AM152" s="173"/>
      <c r="AN152" s="187"/>
      <c r="AO152" s="195"/>
      <c r="AP152" s="193"/>
      <c r="AQ152" s="193"/>
      <c r="AR152" s="193"/>
      <c r="AS152" s="193"/>
      <c r="AT152" s="193"/>
      <c r="AU152" s="193"/>
      <c r="AV152" s="194"/>
      <c r="AW152" s="193"/>
      <c r="AX152" s="207"/>
      <c r="AY152" s="208"/>
      <c r="AZ152" s="209"/>
      <c r="BA152" s="209"/>
      <c r="BB152" s="209"/>
      <c r="BC152" s="206"/>
      <c r="BD152" s="206"/>
      <c r="BE152" s="213"/>
      <c r="BF152" s="217"/>
      <c r="BG152" s="209"/>
      <c r="BH152" s="218"/>
      <c r="BI152" s="215"/>
      <c r="BJ152" s="215"/>
      <c r="BK152" s="215"/>
      <c r="BL152" s="215"/>
      <c r="BM152" s="215"/>
      <c r="BN152" s="215"/>
      <c r="BO152" s="216"/>
      <c r="BP152" s="215"/>
      <c r="BQ152" s="228"/>
      <c r="BR152" s="229"/>
      <c r="BS152" s="230"/>
      <c r="BT152" s="230"/>
      <c r="BU152" s="230"/>
      <c r="BV152" s="227"/>
      <c r="BW152" s="227"/>
      <c r="BX152" s="234"/>
      <c r="BY152" s="229"/>
      <c r="BZ152" s="230"/>
      <c r="CA152" s="235"/>
    </row>
    <row r="153" spans="1:79" ht="151.5" customHeight="1">
      <c r="A153" s="134" t="str">
        <f>IFERROR(INDEX(Riesgos!$A$7:$M$84,MATCH(E153,INDEX(Riesgos!$A$7:$M$84,,MATCH(E$7,Riesgos!$A$6:$M$6,0)),0),MATCH(A$7,Riesgos!$A$6:$M$6,0)),"")</f>
        <v/>
      </c>
      <c r="B153" s="135" t="str">
        <f>IFERROR(INDEX(Riesgos!$A$7:$M$84,MATCH(E153,INDEX(Riesgos!$A$7:$M$84,,MATCH(E$7,Riesgos!$A$6:$M$6,0)),0),MATCH(B$7,Riesgos!$A$6:$M$6,0)),"")</f>
        <v/>
      </c>
      <c r="C153" s="135"/>
      <c r="D153" s="136" t="str">
        <f>IFERROR(INDEX(Riesgos!$A$7:$M$84,MATCH(E153,INDEX(Riesgos!$A$7:$M$84,,MATCH(E$7,Riesgos!$A$6:$M$6,0)),0),MATCH(D$7,Riesgos!$A$6:$M$6,0)),"")</f>
        <v/>
      </c>
      <c r="E153" s="137"/>
      <c r="F153" s="137"/>
      <c r="G153" s="138" t="str">
        <f t="shared" si="3"/>
        <v/>
      </c>
      <c r="H153" s="139"/>
      <c r="I153" s="153" t="str">
        <f>IF(A152=A153,IFERROR(IF(AND(#REF!="Probabilidad",#REF!="Probabilidad"),(#REF!-(+#REF!*#REF!)),IF(#REF!="Probabilidad",(#REF!-(+#REF!*#REF!)),IF(#REF!="Impacto",#REF!,""))),""),IFERROR(IF(#REF!="Probabilidad",(#REF!-(+#REF!*#REF!)),IF(#REF!="Impacto",#REF!,"")),""))</f>
        <v/>
      </c>
      <c r="J153" s="154" t="str">
        <f>IFERROR(IF(I153="","",IF(I153&lt;='Listas y tablas'!$L$3,"Muy Baja",IF(I153&lt;='Listas y tablas'!$L$4,"Baja",IF(I153&lt;='Listas y tablas'!$L$5,"Media",IF(I153&lt;='Listas y tablas'!$L$6,"Alta","Muy Alta"))))),"")</f>
        <v/>
      </c>
      <c r="K153" s="155"/>
      <c r="L153" s="156"/>
      <c r="M153" s="150"/>
      <c r="N153" s="151"/>
      <c r="O153" s="151"/>
      <c r="P153" s="152"/>
      <c r="Q153" s="162"/>
      <c r="R153" s="151"/>
      <c r="S153" s="151"/>
      <c r="T153" s="151"/>
      <c r="U153" s="151"/>
      <c r="V153" s="165"/>
      <c r="W153" s="150"/>
      <c r="X153" s="151"/>
      <c r="Y153" s="151"/>
      <c r="Z153" s="151"/>
      <c r="AA153" s="151"/>
      <c r="AB153" s="151"/>
      <c r="AC153" s="163"/>
      <c r="AD153" s="151"/>
      <c r="AE153" s="152"/>
      <c r="AF153" s="173"/>
      <c r="AG153" s="185"/>
      <c r="AH153" s="185"/>
      <c r="AI153" s="186"/>
      <c r="AJ153" s="181"/>
      <c r="AK153" s="181"/>
      <c r="AL153" s="183"/>
      <c r="AM153" s="173"/>
      <c r="AN153" s="187"/>
      <c r="AO153" s="195"/>
      <c r="AP153" s="193"/>
      <c r="AQ153" s="193"/>
      <c r="AR153" s="193"/>
      <c r="AS153" s="193"/>
      <c r="AT153" s="193"/>
      <c r="AU153" s="193"/>
      <c r="AV153" s="194"/>
      <c r="AW153" s="193"/>
      <c r="AX153" s="207"/>
      <c r="AY153" s="208"/>
      <c r="AZ153" s="209"/>
      <c r="BA153" s="209"/>
      <c r="BB153" s="209"/>
      <c r="BC153" s="206"/>
      <c r="BD153" s="206"/>
      <c r="BE153" s="213"/>
      <c r="BF153" s="217"/>
      <c r="BG153" s="209"/>
      <c r="BH153" s="218"/>
      <c r="BI153" s="215"/>
      <c r="BJ153" s="215"/>
      <c r="BK153" s="215"/>
      <c r="BL153" s="215"/>
      <c r="BM153" s="215"/>
      <c r="BN153" s="215"/>
      <c r="BO153" s="216"/>
      <c r="BP153" s="215"/>
      <c r="BQ153" s="228"/>
      <c r="BR153" s="229"/>
      <c r="BS153" s="230"/>
      <c r="BT153" s="230"/>
      <c r="BU153" s="230"/>
      <c r="BV153" s="227"/>
      <c r="BW153" s="227"/>
      <c r="BX153" s="234"/>
      <c r="BY153" s="229"/>
      <c r="BZ153" s="230"/>
      <c r="CA153" s="235"/>
    </row>
    <row r="154" spans="1:79" ht="151.5" customHeight="1">
      <c r="A154" s="134" t="str">
        <f>IFERROR(INDEX(Riesgos!$A$7:$M$84,MATCH(E154,INDEX(Riesgos!$A$7:$M$84,,MATCH(E$7,Riesgos!$A$6:$M$6,0)),0),MATCH(A$7,Riesgos!$A$6:$M$6,0)),"")</f>
        <v/>
      </c>
      <c r="B154" s="135" t="str">
        <f>IFERROR(INDEX(Riesgos!$A$7:$M$84,MATCH(E154,INDEX(Riesgos!$A$7:$M$84,,MATCH(E$7,Riesgos!$A$6:$M$6,0)),0),MATCH(B$7,Riesgos!$A$6:$M$6,0)),"")</f>
        <v/>
      </c>
      <c r="C154" s="135"/>
      <c r="D154" s="136" t="str">
        <f>IFERROR(INDEX(Riesgos!$A$7:$M$84,MATCH(E154,INDEX(Riesgos!$A$7:$M$84,,MATCH(E$7,Riesgos!$A$6:$M$6,0)),0),MATCH(D$7,Riesgos!$A$6:$M$6,0)),"")</f>
        <v/>
      </c>
      <c r="E154" s="137"/>
      <c r="F154" s="137"/>
      <c r="G154" s="138" t="str">
        <f t="shared" si="3"/>
        <v/>
      </c>
      <c r="H154" s="139"/>
      <c r="I154" s="153" t="str">
        <f>IF(A153=A154,IFERROR(IF(AND(#REF!="Probabilidad",#REF!="Probabilidad"),(#REF!-(+#REF!*#REF!)),IF(#REF!="Probabilidad",(#REF!-(+#REF!*#REF!)),IF(#REF!="Impacto",#REF!,""))),""),IFERROR(IF(#REF!="Probabilidad",(#REF!-(+#REF!*#REF!)),IF(#REF!="Impacto",#REF!,"")),""))</f>
        <v/>
      </c>
      <c r="J154" s="154" t="str">
        <f>IFERROR(IF(I154="","",IF(I154&lt;='Listas y tablas'!$L$3,"Muy Baja",IF(I154&lt;='Listas y tablas'!$L$4,"Baja",IF(I154&lt;='Listas y tablas'!$L$5,"Media",IF(I154&lt;='Listas y tablas'!$L$6,"Alta","Muy Alta"))))),"")</f>
        <v/>
      </c>
      <c r="K154" s="155"/>
      <c r="L154" s="156"/>
      <c r="M154" s="150"/>
      <c r="N154" s="151"/>
      <c r="O154" s="151"/>
      <c r="P154" s="152"/>
      <c r="Q154" s="162"/>
      <c r="R154" s="151"/>
      <c r="S154" s="151"/>
      <c r="T154" s="151"/>
      <c r="U154" s="151"/>
      <c r="V154" s="165"/>
      <c r="W154" s="150"/>
      <c r="X154" s="151"/>
      <c r="Y154" s="151"/>
      <c r="Z154" s="151"/>
      <c r="AA154" s="151"/>
      <c r="AB154" s="151"/>
      <c r="AC154" s="163"/>
      <c r="AD154" s="151"/>
      <c r="AE154" s="152"/>
      <c r="AF154" s="173"/>
      <c r="AG154" s="185"/>
      <c r="AH154" s="185"/>
      <c r="AI154" s="186"/>
      <c r="AJ154" s="181"/>
      <c r="AK154" s="181"/>
      <c r="AL154" s="183"/>
      <c r="AM154" s="173"/>
      <c r="AN154" s="187"/>
      <c r="AO154" s="195"/>
      <c r="AP154" s="193"/>
      <c r="AQ154" s="193"/>
      <c r="AR154" s="193"/>
      <c r="AS154" s="193"/>
      <c r="AT154" s="193"/>
      <c r="AU154" s="193"/>
      <c r="AV154" s="194"/>
      <c r="AW154" s="193"/>
      <c r="AX154" s="207"/>
      <c r="AY154" s="208"/>
      <c r="AZ154" s="209"/>
      <c r="BA154" s="209"/>
      <c r="BB154" s="209"/>
      <c r="BC154" s="206"/>
      <c r="BD154" s="206"/>
      <c r="BE154" s="213"/>
      <c r="BF154" s="217"/>
      <c r="BG154" s="209"/>
      <c r="BH154" s="218"/>
      <c r="BI154" s="215"/>
      <c r="BJ154" s="215"/>
      <c r="BK154" s="215"/>
      <c r="BL154" s="215"/>
      <c r="BM154" s="215"/>
      <c r="BN154" s="215"/>
      <c r="BO154" s="216"/>
      <c r="BP154" s="215"/>
      <c r="BQ154" s="228"/>
      <c r="BR154" s="229"/>
      <c r="BS154" s="230"/>
      <c r="BT154" s="230"/>
      <c r="BU154" s="230"/>
      <c r="BV154" s="227"/>
      <c r="BW154" s="227"/>
      <c r="BX154" s="234"/>
      <c r="BY154" s="229"/>
      <c r="BZ154" s="230"/>
      <c r="CA154" s="235"/>
    </row>
    <row r="155" spans="1:79" ht="151.5" customHeight="1">
      <c r="A155" s="134" t="str">
        <f>IFERROR(INDEX(Riesgos!$A$7:$M$84,MATCH(E155,INDEX(Riesgos!$A$7:$M$84,,MATCH(E$7,Riesgos!$A$6:$M$6,0)),0),MATCH(A$7,Riesgos!$A$6:$M$6,0)),"")</f>
        <v/>
      </c>
      <c r="B155" s="135" t="str">
        <f>IFERROR(INDEX(Riesgos!$A$7:$M$84,MATCH(E155,INDEX(Riesgos!$A$7:$M$84,,MATCH(E$7,Riesgos!$A$6:$M$6,0)),0),MATCH(B$7,Riesgos!$A$6:$M$6,0)),"")</f>
        <v/>
      </c>
      <c r="C155" s="135"/>
      <c r="D155" s="136" t="str">
        <f>IFERROR(INDEX(Riesgos!$A$7:$M$84,MATCH(E155,INDEX(Riesgos!$A$7:$M$84,,MATCH(E$7,Riesgos!$A$6:$M$6,0)),0),MATCH(D$7,Riesgos!$A$6:$M$6,0)),"")</f>
        <v/>
      </c>
      <c r="E155" s="137"/>
      <c r="F155" s="137"/>
      <c r="G155" s="138" t="str">
        <f t="shared" si="3"/>
        <v/>
      </c>
      <c r="H155" s="139"/>
      <c r="I155" s="153" t="str">
        <f>IF(A154=A155,IFERROR(IF(AND(#REF!="Probabilidad",#REF!="Probabilidad"),(#REF!-(+#REF!*#REF!)),IF(#REF!="Probabilidad",(#REF!-(+#REF!*#REF!)),IF(#REF!="Impacto",#REF!,""))),""),IFERROR(IF(#REF!="Probabilidad",(#REF!-(+#REF!*#REF!)),IF(#REF!="Impacto",#REF!,"")),""))</f>
        <v/>
      </c>
      <c r="J155" s="154" t="str">
        <f>IFERROR(IF(I155="","",IF(I155&lt;='Listas y tablas'!$L$3,"Muy Baja",IF(I155&lt;='Listas y tablas'!$L$4,"Baja",IF(I155&lt;='Listas y tablas'!$L$5,"Media",IF(I155&lt;='Listas y tablas'!$L$6,"Alta","Muy Alta"))))),"")</f>
        <v/>
      </c>
      <c r="K155" s="155"/>
      <c r="L155" s="156"/>
      <c r="M155" s="150"/>
      <c r="N155" s="151"/>
      <c r="O155" s="151"/>
      <c r="P155" s="152"/>
      <c r="Q155" s="162"/>
      <c r="R155" s="151"/>
      <c r="S155" s="151"/>
      <c r="T155" s="151"/>
      <c r="U155" s="151"/>
      <c r="V155" s="165"/>
      <c r="W155" s="150"/>
      <c r="X155" s="151"/>
      <c r="Y155" s="151"/>
      <c r="Z155" s="151"/>
      <c r="AA155" s="151"/>
      <c r="AB155" s="151"/>
      <c r="AC155" s="163"/>
      <c r="AD155" s="151"/>
      <c r="AE155" s="152"/>
      <c r="AF155" s="173"/>
      <c r="AG155" s="185"/>
      <c r="AH155" s="185"/>
      <c r="AI155" s="186"/>
      <c r="AJ155" s="181"/>
      <c r="AK155" s="181"/>
      <c r="AL155" s="183"/>
      <c r="AM155" s="173"/>
      <c r="AN155" s="187"/>
      <c r="AO155" s="195"/>
      <c r="AP155" s="193"/>
      <c r="AQ155" s="193"/>
      <c r="AR155" s="193"/>
      <c r="AS155" s="193"/>
      <c r="AT155" s="193"/>
      <c r="AU155" s="193"/>
      <c r="AV155" s="194"/>
      <c r="AW155" s="193"/>
      <c r="AX155" s="207"/>
      <c r="AY155" s="208"/>
      <c r="AZ155" s="209"/>
      <c r="BA155" s="209"/>
      <c r="BB155" s="209"/>
      <c r="BC155" s="206"/>
      <c r="BD155" s="206"/>
      <c r="BE155" s="213"/>
      <c r="BF155" s="217"/>
      <c r="BG155" s="209"/>
      <c r="BH155" s="218"/>
      <c r="BI155" s="215"/>
      <c r="BJ155" s="215"/>
      <c r="BK155" s="215"/>
      <c r="BL155" s="215"/>
      <c r="BM155" s="215"/>
      <c r="BN155" s="215"/>
      <c r="BO155" s="216"/>
      <c r="BP155" s="215"/>
      <c r="BQ155" s="228"/>
      <c r="BR155" s="229"/>
      <c r="BS155" s="230"/>
      <c r="BT155" s="230"/>
      <c r="BU155" s="230"/>
      <c r="BV155" s="227"/>
      <c r="BW155" s="227"/>
      <c r="BX155" s="234"/>
      <c r="BY155" s="229"/>
      <c r="BZ155" s="230"/>
      <c r="CA155" s="235"/>
    </row>
    <row r="156" spans="1:79" ht="151.5" customHeight="1">
      <c r="A156" s="134" t="str">
        <f>IFERROR(INDEX(Riesgos!$A$7:$M$84,MATCH(E156,INDEX(Riesgos!$A$7:$M$84,,MATCH(E$7,Riesgos!$A$6:$M$6,0)),0),MATCH(A$7,Riesgos!$A$6:$M$6,0)),"")</f>
        <v/>
      </c>
      <c r="B156" s="135" t="str">
        <f>IFERROR(INDEX(Riesgos!$A$7:$M$84,MATCH(E156,INDEX(Riesgos!$A$7:$M$84,,MATCH(E$7,Riesgos!$A$6:$M$6,0)),0),MATCH(B$7,Riesgos!$A$6:$M$6,0)),"")</f>
        <v/>
      </c>
      <c r="C156" s="135"/>
      <c r="D156" s="136" t="str">
        <f>IFERROR(INDEX(Riesgos!$A$7:$M$84,MATCH(E156,INDEX(Riesgos!$A$7:$M$84,,MATCH(E$7,Riesgos!$A$6:$M$6,0)),0),MATCH(D$7,Riesgos!$A$6:$M$6,0)),"")</f>
        <v/>
      </c>
      <c r="E156" s="137"/>
      <c r="F156" s="137"/>
      <c r="G156" s="138" t="str">
        <f t="shared" si="3"/>
        <v/>
      </c>
      <c r="H156" s="139"/>
      <c r="I156" s="153" t="str">
        <f>IF(A155=A156,IFERROR(IF(AND(#REF!="Probabilidad",#REF!="Probabilidad"),(#REF!-(+#REF!*#REF!)),IF(#REF!="Probabilidad",(#REF!-(+#REF!*#REF!)),IF(#REF!="Impacto",#REF!,""))),""),IFERROR(IF(#REF!="Probabilidad",(#REF!-(+#REF!*#REF!)),IF(#REF!="Impacto",#REF!,"")),""))</f>
        <v/>
      </c>
      <c r="J156" s="154" t="str">
        <f>IFERROR(IF(I156="","",IF(I156&lt;='Listas y tablas'!$L$3,"Muy Baja",IF(I156&lt;='Listas y tablas'!$L$4,"Baja",IF(I156&lt;='Listas y tablas'!$L$5,"Media",IF(I156&lt;='Listas y tablas'!$L$6,"Alta","Muy Alta"))))),"")</f>
        <v/>
      </c>
      <c r="K156" s="155"/>
      <c r="L156" s="156"/>
      <c r="M156" s="150"/>
      <c r="N156" s="151"/>
      <c r="O156" s="151"/>
      <c r="P156" s="152"/>
      <c r="Q156" s="162"/>
      <c r="R156" s="151"/>
      <c r="S156" s="151"/>
      <c r="T156" s="151"/>
      <c r="U156" s="151"/>
      <c r="V156" s="165"/>
      <c r="W156" s="150"/>
      <c r="X156" s="151"/>
      <c r="Y156" s="151"/>
      <c r="Z156" s="151"/>
      <c r="AA156" s="151"/>
      <c r="AB156" s="151"/>
      <c r="AC156" s="163"/>
      <c r="AD156" s="151"/>
      <c r="AE156" s="152"/>
      <c r="AF156" s="173"/>
      <c r="AG156" s="185"/>
      <c r="AH156" s="185"/>
      <c r="AI156" s="186"/>
      <c r="AJ156" s="181"/>
      <c r="AK156" s="181"/>
      <c r="AL156" s="183"/>
      <c r="AM156" s="173"/>
      <c r="AN156" s="187"/>
      <c r="AO156" s="195"/>
      <c r="AP156" s="193"/>
      <c r="AQ156" s="193"/>
      <c r="AR156" s="193"/>
      <c r="AS156" s="193"/>
      <c r="AT156" s="193"/>
      <c r="AU156" s="193"/>
      <c r="AV156" s="194"/>
      <c r="AW156" s="193"/>
      <c r="AX156" s="207"/>
      <c r="AY156" s="208"/>
      <c r="AZ156" s="209"/>
      <c r="BA156" s="209"/>
      <c r="BB156" s="209"/>
      <c r="BC156" s="206"/>
      <c r="BD156" s="206"/>
      <c r="BE156" s="213"/>
      <c r="BF156" s="217"/>
      <c r="BG156" s="209"/>
      <c r="BH156" s="218"/>
      <c r="BI156" s="215"/>
      <c r="BJ156" s="215"/>
      <c r="BK156" s="215"/>
      <c r="BL156" s="215"/>
      <c r="BM156" s="215"/>
      <c r="BN156" s="215"/>
      <c r="BO156" s="216"/>
      <c r="BP156" s="215"/>
      <c r="BQ156" s="228"/>
      <c r="BR156" s="229"/>
      <c r="BS156" s="230"/>
      <c r="BT156" s="230"/>
      <c r="BU156" s="230"/>
      <c r="BV156" s="227"/>
      <c r="BW156" s="227"/>
      <c r="BX156" s="234"/>
      <c r="BY156" s="229"/>
      <c r="BZ156" s="230"/>
      <c r="CA156" s="235"/>
    </row>
    <row r="157" spans="1:79" ht="151.5" customHeight="1">
      <c r="A157" s="134" t="str">
        <f>IFERROR(INDEX(Riesgos!$A$7:$M$84,MATCH(E157,INDEX(Riesgos!$A$7:$M$84,,MATCH(E$7,Riesgos!$A$6:$M$6,0)),0),MATCH(A$7,Riesgos!$A$6:$M$6,0)),"")</f>
        <v/>
      </c>
      <c r="B157" s="135" t="str">
        <f>IFERROR(INDEX(Riesgos!$A$7:$M$84,MATCH(E157,INDEX(Riesgos!$A$7:$M$84,,MATCH(E$7,Riesgos!$A$6:$M$6,0)),0),MATCH(B$7,Riesgos!$A$6:$M$6,0)),"")</f>
        <v/>
      </c>
      <c r="C157" s="135"/>
      <c r="D157" s="136" t="str">
        <f>IFERROR(INDEX(Riesgos!$A$7:$M$84,MATCH(E157,INDEX(Riesgos!$A$7:$M$84,,MATCH(E$7,Riesgos!$A$6:$M$6,0)),0),MATCH(D$7,Riesgos!$A$6:$M$6,0)),"")</f>
        <v/>
      </c>
      <c r="E157" s="137"/>
      <c r="F157" s="137"/>
      <c r="G157" s="138" t="str">
        <f t="shared" si="3"/>
        <v/>
      </c>
      <c r="H157" s="139"/>
      <c r="I157" s="153" t="str">
        <f>IF(A156=A157,IFERROR(IF(AND(#REF!="Probabilidad",#REF!="Probabilidad"),(#REF!-(+#REF!*#REF!)),IF(#REF!="Probabilidad",(#REF!-(+#REF!*#REF!)),IF(#REF!="Impacto",#REF!,""))),""),IFERROR(IF(#REF!="Probabilidad",(#REF!-(+#REF!*#REF!)),IF(#REF!="Impacto",#REF!,"")),""))</f>
        <v/>
      </c>
      <c r="J157" s="154" t="str">
        <f>IFERROR(IF(I157="","",IF(I157&lt;='Listas y tablas'!$L$3,"Muy Baja",IF(I157&lt;='Listas y tablas'!$L$4,"Baja",IF(I157&lt;='Listas y tablas'!$L$5,"Media",IF(I157&lt;='Listas y tablas'!$L$6,"Alta","Muy Alta"))))),"")</f>
        <v/>
      </c>
      <c r="K157" s="155"/>
      <c r="L157" s="156"/>
      <c r="M157" s="150"/>
      <c r="N157" s="151"/>
      <c r="O157" s="151"/>
      <c r="P157" s="152"/>
      <c r="Q157" s="162"/>
      <c r="R157" s="151"/>
      <c r="S157" s="151"/>
      <c r="T157" s="151"/>
      <c r="U157" s="151"/>
      <c r="V157" s="165"/>
      <c r="W157" s="150"/>
      <c r="X157" s="151"/>
      <c r="Y157" s="151"/>
      <c r="Z157" s="151"/>
      <c r="AA157" s="151"/>
      <c r="AB157" s="151"/>
      <c r="AC157" s="163"/>
      <c r="AD157" s="151"/>
      <c r="AE157" s="152"/>
      <c r="AF157" s="173"/>
      <c r="AG157" s="185"/>
      <c r="AH157" s="185"/>
      <c r="AI157" s="186"/>
      <c r="AJ157" s="181"/>
      <c r="AK157" s="181"/>
      <c r="AL157" s="183"/>
      <c r="AM157" s="173"/>
      <c r="AN157" s="187"/>
      <c r="AO157" s="195"/>
      <c r="AP157" s="193"/>
      <c r="AQ157" s="193"/>
      <c r="AR157" s="193"/>
      <c r="AS157" s="193"/>
      <c r="AT157" s="193"/>
      <c r="AU157" s="193"/>
      <c r="AV157" s="194"/>
      <c r="AW157" s="193"/>
      <c r="AX157" s="207"/>
      <c r="AY157" s="208"/>
      <c r="AZ157" s="209"/>
      <c r="BA157" s="209"/>
      <c r="BB157" s="209"/>
      <c r="BC157" s="206"/>
      <c r="BD157" s="206"/>
      <c r="BE157" s="213"/>
      <c r="BF157" s="217"/>
      <c r="BG157" s="209"/>
      <c r="BH157" s="218"/>
      <c r="BI157" s="215"/>
      <c r="BJ157" s="215"/>
      <c r="BK157" s="215"/>
      <c r="BL157" s="215"/>
      <c r="BM157" s="215"/>
      <c r="BN157" s="215"/>
      <c r="BO157" s="216"/>
      <c r="BP157" s="215"/>
      <c r="BQ157" s="228"/>
      <c r="BR157" s="229"/>
      <c r="BS157" s="230"/>
      <c r="BT157" s="230"/>
      <c r="BU157" s="230"/>
      <c r="BV157" s="227"/>
      <c r="BW157" s="227"/>
      <c r="BX157" s="234"/>
      <c r="BY157" s="229"/>
      <c r="BZ157" s="230"/>
      <c r="CA157" s="235"/>
    </row>
    <row r="158" spans="1:79" ht="151.5" customHeight="1">
      <c r="A158" s="134" t="str">
        <f>IFERROR(INDEX(Riesgos!$A$7:$M$84,MATCH(E158,INDEX(Riesgos!$A$7:$M$84,,MATCH(E$7,Riesgos!$A$6:$M$6,0)),0),MATCH(A$7,Riesgos!$A$6:$M$6,0)),"")</f>
        <v/>
      </c>
      <c r="B158" s="135" t="str">
        <f>IFERROR(INDEX(Riesgos!$A$7:$M$84,MATCH(E158,INDEX(Riesgos!$A$7:$M$84,,MATCH(E$7,Riesgos!$A$6:$M$6,0)),0),MATCH(B$7,Riesgos!$A$6:$M$6,0)),"")</f>
        <v/>
      </c>
      <c r="C158" s="135"/>
      <c r="D158" s="136" t="str">
        <f>IFERROR(INDEX(Riesgos!$A$7:$M$84,MATCH(E158,INDEX(Riesgos!$A$7:$M$84,,MATCH(E$7,Riesgos!$A$6:$M$6,0)),0),MATCH(D$7,Riesgos!$A$6:$M$6,0)),"")</f>
        <v/>
      </c>
      <c r="E158" s="137"/>
      <c r="F158" s="137"/>
      <c r="G158" s="138" t="str">
        <f t="shared" si="3"/>
        <v/>
      </c>
      <c r="H158" s="139"/>
      <c r="I158" s="153" t="str">
        <f>IF(A157=A158,IFERROR(IF(AND(#REF!="Probabilidad",#REF!="Probabilidad"),(#REF!-(+#REF!*#REF!)),IF(#REF!="Probabilidad",(#REF!-(+#REF!*#REF!)),IF(#REF!="Impacto",#REF!,""))),""),IFERROR(IF(#REF!="Probabilidad",(#REF!-(+#REF!*#REF!)),IF(#REF!="Impacto",#REF!,"")),""))</f>
        <v/>
      </c>
      <c r="J158" s="154" t="str">
        <f>IFERROR(IF(I158="","",IF(I158&lt;='Listas y tablas'!$L$3,"Muy Baja",IF(I158&lt;='Listas y tablas'!$L$4,"Baja",IF(I158&lt;='Listas y tablas'!$L$5,"Media",IF(I158&lt;='Listas y tablas'!$L$6,"Alta","Muy Alta"))))),"")</f>
        <v/>
      </c>
      <c r="K158" s="155"/>
      <c r="L158" s="156"/>
      <c r="M158" s="150"/>
      <c r="N158" s="151"/>
      <c r="O158" s="151"/>
      <c r="P158" s="152"/>
      <c r="Q158" s="162"/>
      <c r="R158" s="151"/>
      <c r="S158" s="151"/>
      <c r="T158" s="151"/>
      <c r="U158" s="151"/>
      <c r="V158" s="165"/>
      <c r="W158" s="150"/>
      <c r="X158" s="151"/>
      <c r="Y158" s="151"/>
      <c r="Z158" s="151"/>
      <c r="AA158" s="151"/>
      <c r="AB158" s="151"/>
      <c r="AC158" s="163"/>
      <c r="AD158" s="151"/>
      <c r="AE158" s="152"/>
      <c r="AF158" s="173"/>
      <c r="AG158" s="185"/>
      <c r="AH158" s="185"/>
      <c r="AI158" s="186"/>
      <c r="AJ158" s="181"/>
      <c r="AK158" s="181"/>
      <c r="AL158" s="183"/>
      <c r="AM158" s="173"/>
      <c r="AN158" s="187"/>
      <c r="AO158" s="195"/>
      <c r="AP158" s="193"/>
      <c r="AQ158" s="193"/>
      <c r="AR158" s="193"/>
      <c r="AS158" s="193"/>
      <c r="AT158" s="193"/>
      <c r="AU158" s="193"/>
      <c r="AV158" s="194"/>
      <c r="AW158" s="193"/>
      <c r="AX158" s="207"/>
      <c r="AY158" s="208"/>
      <c r="AZ158" s="209"/>
      <c r="BA158" s="209"/>
      <c r="BB158" s="209"/>
      <c r="BC158" s="206"/>
      <c r="BD158" s="206"/>
      <c r="BE158" s="213"/>
      <c r="BF158" s="217"/>
      <c r="BG158" s="209"/>
      <c r="BH158" s="218"/>
      <c r="BI158" s="215"/>
      <c r="BJ158" s="215"/>
      <c r="BK158" s="215"/>
      <c r="BL158" s="215"/>
      <c r="BM158" s="215"/>
      <c r="BN158" s="215"/>
      <c r="BO158" s="216"/>
      <c r="BP158" s="215"/>
      <c r="BQ158" s="228"/>
      <c r="BR158" s="229"/>
      <c r="BS158" s="230"/>
      <c r="BT158" s="230"/>
      <c r="BU158" s="230"/>
      <c r="BV158" s="227"/>
      <c r="BW158" s="227"/>
      <c r="BX158" s="234"/>
      <c r="BY158" s="229"/>
      <c r="BZ158" s="230"/>
      <c r="CA158" s="235"/>
    </row>
    <row r="159" spans="1:79" ht="151.5" customHeight="1">
      <c r="A159" s="134" t="str">
        <f>IFERROR(INDEX(Riesgos!$A$7:$M$84,MATCH(E159,INDEX(Riesgos!$A$7:$M$84,,MATCH(E$7,Riesgos!$A$6:$M$6,0)),0),MATCH(A$7,Riesgos!$A$6:$M$6,0)),"")</f>
        <v/>
      </c>
      <c r="B159" s="135" t="str">
        <f>IFERROR(INDEX(Riesgos!$A$7:$M$84,MATCH(E159,INDEX(Riesgos!$A$7:$M$84,,MATCH(E$7,Riesgos!$A$6:$M$6,0)),0),MATCH(B$7,Riesgos!$A$6:$M$6,0)),"")</f>
        <v/>
      </c>
      <c r="C159" s="135"/>
      <c r="D159" s="136" t="str">
        <f>IFERROR(INDEX(Riesgos!$A$7:$M$84,MATCH(E159,INDEX(Riesgos!$A$7:$M$84,,MATCH(E$7,Riesgos!$A$6:$M$6,0)),0),MATCH(D$7,Riesgos!$A$6:$M$6,0)),"")</f>
        <v/>
      </c>
      <c r="E159" s="137"/>
      <c r="F159" s="137"/>
      <c r="G159" s="138" t="str">
        <f t="shared" si="3"/>
        <v/>
      </c>
      <c r="H159" s="139"/>
      <c r="I159" s="153" t="str">
        <f>IF(A158=A159,IFERROR(IF(AND(#REF!="Probabilidad",#REF!="Probabilidad"),(#REF!-(+#REF!*#REF!)),IF(#REF!="Probabilidad",(#REF!-(+#REF!*#REF!)),IF(#REF!="Impacto",#REF!,""))),""),IFERROR(IF(#REF!="Probabilidad",(#REF!-(+#REF!*#REF!)),IF(#REF!="Impacto",#REF!,"")),""))</f>
        <v/>
      </c>
      <c r="J159" s="154" t="str">
        <f>IFERROR(IF(I159="","",IF(I159&lt;='Listas y tablas'!$L$3,"Muy Baja",IF(I159&lt;='Listas y tablas'!$L$4,"Baja",IF(I159&lt;='Listas y tablas'!$L$5,"Media",IF(I159&lt;='Listas y tablas'!$L$6,"Alta","Muy Alta"))))),"")</f>
        <v/>
      </c>
      <c r="K159" s="155"/>
      <c r="L159" s="156"/>
      <c r="M159" s="150"/>
      <c r="N159" s="151"/>
      <c r="O159" s="151"/>
      <c r="P159" s="152"/>
      <c r="Q159" s="162"/>
      <c r="R159" s="151"/>
      <c r="S159" s="151"/>
      <c r="T159" s="151"/>
      <c r="U159" s="151"/>
      <c r="V159" s="165"/>
      <c r="W159" s="150"/>
      <c r="X159" s="151"/>
      <c r="Y159" s="151"/>
      <c r="Z159" s="151"/>
      <c r="AA159" s="151"/>
      <c r="AB159" s="151"/>
      <c r="AC159" s="163"/>
      <c r="AD159" s="151"/>
      <c r="AE159" s="152"/>
      <c r="AF159" s="173"/>
      <c r="AG159" s="185"/>
      <c r="AH159" s="185"/>
      <c r="AI159" s="186"/>
      <c r="AJ159" s="181"/>
      <c r="AK159" s="181"/>
      <c r="AL159" s="183"/>
      <c r="AM159" s="173"/>
      <c r="AN159" s="187"/>
      <c r="AO159" s="195"/>
      <c r="AP159" s="193"/>
      <c r="AQ159" s="193"/>
      <c r="AR159" s="193"/>
      <c r="AS159" s="193"/>
      <c r="AT159" s="193"/>
      <c r="AU159" s="193"/>
      <c r="AV159" s="194"/>
      <c r="AW159" s="193"/>
      <c r="AX159" s="207"/>
      <c r="AY159" s="208"/>
      <c r="AZ159" s="209"/>
      <c r="BA159" s="209"/>
      <c r="BB159" s="209"/>
      <c r="BC159" s="206"/>
      <c r="BD159" s="206"/>
      <c r="BE159" s="213"/>
      <c r="BF159" s="217"/>
      <c r="BG159" s="209"/>
      <c r="BH159" s="218"/>
      <c r="BI159" s="215"/>
      <c r="BJ159" s="215"/>
      <c r="BK159" s="215"/>
      <c r="BL159" s="215"/>
      <c r="BM159" s="215"/>
      <c r="BN159" s="215"/>
      <c r="BO159" s="216"/>
      <c r="BP159" s="215"/>
      <c r="BQ159" s="228"/>
      <c r="BR159" s="229"/>
      <c r="BS159" s="230"/>
      <c r="BT159" s="230"/>
      <c r="BU159" s="230"/>
      <c r="BV159" s="227"/>
      <c r="BW159" s="227"/>
      <c r="BX159" s="234"/>
      <c r="BY159" s="229"/>
      <c r="BZ159" s="230"/>
      <c r="CA159" s="235"/>
    </row>
    <row r="160" spans="1:79" ht="151.5" customHeight="1">
      <c r="A160" s="134" t="str">
        <f>IFERROR(INDEX(Riesgos!$A$7:$M$84,MATCH(E160,INDEX(Riesgos!$A$7:$M$84,,MATCH(E$7,Riesgos!$A$6:$M$6,0)),0),MATCH(A$7,Riesgos!$A$6:$M$6,0)),"")</f>
        <v/>
      </c>
      <c r="B160" s="135" t="str">
        <f>IFERROR(INDEX(Riesgos!$A$7:$M$84,MATCH(E160,INDEX(Riesgos!$A$7:$M$84,,MATCH(E$7,Riesgos!$A$6:$M$6,0)),0),MATCH(B$7,Riesgos!$A$6:$M$6,0)),"")</f>
        <v/>
      </c>
      <c r="C160" s="135"/>
      <c r="D160" s="136" t="str">
        <f>IFERROR(INDEX(Riesgos!$A$7:$M$84,MATCH(E160,INDEX(Riesgos!$A$7:$M$84,,MATCH(E$7,Riesgos!$A$6:$M$6,0)),0),MATCH(D$7,Riesgos!$A$6:$M$6,0)),"")</f>
        <v/>
      </c>
      <c r="E160" s="137"/>
      <c r="F160" s="137"/>
      <c r="G160" s="138" t="str">
        <f t="shared" si="3"/>
        <v/>
      </c>
      <c r="H160" s="139"/>
      <c r="I160" s="153" t="str">
        <f>IF(A159=A160,IFERROR(IF(AND(#REF!="Probabilidad",#REF!="Probabilidad"),(#REF!-(+#REF!*#REF!)),IF(#REF!="Probabilidad",(#REF!-(+#REF!*#REF!)),IF(#REF!="Impacto",#REF!,""))),""),IFERROR(IF(#REF!="Probabilidad",(#REF!-(+#REF!*#REF!)),IF(#REF!="Impacto",#REF!,"")),""))</f>
        <v/>
      </c>
      <c r="J160" s="154" t="str">
        <f>IFERROR(IF(I160="","",IF(I160&lt;='Listas y tablas'!$L$3,"Muy Baja",IF(I160&lt;='Listas y tablas'!$L$4,"Baja",IF(I160&lt;='Listas y tablas'!$L$5,"Media",IF(I160&lt;='Listas y tablas'!$L$6,"Alta","Muy Alta"))))),"")</f>
        <v/>
      </c>
      <c r="K160" s="155"/>
      <c r="L160" s="156"/>
      <c r="M160" s="150"/>
      <c r="N160" s="151"/>
      <c r="O160" s="151"/>
      <c r="P160" s="152"/>
      <c r="Q160" s="162"/>
      <c r="R160" s="151"/>
      <c r="S160" s="151"/>
      <c r="T160" s="151"/>
      <c r="U160" s="151"/>
      <c r="V160" s="165"/>
      <c r="W160" s="150"/>
      <c r="X160" s="151"/>
      <c r="Y160" s="151"/>
      <c r="Z160" s="151"/>
      <c r="AA160" s="151"/>
      <c r="AB160" s="151"/>
      <c r="AC160" s="163"/>
      <c r="AD160" s="151"/>
      <c r="AE160" s="152"/>
      <c r="AF160" s="173"/>
      <c r="AG160" s="185"/>
      <c r="AH160" s="185"/>
      <c r="AI160" s="186"/>
      <c r="AJ160" s="181"/>
      <c r="AK160" s="181"/>
      <c r="AL160" s="183"/>
      <c r="AM160" s="173"/>
      <c r="AN160" s="187"/>
      <c r="AO160" s="195"/>
      <c r="AP160" s="193"/>
      <c r="AQ160" s="193"/>
      <c r="AR160" s="193"/>
      <c r="AS160" s="193"/>
      <c r="AT160" s="193"/>
      <c r="AU160" s="193"/>
      <c r="AV160" s="194"/>
      <c r="AW160" s="193"/>
      <c r="AX160" s="207"/>
      <c r="AY160" s="208"/>
      <c r="AZ160" s="209"/>
      <c r="BA160" s="209"/>
      <c r="BB160" s="209"/>
      <c r="BC160" s="206"/>
      <c r="BD160" s="206"/>
      <c r="BE160" s="213"/>
      <c r="BF160" s="217"/>
      <c r="BG160" s="209"/>
      <c r="BH160" s="218"/>
      <c r="BI160" s="215"/>
      <c r="BJ160" s="215"/>
      <c r="BK160" s="215"/>
      <c r="BL160" s="215"/>
      <c r="BM160" s="215"/>
      <c r="BN160" s="215"/>
      <c r="BO160" s="216"/>
      <c r="BP160" s="215"/>
      <c r="BQ160" s="228"/>
      <c r="BR160" s="229"/>
      <c r="BS160" s="230"/>
      <c r="BT160" s="230"/>
      <c r="BU160" s="230"/>
      <c r="BV160" s="227"/>
      <c r="BW160" s="227"/>
      <c r="BX160" s="234"/>
      <c r="BY160" s="229"/>
      <c r="BZ160" s="230"/>
      <c r="CA160" s="235"/>
    </row>
    <row r="161" spans="1:79" ht="151.5" customHeight="1">
      <c r="A161" s="134" t="str">
        <f>IFERROR(INDEX(Riesgos!$A$7:$M$84,MATCH(E161,INDEX(Riesgos!$A$7:$M$84,,MATCH(E$7,Riesgos!$A$6:$M$6,0)),0),MATCH(A$7,Riesgos!$A$6:$M$6,0)),"")</f>
        <v/>
      </c>
      <c r="B161" s="135" t="str">
        <f>IFERROR(INDEX(Riesgos!$A$7:$M$84,MATCH(E161,INDEX(Riesgos!$A$7:$M$84,,MATCH(E$7,Riesgos!$A$6:$M$6,0)),0),MATCH(B$7,Riesgos!$A$6:$M$6,0)),"")</f>
        <v/>
      </c>
      <c r="C161" s="135"/>
      <c r="D161" s="136" t="str">
        <f>IFERROR(INDEX(Riesgos!$A$7:$M$84,MATCH(E161,INDEX(Riesgos!$A$7:$M$84,,MATCH(E$7,Riesgos!$A$6:$M$6,0)),0),MATCH(D$7,Riesgos!$A$6:$M$6,0)),"")</f>
        <v/>
      </c>
      <c r="E161" s="137"/>
      <c r="F161" s="137"/>
      <c r="G161" s="138" t="str">
        <f t="shared" si="3"/>
        <v/>
      </c>
      <c r="H161" s="139"/>
      <c r="I161" s="153" t="str">
        <f>IF(A160=A161,IFERROR(IF(AND(#REF!="Probabilidad",#REF!="Probabilidad"),(#REF!-(+#REF!*#REF!)),IF(#REF!="Probabilidad",(#REF!-(+#REF!*#REF!)),IF(#REF!="Impacto",#REF!,""))),""),IFERROR(IF(#REF!="Probabilidad",(#REF!-(+#REF!*#REF!)),IF(#REF!="Impacto",#REF!,"")),""))</f>
        <v/>
      </c>
      <c r="J161" s="154" t="str">
        <f>IFERROR(IF(I161="","",IF(I161&lt;='Listas y tablas'!$L$3,"Muy Baja",IF(I161&lt;='Listas y tablas'!$L$4,"Baja",IF(I161&lt;='Listas y tablas'!$L$5,"Media",IF(I161&lt;='Listas y tablas'!$L$6,"Alta","Muy Alta"))))),"")</f>
        <v/>
      </c>
      <c r="K161" s="155"/>
      <c r="L161" s="156"/>
      <c r="M161" s="150"/>
      <c r="N161" s="151"/>
      <c r="O161" s="151"/>
      <c r="P161" s="152"/>
      <c r="Q161" s="162"/>
      <c r="R161" s="151"/>
      <c r="S161" s="151"/>
      <c r="T161" s="151"/>
      <c r="U161" s="151"/>
      <c r="V161" s="165"/>
      <c r="W161" s="150"/>
      <c r="X161" s="151"/>
      <c r="Y161" s="151"/>
      <c r="Z161" s="151"/>
      <c r="AA161" s="151"/>
      <c r="AB161" s="151"/>
      <c r="AC161" s="163"/>
      <c r="AD161" s="151"/>
      <c r="AE161" s="152"/>
      <c r="AF161" s="173"/>
      <c r="AG161" s="185"/>
      <c r="AH161" s="185"/>
      <c r="AI161" s="186"/>
      <c r="AJ161" s="181"/>
      <c r="AK161" s="181"/>
      <c r="AL161" s="183"/>
      <c r="AM161" s="173"/>
      <c r="AN161" s="187"/>
      <c r="AO161" s="195"/>
      <c r="AP161" s="193"/>
      <c r="AQ161" s="193"/>
      <c r="AR161" s="193"/>
      <c r="AS161" s="193"/>
      <c r="AT161" s="193"/>
      <c r="AU161" s="193"/>
      <c r="AV161" s="194"/>
      <c r="AW161" s="193"/>
      <c r="AX161" s="207"/>
      <c r="AY161" s="208"/>
      <c r="AZ161" s="209"/>
      <c r="BA161" s="209"/>
      <c r="BB161" s="209"/>
      <c r="BC161" s="206"/>
      <c r="BD161" s="206"/>
      <c r="BE161" s="213"/>
      <c r="BF161" s="217"/>
      <c r="BG161" s="209"/>
      <c r="BH161" s="218"/>
      <c r="BI161" s="215"/>
      <c r="BJ161" s="215"/>
      <c r="BK161" s="215"/>
      <c r="BL161" s="215"/>
      <c r="BM161" s="215"/>
      <c r="BN161" s="215"/>
      <c r="BO161" s="216"/>
      <c r="BP161" s="215"/>
      <c r="BQ161" s="228"/>
      <c r="BR161" s="229"/>
      <c r="BS161" s="230"/>
      <c r="BT161" s="230"/>
      <c r="BU161" s="230"/>
      <c r="BV161" s="227"/>
      <c r="BW161" s="227"/>
      <c r="BX161" s="234"/>
      <c r="BY161" s="229"/>
      <c r="BZ161" s="230"/>
      <c r="CA161" s="235"/>
    </row>
    <row r="162" spans="1:79" ht="151.5" customHeight="1">
      <c r="A162" s="134" t="str">
        <f>IFERROR(INDEX(Riesgos!$A$7:$M$84,MATCH(E162,INDEX(Riesgos!$A$7:$M$84,,MATCH(E$7,Riesgos!$A$6:$M$6,0)),0),MATCH(A$7,Riesgos!$A$6:$M$6,0)),"")</f>
        <v/>
      </c>
      <c r="B162" s="135" t="str">
        <f>IFERROR(INDEX(Riesgos!$A$7:$M$84,MATCH(E162,INDEX(Riesgos!$A$7:$M$84,,MATCH(E$7,Riesgos!$A$6:$M$6,0)),0),MATCH(B$7,Riesgos!$A$6:$M$6,0)),"")</f>
        <v/>
      </c>
      <c r="C162" s="135"/>
      <c r="D162" s="136" t="str">
        <f>IFERROR(INDEX(Riesgos!$A$7:$M$84,MATCH(E162,INDEX(Riesgos!$A$7:$M$84,,MATCH(E$7,Riesgos!$A$6:$M$6,0)),0),MATCH(D$7,Riesgos!$A$6:$M$6,0)),"")</f>
        <v/>
      </c>
      <c r="E162" s="137"/>
      <c r="F162" s="137"/>
      <c r="G162" s="138" t="str">
        <f t="shared" si="3"/>
        <v/>
      </c>
      <c r="H162" s="139"/>
      <c r="I162" s="153" t="str">
        <f>IF(A161=A162,IFERROR(IF(AND(#REF!="Probabilidad",#REF!="Probabilidad"),(#REF!-(+#REF!*#REF!)),IF(#REF!="Probabilidad",(#REF!-(+#REF!*#REF!)),IF(#REF!="Impacto",#REF!,""))),""),IFERROR(IF(#REF!="Probabilidad",(#REF!-(+#REF!*#REF!)),IF(#REF!="Impacto",#REF!,"")),""))</f>
        <v/>
      </c>
      <c r="J162" s="154" t="str">
        <f>IFERROR(IF(I162="","",IF(I162&lt;='Listas y tablas'!$L$3,"Muy Baja",IF(I162&lt;='Listas y tablas'!$L$4,"Baja",IF(I162&lt;='Listas y tablas'!$L$5,"Media",IF(I162&lt;='Listas y tablas'!$L$6,"Alta","Muy Alta"))))),"")</f>
        <v/>
      </c>
      <c r="K162" s="155"/>
      <c r="L162" s="156"/>
      <c r="M162" s="150"/>
      <c r="N162" s="151"/>
      <c r="O162" s="151"/>
      <c r="P162" s="152"/>
      <c r="Q162" s="162"/>
      <c r="R162" s="151"/>
      <c r="S162" s="151"/>
      <c r="T162" s="151"/>
      <c r="U162" s="151"/>
      <c r="V162" s="165"/>
      <c r="W162" s="150"/>
      <c r="X162" s="151"/>
      <c r="Y162" s="151"/>
      <c r="Z162" s="151"/>
      <c r="AA162" s="151"/>
      <c r="AB162" s="151"/>
      <c r="AC162" s="163"/>
      <c r="AD162" s="151"/>
      <c r="AE162" s="152"/>
      <c r="AF162" s="173"/>
      <c r="AG162" s="185"/>
      <c r="AH162" s="185"/>
      <c r="AI162" s="186"/>
      <c r="AJ162" s="181"/>
      <c r="AK162" s="181"/>
      <c r="AL162" s="183"/>
      <c r="AM162" s="173"/>
      <c r="AN162" s="187"/>
      <c r="AO162" s="195"/>
      <c r="AP162" s="193"/>
      <c r="AQ162" s="193"/>
      <c r="AR162" s="193"/>
      <c r="AS162" s="193"/>
      <c r="AT162" s="193"/>
      <c r="AU162" s="193"/>
      <c r="AV162" s="194"/>
      <c r="AW162" s="193"/>
      <c r="AX162" s="207"/>
      <c r="AY162" s="208"/>
      <c r="AZ162" s="209"/>
      <c r="BA162" s="209"/>
      <c r="BB162" s="209"/>
      <c r="BC162" s="206"/>
      <c r="BD162" s="206"/>
      <c r="BE162" s="213"/>
      <c r="BF162" s="217"/>
      <c r="BG162" s="209"/>
      <c r="BH162" s="218"/>
      <c r="BI162" s="215"/>
      <c r="BJ162" s="215"/>
      <c r="BK162" s="215"/>
      <c r="BL162" s="215"/>
      <c r="BM162" s="215"/>
      <c r="BN162" s="215"/>
      <c r="BO162" s="216"/>
      <c r="BP162" s="215"/>
      <c r="BQ162" s="228"/>
      <c r="BR162" s="229"/>
      <c r="BS162" s="230"/>
      <c r="BT162" s="230"/>
      <c r="BU162" s="230"/>
      <c r="BV162" s="227"/>
      <c r="BW162" s="227"/>
      <c r="BX162" s="234"/>
      <c r="BY162" s="229"/>
      <c r="BZ162" s="230"/>
      <c r="CA162" s="235"/>
    </row>
    <row r="163" spans="1:79" ht="151.5" customHeight="1">
      <c r="A163" s="134" t="str">
        <f>IFERROR(INDEX(Riesgos!$A$7:$M$84,MATCH(E163,INDEX(Riesgos!$A$7:$M$84,,MATCH(E$7,Riesgos!$A$6:$M$6,0)),0),MATCH(A$7,Riesgos!$A$6:$M$6,0)),"")</f>
        <v/>
      </c>
      <c r="B163" s="135" t="str">
        <f>IFERROR(INDEX(Riesgos!$A$7:$M$84,MATCH(E163,INDEX(Riesgos!$A$7:$M$84,,MATCH(E$7,Riesgos!$A$6:$M$6,0)),0),MATCH(B$7,Riesgos!$A$6:$M$6,0)),"")</f>
        <v/>
      </c>
      <c r="C163" s="135"/>
      <c r="D163" s="136" t="str">
        <f>IFERROR(INDEX(Riesgos!$A$7:$M$84,MATCH(E163,INDEX(Riesgos!$A$7:$M$84,,MATCH(E$7,Riesgos!$A$6:$M$6,0)),0),MATCH(D$7,Riesgos!$A$6:$M$6,0)),"")</f>
        <v/>
      </c>
      <c r="E163" s="137"/>
      <c r="F163" s="137"/>
      <c r="G163" s="138" t="str">
        <f t="shared" si="3"/>
        <v/>
      </c>
      <c r="H163" s="139"/>
      <c r="I163" s="153" t="str">
        <f>IF(A162=A163,IFERROR(IF(AND(#REF!="Probabilidad",#REF!="Probabilidad"),(#REF!-(+#REF!*#REF!)),IF(#REF!="Probabilidad",(#REF!-(+#REF!*#REF!)),IF(#REF!="Impacto",#REF!,""))),""),IFERROR(IF(#REF!="Probabilidad",(#REF!-(+#REF!*#REF!)),IF(#REF!="Impacto",#REF!,"")),""))</f>
        <v/>
      </c>
      <c r="J163" s="154" t="str">
        <f>IFERROR(IF(I163="","",IF(I163&lt;='Listas y tablas'!$L$3,"Muy Baja",IF(I163&lt;='Listas y tablas'!$L$4,"Baja",IF(I163&lt;='Listas y tablas'!$L$5,"Media",IF(I163&lt;='Listas y tablas'!$L$6,"Alta","Muy Alta"))))),"")</f>
        <v/>
      </c>
      <c r="K163" s="155"/>
      <c r="L163" s="156"/>
      <c r="M163" s="150"/>
      <c r="N163" s="151"/>
      <c r="O163" s="151"/>
      <c r="P163" s="152"/>
      <c r="Q163" s="162"/>
      <c r="R163" s="151"/>
      <c r="S163" s="151"/>
      <c r="T163" s="151"/>
      <c r="U163" s="151"/>
      <c r="V163" s="165"/>
      <c r="W163" s="150"/>
      <c r="X163" s="151"/>
      <c r="Y163" s="151"/>
      <c r="Z163" s="151"/>
      <c r="AA163" s="151"/>
      <c r="AB163" s="151"/>
      <c r="AC163" s="163"/>
      <c r="AD163" s="151"/>
      <c r="AE163" s="152"/>
      <c r="AF163" s="173"/>
      <c r="AG163" s="185"/>
      <c r="AH163" s="185"/>
      <c r="AI163" s="186"/>
      <c r="AJ163" s="181"/>
      <c r="AK163" s="181"/>
      <c r="AL163" s="183"/>
      <c r="AM163" s="173"/>
      <c r="AN163" s="187"/>
      <c r="AO163" s="195"/>
      <c r="AP163" s="193"/>
      <c r="AQ163" s="193"/>
      <c r="AR163" s="193"/>
      <c r="AS163" s="193"/>
      <c r="AT163" s="193"/>
      <c r="AU163" s="193"/>
      <c r="AV163" s="194"/>
      <c r="AW163" s="193"/>
      <c r="AX163" s="207"/>
      <c r="AY163" s="208"/>
      <c r="AZ163" s="209"/>
      <c r="BA163" s="209"/>
      <c r="BB163" s="209"/>
      <c r="BC163" s="206"/>
      <c r="BD163" s="206"/>
      <c r="BE163" s="213"/>
      <c r="BF163" s="217"/>
      <c r="BG163" s="209"/>
      <c r="BH163" s="218"/>
      <c r="BI163" s="215"/>
      <c r="BJ163" s="215"/>
      <c r="BK163" s="215"/>
      <c r="BL163" s="215"/>
      <c r="BM163" s="215"/>
      <c r="BN163" s="215"/>
      <c r="BO163" s="216"/>
      <c r="BP163" s="215"/>
      <c r="BQ163" s="228"/>
      <c r="BR163" s="229"/>
      <c r="BS163" s="230"/>
      <c r="BT163" s="230"/>
      <c r="BU163" s="230"/>
      <c r="BV163" s="227"/>
      <c r="BW163" s="227"/>
      <c r="BX163" s="234"/>
      <c r="BY163" s="229"/>
      <c r="BZ163" s="230"/>
      <c r="CA163" s="235"/>
    </row>
    <row r="164" spans="1:79" ht="151.5" customHeight="1">
      <c r="A164" s="134" t="str">
        <f>IFERROR(INDEX(Riesgos!$A$7:$M$84,MATCH(E164,INDEX(Riesgos!$A$7:$M$84,,MATCH(E$7,Riesgos!$A$6:$M$6,0)),0),MATCH(A$7,Riesgos!$A$6:$M$6,0)),"")</f>
        <v/>
      </c>
      <c r="B164" s="135" t="str">
        <f>IFERROR(INDEX(Riesgos!$A$7:$M$84,MATCH(E164,INDEX(Riesgos!$A$7:$M$84,,MATCH(E$7,Riesgos!$A$6:$M$6,0)),0),MATCH(B$7,Riesgos!$A$6:$M$6,0)),"")</f>
        <v/>
      </c>
      <c r="C164" s="135"/>
      <c r="D164" s="136" t="str">
        <f>IFERROR(INDEX(Riesgos!$A$7:$M$84,MATCH(E164,INDEX(Riesgos!$A$7:$M$84,,MATCH(E$7,Riesgos!$A$6:$M$6,0)),0),MATCH(D$7,Riesgos!$A$6:$M$6,0)),"")</f>
        <v/>
      </c>
      <c r="E164" s="137"/>
      <c r="F164" s="137"/>
      <c r="G164" s="138" t="str">
        <f t="shared" si="3"/>
        <v/>
      </c>
      <c r="H164" s="139"/>
      <c r="I164" s="153" t="str">
        <f>IF(A163=A164,IFERROR(IF(AND(#REF!="Probabilidad",#REF!="Probabilidad"),(#REF!-(+#REF!*#REF!)),IF(#REF!="Probabilidad",(#REF!-(+#REF!*#REF!)),IF(#REF!="Impacto",#REF!,""))),""),IFERROR(IF(#REF!="Probabilidad",(#REF!-(+#REF!*#REF!)),IF(#REF!="Impacto",#REF!,"")),""))</f>
        <v/>
      </c>
      <c r="J164" s="154" t="str">
        <f>IFERROR(IF(I164="","",IF(I164&lt;='Listas y tablas'!$L$3,"Muy Baja",IF(I164&lt;='Listas y tablas'!$L$4,"Baja",IF(I164&lt;='Listas y tablas'!$L$5,"Media",IF(I164&lt;='Listas y tablas'!$L$6,"Alta","Muy Alta"))))),"")</f>
        <v/>
      </c>
      <c r="K164" s="155"/>
      <c r="L164" s="156"/>
      <c r="M164" s="150"/>
      <c r="N164" s="151"/>
      <c r="O164" s="151"/>
      <c r="P164" s="152"/>
      <c r="Q164" s="162"/>
      <c r="R164" s="151"/>
      <c r="S164" s="151"/>
      <c r="T164" s="151"/>
      <c r="U164" s="151"/>
      <c r="V164" s="165"/>
      <c r="W164" s="150"/>
      <c r="X164" s="151"/>
      <c r="Y164" s="151"/>
      <c r="Z164" s="151"/>
      <c r="AA164" s="151"/>
      <c r="AB164" s="151"/>
      <c r="AC164" s="163"/>
      <c r="AD164" s="151"/>
      <c r="AE164" s="152"/>
      <c r="AF164" s="173"/>
      <c r="AG164" s="185"/>
      <c r="AH164" s="185"/>
      <c r="AI164" s="186"/>
      <c r="AJ164" s="181"/>
      <c r="AK164" s="181"/>
      <c r="AL164" s="183"/>
      <c r="AM164" s="173"/>
      <c r="AN164" s="187"/>
      <c r="AO164" s="195"/>
      <c r="AP164" s="193"/>
      <c r="AQ164" s="193"/>
      <c r="AR164" s="193"/>
      <c r="AS164" s="193"/>
      <c r="AT164" s="193"/>
      <c r="AU164" s="193"/>
      <c r="AV164" s="194"/>
      <c r="AW164" s="193"/>
      <c r="AX164" s="207"/>
      <c r="AY164" s="208"/>
      <c r="AZ164" s="209"/>
      <c r="BA164" s="209"/>
      <c r="BB164" s="209"/>
      <c r="BC164" s="206"/>
      <c r="BD164" s="206"/>
      <c r="BE164" s="213"/>
      <c r="BF164" s="217"/>
      <c r="BG164" s="209"/>
      <c r="BH164" s="218"/>
      <c r="BI164" s="215"/>
      <c r="BJ164" s="215"/>
      <c r="BK164" s="215"/>
      <c r="BL164" s="215"/>
      <c r="BM164" s="215"/>
      <c r="BN164" s="215"/>
      <c r="BO164" s="216"/>
      <c r="BP164" s="215"/>
      <c r="BQ164" s="228"/>
      <c r="BR164" s="229"/>
      <c r="BS164" s="230"/>
      <c r="BT164" s="230"/>
      <c r="BU164" s="230"/>
      <c r="BV164" s="227"/>
      <c r="BW164" s="227"/>
      <c r="BX164" s="234"/>
      <c r="BY164" s="229"/>
      <c r="BZ164" s="230"/>
      <c r="CA164" s="235"/>
    </row>
    <row r="165" spans="1:79" ht="151.5" customHeight="1">
      <c r="A165" s="134" t="str">
        <f>IFERROR(INDEX(Riesgos!$A$7:$M$84,MATCH(E165,INDEX(Riesgos!$A$7:$M$84,,MATCH(E$7,Riesgos!$A$6:$M$6,0)),0),MATCH(A$7,Riesgos!$A$6:$M$6,0)),"")</f>
        <v/>
      </c>
      <c r="B165" s="135" t="str">
        <f>IFERROR(INDEX(Riesgos!$A$7:$M$84,MATCH(E165,INDEX(Riesgos!$A$7:$M$84,,MATCH(E$7,Riesgos!$A$6:$M$6,0)),0),MATCH(B$7,Riesgos!$A$6:$M$6,0)),"")</f>
        <v/>
      </c>
      <c r="C165" s="135"/>
      <c r="D165" s="136" t="str">
        <f>IFERROR(INDEX(Riesgos!$A$7:$M$84,MATCH(E165,INDEX(Riesgos!$A$7:$M$84,,MATCH(E$7,Riesgos!$A$6:$M$6,0)),0),MATCH(D$7,Riesgos!$A$6:$M$6,0)),"")</f>
        <v/>
      </c>
      <c r="E165" s="137"/>
      <c r="F165" s="137"/>
      <c r="G165" s="138" t="str">
        <f t="shared" si="3"/>
        <v/>
      </c>
      <c r="H165" s="139"/>
      <c r="I165" s="153" t="str">
        <f>IF(A164=A165,IFERROR(IF(AND(#REF!="Probabilidad",#REF!="Probabilidad"),(#REF!-(+#REF!*#REF!)),IF(#REF!="Probabilidad",(#REF!-(+#REF!*#REF!)),IF(#REF!="Impacto",#REF!,""))),""),IFERROR(IF(#REF!="Probabilidad",(#REF!-(+#REF!*#REF!)),IF(#REF!="Impacto",#REF!,"")),""))</f>
        <v/>
      </c>
      <c r="J165" s="154" t="str">
        <f>IFERROR(IF(I165="","",IF(I165&lt;='Listas y tablas'!$L$3,"Muy Baja",IF(I165&lt;='Listas y tablas'!$L$4,"Baja",IF(I165&lt;='Listas y tablas'!$L$5,"Media",IF(I165&lt;='Listas y tablas'!$L$6,"Alta","Muy Alta"))))),"")</f>
        <v/>
      </c>
      <c r="K165" s="155"/>
      <c r="L165" s="156"/>
      <c r="M165" s="150"/>
      <c r="N165" s="151"/>
      <c r="O165" s="151"/>
      <c r="P165" s="152"/>
      <c r="Q165" s="162"/>
      <c r="R165" s="151"/>
      <c r="S165" s="151"/>
      <c r="T165" s="151"/>
      <c r="U165" s="151"/>
      <c r="V165" s="165"/>
      <c r="W165" s="150"/>
      <c r="X165" s="151"/>
      <c r="Y165" s="151"/>
      <c r="Z165" s="151"/>
      <c r="AA165" s="151"/>
      <c r="AB165" s="151"/>
      <c r="AC165" s="163"/>
      <c r="AD165" s="151"/>
      <c r="AE165" s="152"/>
      <c r="AF165" s="173"/>
      <c r="AG165" s="185"/>
      <c r="AH165" s="185"/>
      <c r="AI165" s="186"/>
      <c r="AJ165" s="181"/>
      <c r="AK165" s="181"/>
      <c r="AL165" s="183"/>
      <c r="AM165" s="173"/>
      <c r="AN165" s="187"/>
      <c r="AO165" s="195"/>
      <c r="AP165" s="193"/>
      <c r="AQ165" s="193"/>
      <c r="AR165" s="193"/>
      <c r="AS165" s="193"/>
      <c r="AT165" s="193"/>
      <c r="AU165" s="193"/>
      <c r="AV165" s="194"/>
      <c r="AW165" s="193"/>
      <c r="AX165" s="207"/>
      <c r="AY165" s="208"/>
      <c r="AZ165" s="209"/>
      <c r="BA165" s="209"/>
      <c r="BB165" s="209"/>
      <c r="BC165" s="206"/>
      <c r="BD165" s="206"/>
      <c r="BE165" s="213"/>
      <c r="BF165" s="217"/>
      <c r="BG165" s="209"/>
      <c r="BH165" s="218"/>
      <c r="BI165" s="215"/>
      <c r="BJ165" s="215"/>
      <c r="BK165" s="215"/>
      <c r="BL165" s="215"/>
      <c r="BM165" s="215"/>
      <c r="BN165" s="215"/>
      <c r="BO165" s="216"/>
      <c r="BP165" s="215"/>
      <c r="BQ165" s="228"/>
      <c r="BR165" s="229"/>
      <c r="BS165" s="230"/>
      <c r="BT165" s="230"/>
      <c r="BU165" s="230"/>
      <c r="BV165" s="227"/>
      <c r="BW165" s="227"/>
      <c r="BX165" s="234"/>
      <c r="BY165" s="229"/>
      <c r="BZ165" s="230"/>
      <c r="CA165" s="235"/>
    </row>
    <row r="166" spans="1:79" ht="151.5" customHeight="1">
      <c r="A166" s="134" t="str">
        <f>IFERROR(INDEX(Riesgos!$A$7:$M$84,MATCH(E166,INDEX(Riesgos!$A$7:$M$84,,MATCH(E$7,Riesgos!$A$6:$M$6,0)),0),MATCH(A$7,Riesgos!$A$6:$M$6,0)),"")</f>
        <v/>
      </c>
      <c r="B166" s="135" t="str">
        <f>IFERROR(INDEX(Riesgos!$A$7:$M$84,MATCH(E166,INDEX(Riesgos!$A$7:$M$84,,MATCH(E$7,Riesgos!$A$6:$M$6,0)),0),MATCH(B$7,Riesgos!$A$6:$M$6,0)),"")</f>
        <v/>
      </c>
      <c r="C166" s="135"/>
      <c r="D166" s="136" t="str">
        <f>IFERROR(INDEX(Riesgos!$A$7:$M$84,MATCH(E166,INDEX(Riesgos!$A$7:$M$84,,MATCH(E$7,Riesgos!$A$6:$M$6,0)),0),MATCH(D$7,Riesgos!$A$6:$M$6,0)),"")</f>
        <v/>
      </c>
      <c r="E166" s="137"/>
      <c r="F166" s="137"/>
      <c r="G166" s="138" t="str">
        <f t="shared" si="3"/>
        <v/>
      </c>
      <c r="H166" s="139"/>
      <c r="I166" s="153" t="str">
        <f>IF(A165=A166,IFERROR(IF(AND(#REF!="Probabilidad",#REF!="Probabilidad"),(#REF!-(+#REF!*#REF!)),IF(#REF!="Probabilidad",(#REF!-(+#REF!*#REF!)),IF(#REF!="Impacto",#REF!,""))),""),IFERROR(IF(#REF!="Probabilidad",(#REF!-(+#REF!*#REF!)),IF(#REF!="Impacto",#REF!,"")),""))</f>
        <v/>
      </c>
      <c r="J166" s="154" t="str">
        <f>IFERROR(IF(I166="","",IF(I166&lt;='Listas y tablas'!$L$3,"Muy Baja",IF(I166&lt;='Listas y tablas'!$L$4,"Baja",IF(I166&lt;='Listas y tablas'!$L$5,"Media",IF(I166&lt;='Listas y tablas'!$L$6,"Alta","Muy Alta"))))),"")</f>
        <v/>
      </c>
      <c r="K166" s="155"/>
      <c r="L166" s="156"/>
      <c r="M166" s="150"/>
      <c r="N166" s="151"/>
      <c r="O166" s="151"/>
      <c r="P166" s="152"/>
      <c r="Q166" s="162"/>
      <c r="R166" s="151"/>
      <c r="S166" s="151"/>
      <c r="T166" s="151"/>
      <c r="U166" s="151"/>
      <c r="V166" s="165"/>
      <c r="W166" s="150"/>
      <c r="X166" s="151"/>
      <c r="Y166" s="151"/>
      <c r="Z166" s="151"/>
      <c r="AA166" s="151"/>
      <c r="AB166" s="151"/>
      <c r="AC166" s="163"/>
      <c r="AD166" s="151"/>
      <c r="AE166" s="152"/>
      <c r="AF166" s="173"/>
      <c r="AG166" s="185"/>
      <c r="AH166" s="185"/>
      <c r="AI166" s="186"/>
      <c r="AJ166" s="181"/>
      <c r="AK166" s="181"/>
      <c r="AL166" s="183"/>
      <c r="AM166" s="173"/>
      <c r="AN166" s="187"/>
      <c r="AO166" s="195"/>
      <c r="AP166" s="193"/>
      <c r="AQ166" s="193"/>
      <c r="AR166" s="193"/>
      <c r="AS166" s="193"/>
      <c r="AT166" s="193"/>
      <c r="AU166" s="193"/>
      <c r="AV166" s="194"/>
      <c r="AW166" s="193"/>
      <c r="AX166" s="207"/>
      <c r="AY166" s="208"/>
      <c r="AZ166" s="209"/>
      <c r="BA166" s="209"/>
      <c r="BB166" s="209"/>
      <c r="BC166" s="206"/>
      <c r="BD166" s="206"/>
      <c r="BE166" s="213"/>
      <c r="BF166" s="217"/>
      <c r="BG166" s="209"/>
      <c r="BH166" s="218"/>
      <c r="BI166" s="215"/>
      <c r="BJ166" s="215"/>
      <c r="BK166" s="215"/>
      <c r="BL166" s="215"/>
      <c r="BM166" s="215"/>
      <c r="BN166" s="215"/>
      <c r="BO166" s="216"/>
      <c r="BP166" s="215"/>
      <c r="BQ166" s="228"/>
      <c r="BR166" s="229"/>
      <c r="BS166" s="230"/>
      <c r="BT166" s="230"/>
      <c r="BU166" s="230"/>
      <c r="BV166" s="227"/>
      <c r="BW166" s="227"/>
      <c r="BX166" s="234"/>
      <c r="BY166" s="229"/>
      <c r="BZ166" s="230"/>
      <c r="CA166" s="235"/>
    </row>
    <row r="167" spans="1:79" ht="151.5" customHeight="1">
      <c r="A167" s="134" t="str">
        <f>IFERROR(INDEX(Riesgos!$A$7:$M$84,MATCH(E167,INDEX(Riesgos!$A$7:$M$84,,MATCH(E$7,Riesgos!$A$6:$M$6,0)),0),MATCH(A$7,Riesgos!$A$6:$M$6,0)),"")</f>
        <v/>
      </c>
      <c r="B167" s="135" t="str">
        <f>IFERROR(INDEX(Riesgos!$A$7:$M$84,MATCH(E167,INDEX(Riesgos!$A$7:$M$84,,MATCH(E$7,Riesgos!$A$6:$M$6,0)),0),MATCH(B$7,Riesgos!$A$6:$M$6,0)),"")</f>
        <v/>
      </c>
      <c r="C167" s="135"/>
      <c r="D167" s="136" t="str">
        <f>IFERROR(INDEX(Riesgos!$A$7:$M$84,MATCH(E167,INDEX(Riesgos!$A$7:$M$84,,MATCH(E$7,Riesgos!$A$6:$M$6,0)),0),MATCH(D$7,Riesgos!$A$6:$M$6,0)),"")</f>
        <v/>
      </c>
      <c r="E167" s="137"/>
      <c r="F167" s="137"/>
      <c r="G167" s="138" t="str">
        <f t="shared" si="3"/>
        <v/>
      </c>
      <c r="H167" s="139"/>
      <c r="I167" s="153" t="str">
        <f>IF(A166=A167,IFERROR(IF(AND(#REF!="Probabilidad",#REF!="Probabilidad"),(#REF!-(+#REF!*#REF!)),IF(#REF!="Probabilidad",(#REF!-(+#REF!*#REF!)),IF(#REF!="Impacto",#REF!,""))),""),IFERROR(IF(#REF!="Probabilidad",(#REF!-(+#REF!*#REF!)),IF(#REF!="Impacto",#REF!,"")),""))</f>
        <v/>
      </c>
      <c r="J167" s="154" t="str">
        <f>IFERROR(IF(I167="","",IF(I167&lt;='Listas y tablas'!$L$3,"Muy Baja",IF(I167&lt;='Listas y tablas'!$L$4,"Baja",IF(I167&lt;='Listas y tablas'!$L$5,"Media",IF(I167&lt;='Listas y tablas'!$L$6,"Alta","Muy Alta"))))),"")</f>
        <v/>
      </c>
      <c r="K167" s="155"/>
      <c r="L167" s="156"/>
      <c r="M167" s="150"/>
      <c r="N167" s="151"/>
      <c r="O167" s="151"/>
      <c r="P167" s="152"/>
      <c r="Q167" s="162"/>
      <c r="R167" s="151"/>
      <c r="S167" s="151"/>
      <c r="T167" s="151"/>
      <c r="U167" s="151"/>
      <c r="V167" s="165"/>
      <c r="W167" s="150"/>
      <c r="X167" s="151"/>
      <c r="Y167" s="151"/>
      <c r="Z167" s="151"/>
      <c r="AA167" s="151"/>
      <c r="AB167" s="151"/>
      <c r="AC167" s="163"/>
      <c r="AD167" s="151"/>
      <c r="AE167" s="152"/>
      <c r="AF167" s="173"/>
      <c r="AG167" s="185"/>
      <c r="AH167" s="185"/>
      <c r="AI167" s="186"/>
      <c r="AJ167" s="181"/>
      <c r="AK167" s="181"/>
      <c r="AL167" s="183"/>
      <c r="AM167" s="173"/>
      <c r="AN167" s="187"/>
      <c r="AO167" s="195"/>
      <c r="AP167" s="193"/>
      <c r="AQ167" s="193"/>
      <c r="AR167" s="193"/>
      <c r="AS167" s="193"/>
      <c r="AT167" s="193"/>
      <c r="AU167" s="193"/>
      <c r="AV167" s="194"/>
      <c r="AW167" s="193"/>
      <c r="AX167" s="207"/>
      <c r="AY167" s="208"/>
      <c r="AZ167" s="209"/>
      <c r="BA167" s="209"/>
      <c r="BB167" s="209"/>
      <c r="BC167" s="206"/>
      <c r="BD167" s="206"/>
      <c r="BE167" s="213"/>
      <c r="BF167" s="217"/>
      <c r="BG167" s="209"/>
      <c r="BH167" s="218"/>
      <c r="BI167" s="215"/>
      <c r="BJ167" s="215"/>
      <c r="BK167" s="215"/>
      <c r="BL167" s="215"/>
      <c r="BM167" s="215"/>
      <c r="BN167" s="215"/>
      <c r="BO167" s="216"/>
      <c r="BP167" s="215"/>
      <c r="BQ167" s="228"/>
      <c r="BR167" s="229"/>
      <c r="BS167" s="230"/>
      <c r="BT167" s="230"/>
      <c r="BU167" s="230"/>
      <c r="BV167" s="227"/>
      <c r="BW167" s="227"/>
      <c r="BX167" s="234"/>
      <c r="BY167" s="229"/>
      <c r="BZ167" s="230"/>
      <c r="CA167" s="235"/>
    </row>
    <row r="168" spans="1:79" ht="151.5" customHeight="1">
      <c r="A168" s="134" t="str">
        <f>IFERROR(INDEX(Riesgos!$A$7:$M$84,MATCH(E168,INDEX(Riesgos!$A$7:$M$84,,MATCH(E$7,Riesgos!$A$6:$M$6,0)),0),MATCH(A$7,Riesgos!$A$6:$M$6,0)),"")</f>
        <v/>
      </c>
      <c r="B168" s="135" t="str">
        <f>IFERROR(INDEX(Riesgos!$A$7:$M$84,MATCH(E168,INDEX(Riesgos!$A$7:$M$84,,MATCH(E$7,Riesgos!$A$6:$M$6,0)),0),MATCH(B$7,Riesgos!$A$6:$M$6,0)),"")</f>
        <v/>
      </c>
      <c r="C168" s="135"/>
      <c r="D168" s="136" t="str">
        <f>IFERROR(INDEX(Riesgos!$A$7:$M$84,MATCH(E168,INDEX(Riesgos!$A$7:$M$84,,MATCH(E$7,Riesgos!$A$6:$M$6,0)),0),MATCH(D$7,Riesgos!$A$6:$M$6,0)),"")</f>
        <v/>
      </c>
      <c r="E168" s="137"/>
      <c r="F168" s="137"/>
      <c r="G168" s="138" t="str">
        <f t="shared" si="3"/>
        <v/>
      </c>
      <c r="H168" s="139"/>
      <c r="I168" s="153" t="str">
        <f>IF(A167=A168,IFERROR(IF(AND(#REF!="Probabilidad",#REF!="Probabilidad"),(#REF!-(+#REF!*#REF!)),IF(#REF!="Probabilidad",(#REF!-(+#REF!*#REF!)),IF(#REF!="Impacto",#REF!,""))),""),IFERROR(IF(#REF!="Probabilidad",(#REF!-(+#REF!*#REF!)),IF(#REF!="Impacto",#REF!,"")),""))</f>
        <v/>
      </c>
      <c r="J168" s="154" t="str">
        <f>IFERROR(IF(I168="","",IF(I168&lt;='Listas y tablas'!$L$3,"Muy Baja",IF(I168&lt;='Listas y tablas'!$L$4,"Baja",IF(I168&lt;='Listas y tablas'!$L$5,"Media",IF(I168&lt;='Listas y tablas'!$L$6,"Alta","Muy Alta"))))),"")</f>
        <v/>
      </c>
      <c r="K168" s="155"/>
      <c r="L168" s="156"/>
      <c r="M168" s="150"/>
      <c r="N168" s="151"/>
      <c r="O168" s="151"/>
      <c r="P168" s="152"/>
      <c r="Q168" s="162"/>
      <c r="R168" s="151"/>
      <c r="S168" s="151"/>
      <c r="T168" s="151"/>
      <c r="U168" s="151"/>
      <c r="V168" s="165"/>
      <c r="W168" s="150"/>
      <c r="X168" s="151"/>
      <c r="Y168" s="151"/>
      <c r="Z168" s="151"/>
      <c r="AA168" s="151"/>
      <c r="AB168" s="151"/>
      <c r="AC168" s="163"/>
      <c r="AD168" s="151"/>
      <c r="AE168" s="152"/>
      <c r="AF168" s="173"/>
      <c r="AG168" s="185"/>
      <c r="AH168" s="185"/>
      <c r="AI168" s="186"/>
      <c r="AJ168" s="181"/>
      <c r="AK168" s="181"/>
      <c r="AL168" s="183"/>
      <c r="AM168" s="173"/>
      <c r="AN168" s="187"/>
      <c r="AO168" s="195"/>
      <c r="AP168" s="193"/>
      <c r="AQ168" s="193"/>
      <c r="AR168" s="193"/>
      <c r="AS168" s="193"/>
      <c r="AT168" s="193"/>
      <c r="AU168" s="193"/>
      <c r="AV168" s="194"/>
      <c r="AW168" s="193"/>
      <c r="AX168" s="207"/>
      <c r="AY168" s="208"/>
      <c r="AZ168" s="209"/>
      <c r="BA168" s="209"/>
      <c r="BB168" s="209"/>
      <c r="BC168" s="206"/>
      <c r="BD168" s="206"/>
      <c r="BE168" s="213"/>
      <c r="BF168" s="217"/>
      <c r="BG168" s="209"/>
      <c r="BH168" s="218"/>
      <c r="BI168" s="215"/>
      <c r="BJ168" s="215"/>
      <c r="BK168" s="215"/>
      <c r="BL168" s="215"/>
      <c r="BM168" s="215"/>
      <c r="BN168" s="215"/>
      <c r="BO168" s="216"/>
      <c r="BP168" s="215"/>
      <c r="BQ168" s="228"/>
      <c r="BR168" s="229"/>
      <c r="BS168" s="230"/>
      <c r="BT168" s="230"/>
      <c r="BU168" s="230"/>
      <c r="BV168" s="227"/>
      <c r="BW168" s="227"/>
      <c r="BX168" s="234"/>
      <c r="BY168" s="229"/>
      <c r="BZ168" s="230"/>
      <c r="CA168" s="235"/>
    </row>
    <row r="169" spans="1:79" ht="151.5" customHeight="1">
      <c r="A169" s="134" t="str">
        <f>IFERROR(INDEX(Riesgos!$A$7:$M$84,MATCH(E169,INDEX(Riesgos!$A$7:$M$84,,MATCH(E$7,Riesgos!$A$6:$M$6,0)),0),MATCH(A$7,Riesgos!$A$6:$M$6,0)),"")</f>
        <v/>
      </c>
      <c r="B169" s="135" t="str">
        <f>IFERROR(INDEX(Riesgos!$A$7:$M$84,MATCH(E169,INDEX(Riesgos!$A$7:$M$84,,MATCH(E$7,Riesgos!$A$6:$M$6,0)),0),MATCH(B$7,Riesgos!$A$6:$M$6,0)),"")</f>
        <v/>
      </c>
      <c r="C169" s="135"/>
      <c r="D169" s="136" t="str">
        <f>IFERROR(INDEX(Riesgos!$A$7:$M$84,MATCH(E169,INDEX(Riesgos!$A$7:$M$84,,MATCH(E$7,Riesgos!$A$6:$M$6,0)),0),MATCH(D$7,Riesgos!$A$6:$M$6,0)),"")</f>
        <v/>
      </c>
      <c r="E169" s="137"/>
      <c r="F169" s="137"/>
      <c r="G169" s="138" t="str">
        <f t="shared" si="3"/>
        <v/>
      </c>
      <c r="H169" s="139"/>
      <c r="I169" s="153" t="str">
        <f>IF(A168=A169,IFERROR(IF(AND(#REF!="Probabilidad",#REF!="Probabilidad"),(#REF!-(+#REF!*#REF!)),IF(#REF!="Probabilidad",(#REF!-(+#REF!*#REF!)),IF(#REF!="Impacto",#REF!,""))),""),IFERROR(IF(#REF!="Probabilidad",(#REF!-(+#REF!*#REF!)),IF(#REF!="Impacto",#REF!,"")),""))</f>
        <v/>
      </c>
      <c r="J169" s="154" t="str">
        <f>IFERROR(IF(I169="","",IF(I169&lt;='Listas y tablas'!$L$3,"Muy Baja",IF(I169&lt;='Listas y tablas'!$L$4,"Baja",IF(I169&lt;='Listas y tablas'!$L$5,"Media",IF(I169&lt;='Listas y tablas'!$L$6,"Alta","Muy Alta"))))),"")</f>
        <v/>
      </c>
      <c r="K169" s="155"/>
      <c r="L169" s="156"/>
      <c r="M169" s="150"/>
      <c r="N169" s="151"/>
      <c r="O169" s="151"/>
      <c r="P169" s="152"/>
      <c r="Q169" s="162"/>
      <c r="R169" s="151"/>
      <c r="S169" s="151"/>
      <c r="T169" s="151"/>
      <c r="U169" s="151"/>
      <c r="V169" s="165"/>
      <c r="W169" s="150"/>
      <c r="X169" s="151"/>
      <c r="Y169" s="151"/>
      <c r="Z169" s="151"/>
      <c r="AA169" s="151"/>
      <c r="AB169" s="151"/>
      <c r="AC169" s="163"/>
      <c r="AD169" s="151"/>
      <c r="AE169" s="152"/>
      <c r="AF169" s="173"/>
      <c r="AG169" s="185"/>
      <c r="AH169" s="185"/>
      <c r="AI169" s="186"/>
      <c r="AJ169" s="181"/>
      <c r="AK169" s="181"/>
      <c r="AL169" s="183"/>
      <c r="AM169" s="173"/>
      <c r="AN169" s="187"/>
      <c r="AO169" s="195"/>
      <c r="AP169" s="193"/>
      <c r="AQ169" s="193"/>
      <c r="AR169" s="193"/>
      <c r="AS169" s="193"/>
      <c r="AT169" s="193"/>
      <c r="AU169" s="193"/>
      <c r="AV169" s="194"/>
      <c r="AW169" s="193"/>
      <c r="AX169" s="207"/>
      <c r="AY169" s="208"/>
      <c r="AZ169" s="209"/>
      <c r="BA169" s="209"/>
      <c r="BB169" s="209"/>
      <c r="BC169" s="206"/>
      <c r="BD169" s="206"/>
      <c r="BE169" s="213"/>
      <c r="BF169" s="217"/>
      <c r="BG169" s="209"/>
      <c r="BH169" s="218"/>
      <c r="BI169" s="215"/>
      <c r="BJ169" s="215"/>
      <c r="BK169" s="215"/>
      <c r="BL169" s="215"/>
      <c r="BM169" s="215"/>
      <c r="BN169" s="215"/>
      <c r="BO169" s="216"/>
      <c r="BP169" s="215"/>
      <c r="BQ169" s="228"/>
      <c r="BR169" s="229"/>
      <c r="BS169" s="230"/>
      <c r="BT169" s="230"/>
      <c r="BU169" s="230"/>
      <c r="BV169" s="227"/>
      <c r="BW169" s="227"/>
      <c r="BX169" s="234"/>
      <c r="BY169" s="229"/>
      <c r="BZ169" s="230"/>
      <c r="CA169" s="235"/>
    </row>
    <row r="170" spans="1:79" ht="151.5" customHeight="1">
      <c r="A170" s="134" t="str">
        <f>IFERROR(INDEX(Riesgos!$A$7:$M$84,MATCH(E170,INDEX(Riesgos!$A$7:$M$84,,MATCH(E$7,Riesgos!$A$6:$M$6,0)),0),MATCH(A$7,Riesgos!$A$6:$M$6,0)),"")</f>
        <v/>
      </c>
      <c r="B170" s="135" t="str">
        <f>IFERROR(INDEX(Riesgos!$A$7:$M$84,MATCH(E170,INDEX(Riesgos!$A$7:$M$84,,MATCH(E$7,Riesgos!$A$6:$M$6,0)),0),MATCH(B$7,Riesgos!$A$6:$M$6,0)),"")</f>
        <v/>
      </c>
      <c r="C170" s="135"/>
      <c r="D170" s="136" t="str">
        <f>IFERROR(INDEX(Riesgos!$A$7:$M$84,MATCH(E170,INDEX(Riesgos!$A$7:$M$84,,MATCH(E$7,Riesgos!$A$6:$M$6,0)),0),MATCH(D$7,Riesgos!$A$6:$M$6,0)),"")</f>
        <v/>
      </c>
      <c r="E170" s="137"/>
      <c r="F170" s="137"/>
      <c r="G170" s="138" t="str">
        <f t="shared" si="3"/>
        <v/>
      </c>
      <c r="H170" s="139"/>
      <c r="I170" s="153" t="str">
        <f>IF(A169=A170,IFERROR(IF(AND(#REF!="Probabilidad",#REF!="Probabilidad"),(#REF!-(+#REF!*#REF!)),IF(#REF!="Probabilidad",(#REF!-(+#REF!*#REF!)),IF(#REF!="Impacto",#REF!,""))),""),IFERROR(IF(#REF!="Probabilidad",(#REF!-(+#REF!*#REF!)),IF(#REF!="Impacto",#REF!,"")),""))</f>
        <v/>
      </c>
      <c r="J170" s="154" t="str">
        <f>IFERROR(IF(I170="","",IF(I170&lt;='Listas y tablas'!$L$3,"Muy Baja",IF(I170&lt;='Listas y tablas'!$L$4,"Baja",IF(I170&lt;='Listas y tablas'!$L$5,"Media",IF(I170&lt;='Listas y tablas'!$L$6,"Alta","Muy Alta"))))),"")</f>
        <v/>
      </c>
      <c r="K170" s="155"/>
      <c r="L170" s="156"/>
      <c r="M170" s="150"/>
      <c r="N170" s="151"/>
      <c r="O170" s="151"/>
      <c r="P170" s="152"/>
      <c r="Q170" s="162"/>
      <c r="R170" s="151"/>
      <c r="S170" s="151"/>
      <c r="T170" s="151"/>
      <c r="U170" s="151"/>
      <c r="V170" s="165"/>
      <c r="W170" s="150"/>
      <c r="X170" s="151"/>
      <c r="Y170" s="151"/>
      <c r="Z170" s="151"/>
      <c r="AA170" s="151"/>
      <c r="AB170" s="151"/>
      <c r="AC170" s="163"/>
      <c r="AD170" s="151"/>
      <c r="AE170" s="152"/>
      <c r="AF170" s="173"/>
      <c r="AG170" s="185"/>
      <c r="AH170" s="185"/>
      <c r="AI170" s="186"/>
      <c r="AJ170" s="181"/>
      <c r="AK170" s="181"/>
      <c r="AL170" s="183"/>
      <c r="AM170" s="173"/>
      <c r="AN170" s="187"/>
      <c r="AO170" s="195"/>
      <c r="AP170" s="193"/>
      <c r="AQ170" s="193"/>
      <c r="AR170" s="193"/>
      <c r="AS170" s="193"/>
      <c r="AT170" s="193"/>
      <c r="AU170" s="193"/>
      <c r="AV170" s="194"/>
      <c r="AW170" s="193"/>
      <c r="AX170" s="207"/>
      <c r="AY170" s="208"/>
      <c r="AZ170" s="209"/>
      <c r="BA170" s="209"/>
      <c r="BB170" s="209"/>
      <c r="BC170" s="206"/>
      <c r="BD170" s="206"/>
      <c r="BE170" s="213"/>
      <c r="BF170" s="217"/>
      <c r="BG170" s="209"/>
      <c r="BH170" s="218"/>
      <c r="BI170" s="215"/>
      <c r="BJ170" s="215"/>
      <c r="BK170" s="215"/>
      <c r="BL170" s="215"/>
      <c r="BM170" s="215"/>
      <c r="BN170" s="215"/>
      <c r="BO170" s="216"/>
      <c r="BP170" s="215"/>
      <c r="BQ170" s="228"/>
      <c r="BR170" s="229"/>
      <c r="BS170" s="230"/>
      <c r="BT170" s="230"/>
      <c r="BU170" s="230"/>
      <c r="BV170" s="227"/>
      <c r="BW170" s="227"/>
      <c r="BX170" s="234"/>
      <c r="BY170" s="229"/>
      <c r="BZ170" s="230"/>
      <c r="CA170" s="235"/>
    </row>
    <row r="171" spans="1:79" ht="151.5" customHeight="1">
      <c r="A171" s="134" t="str">
        <f>IFERROR(INDEX(Riesgos!$A$7:$M$84,MATCH(E171,INDEX(Riesgos!$A$7:$M$84,,MATCH(E$7,Riesgos!$A$6:$M$6,0)),0),MATCH(A$7,Riesgos!$A$6:$M$6,0)),"")</f>
        <v/>
      </c>
      <c r="B171" s="135" t="str">
        <f>IFERROR(INDEX(Riesgos!$A$7:$M$84,MATCH(E171,INDEX(Riesgos!$A$7:$M$84,,MATCH(E$7,Riesgos!$A$6:$M$6,0)),0),MATCH(B$7,Riesgos!$A$6:$M$6,0)),"")</f>
        <v/>
      </c>
      <c r="C171" s="135"/>
      <c r="D171" s="136" t="str">
        <f>IFERROR(INDEX(Riesgos!$A$7:$M$84,MATCH(E171,INDEX(Riesgos!$A$7:$M$84,,MATCH(E$7,Riesgos!$A$6:$M$6,0)),0),MATCH(D$7,Riesgos!$A$6:$M$6,0)),"")</f>
        <v/>
      </c>
      <c r="E171" s="137"/>
      <c r="F171" s="137"/>
      <c r="G171" s="138" t="str">
        <f t="shared" si="3"/>
        <v/>
      </c>
      <c r="H171" s="139"/>
      <c r="I171" s="153" t="str">
        <f>IF(A170=A171,IFERROR(IF(AND(#REF!="Probabilidad",#REF!="Probabilidad"),(#REF!-(+#REF!*#REF!)),IF(#REF!="Probabilidad",(#REF!-(+#REF!*#REF!)),IF(#REF!="Impacto",#REF!,""))),""),IFERROR(IF(#REF!="Probabilidad",(#REF!-(+#REF!*#REF!)),IF(#REF!="Impacto",#REF!,"")),""))</f>
        <v/>
      </c>
      <c r="J171" s="154" t="str">
        <f>IFERROR(IF(I171="","",IF(I171&lt;='Listas y tablas'!$L$3,"Muy Baja",IF(I171&lt;='Listas y tablas'!$L$4,"Baja",IF(I171&lt;='Listas y tablas'!$L$5,"Media",IF(I171&lt;='Listas y tablas'!$L$6,"Alta","Muy Alta"))))),"")</f>
        <v/>
      </c>
      <c r="K171" s="155"/>
      <c r="L171" s="156"/>
      <c r="M171" s="150"/>
      <c r="N171" s="151"/>
      <c r="O171" s="151"/>
      <c r="P171" s="152"/>
      <c r="Q171" s="162"/>
      <c r="R171" s="151"/>
      <c r="S171" s="151"/>
      <c r="T171" s="151"/>
      <c r="U171" s="151"/>
      <c r="V171" s="165"/>
      <c r="W171" s="150"/>
      <c r="X171" s="151"/>
      <c r="Y171" s="151"/>
      <c r="Z171" s="151"/>
      <c r="AA171" s="151"/>
      <c r="AB171" s="151"/>
      <c r="AC171" s="163"/>
      <c r="AD171" s="151"/>
      <c r="AE171" s="152"/>
      <c r="AF171" s="173"/>
      <c r="AG171" s="185"/>
      <c r="AH171" s="185"/>
      <c r="AI171" s="186"/>
      <c r="AJ171" s="181"/>
      <c r="AK171" s="181"/>
      <c r="AL171" s="183"/>
      <c r="AM171" s="173"/>
      <c r="AN171" s="187"/>
      <c r="AO171" s="195"/>
      <c r="AP171" s="193"/>
      <c r="AQ171" s="193"/>
      <c r="AR171" s="193"/>
      <c r="AS171" s="193"/>
      <c r="AT171" s="193"/>
      <c r="AU171" s="193"/>
      <c r="AV171" s="194"/>
      <c r="AW171" s="193"/>
      <c r="AX171" s="207"/>
      <c r="AY171" s="208"/>
      <c r="AZ171" s="209"/>
      <c r="BA171" s="209"/>
      <c r="BB171" s="209"/>
      <c r="BC171" s="206"/>
      <c r="BD171" s="206"/>
      <c r="BE171" s="213"/>
      <c r="BF171" s="217"/>
      <c r="BG171" s="209"/>
      <c r="BH171" s="218"/>
      <c r="BI171" s="215"/>
      <c r="BJ171" s="215"/>
      <c r="BK171" s="215"/>
      <c r="BL171" s="215"/>
      <c r="BM171" s="215"/>
      <c r="BN171" s="215"/>
      <c r="BO171" s="216"/>
      <c r="BP171" s="215"/>
      <c r="BQ171" s="228"/>
      <c r="BR171" s="229"/>
      <c r="BS171" s="230"/>
      <c r="BT171" s="230"/>
      <c r="BU171" s="230"/>
      <c r="BV171" s="227"/>
      <c r="BW171" s="227"/>
      <c r="BX171" s="234"/>
      <c r="BY171" s="229"/>
      <c r="BZ171" s="230"/>
      <c r="CA171" s="235"/>
    </row>
    <row r="172" spans="1:79" ht="151.5" customHeight="1">
      <c r="A172" s="134" t="str">
        <f>IFERROR(INDEX(Riesgos!$A$7:$M$84,MATCH(E172,INDEX(Riesgos!$A$7:$M$84,,MATCH(E$7,Riesgos!$A$6:$M$6,0)),0),MATCH(A$7,Riesgos!$A$6:$M$6,0)),"")</f>
        <v/>
      </c>
      <c r="B172" s="135" t="str">
        <f>IFERROR(INDEX(Riesgos!$A$7:$M$84,MATCH(E172,INDEX(Riesgos!$A$7:$M$84,,MATCH(E$7,Riesgos!$A$6:$M$6,0)),0),MATCH(B$7,Riesgos!$A$6:$M$6,0)),"")</f>
        <v/>
      </c>
      <c r="C172" s="135"/>
      <c r="D172" s="136" t="str">
        <f>IFERROR(INDEX(Riesgos!$A$7:$M$84,MATCH(E172,INDEX(Riesgos!$A$7:$M$84,,MATCH(E$7,Riesgos!$A$6:$M$6,0)),0),MATCH(D$7,Riesgos!$A$6:$M$6,0)),"")</f>
        <v/>
      </c>
      <c r="E172" s="137"/>
      <c r="F172" s="137"/>
      <c r="G172" s="138" t="str">
        <f t="shared" si="3"/>
        <v/>
      </c>
      <c r="H172" s="139"/>
      <c r="I172" s="153" t="str">
        <f>IF(A171=A172,IFERROR(IF(AND(#REF!="Probabilidad",#REF!="Probabilidad"),(#REF!-(+#REF!*#REF!)),IF(#REF!="Probabilidad",(#REF!-(+#REF!*#REF!)),IF(#REF!="Impacto",#REF!,""))),""),IFERROR(IF(#REF!="Probabilidad",(#REF!-(+#REF!*#REF!)),IF(#REF!="Impacto",#REF!,"")),""))</f>
        <v/>
      </c>
      <c r="J172" s="154" t="str">
        <f>IFERROR(IF(I172="","",IF(I172&lt;='Listas y tablas'!$L$3,"Muy Baja",IF(I172&lt;='Listas y tablas'!$L$4,"Baja",IF(I172&lt;='Listas y tablas'!$L$5,"Media",IF(I172&lt;='Listas y tablas'!$L$6,"Alta","Muy Alta"))))),"")</f>
        <v/>
      </c>
      <c r="K172" s="155"/>
      <c r="L172" s="156"/>
      <c r="M172" s="150"/>
      <c r="N172" s="151"/>
      <c r="O172" s="151"/>
      <c r="P172" s="152"/>
      <c r="Q172" s="162"/>
      <c r="R172" s="151"/>
      <c r="S172" s="151"/>
      <c r="T172" s="151"/>
      <c r="U172" s="151"/>
      <c r="V172" s="165"/>
      <c r="W172" s="150"/>
      <c r="X172" s="151"/>
      <c r="Y172" s="151"/>
      <c r="Z172" s="151"/>
      <c r="AA172" s="151"/>
      <c r="AB172" s="151"/>
      <c r="AC172" s="163"/>
      <c r="AD172" s="151"/>
      <c r="AE172" s="152"/>
      <c r="AF172" s="173"/>
      <c r="AG172" s="185"/>
      <c r="AH172" s="185"/>
      <c r="AI172" s="186"/>
      <c r="AJ172" s="181"/>
      <c r="AK172" s="181"/>
      <c r="AL172" s="183"/>
      <c r="AM172" s="173"/>
      <c r="AN172" s="187"/>
      <c r="AO172" s="195"/>
      <c r="AP172" s="193"/>
      <c r="AQ172" s="193"/>
      <c r="AR172" s="193"/>
      <c r="AS172" s="193"/>
      <c r="AT172" s="193"/>
      <c r="AU172" s="193"/>
      <c r="AV172" s="194"/>
      <c r="AW172" s="193"/>
      <c r="AX172" s="207"/>
      <c r="AY172" s="208"/>
      <c r="AZ172" s="209"/>
      <c r="BA172" s="209"/>
      <c r="BB172" s="209"/>
      <c r="BC172" s="206"/>
      <c r="BD172" s="206"/>
      <c r="BE172" s="213"/>
      <c r="BF172" s="217"/>
      <c r="BG172" s="209"/>
      <c r="BH172" s="218"/>
      <c r="BI172" s="215"/>
      <c r="BJ172" s="215"/>
      <c r="BK172" s="215"/>
      <c r="BL172" s="215"/>
      <c r="BM172" s="215"/>
      <c r="BN172" s="215"/>
      <c r="BO172" s="216"/>
      <c r="BP172" s="215"/>
      <c r="BQ172" s="228"/>
      <c r="BR172" s="229"/>
      <c r="BS172" s="230"/>
      <c r="BT172" s="230"/>
      <c r="BU172" s="230"/>
      <c r="BV172" s="227"/>
      <c r="BW172" s="227"/>
      <c r="BX172" s="234"/>
      <c r="BY172" s="229"/>
      <c r="BZ172" s="230"/>
      <c r="CA172" s="235"/>
    </row>
    <row r="173" spans="1:79" ht="151.5" customHeight="1">
      <c r="A173" s="134" t="str">
        <f>IFERROR(INDEX(Riesgos!$A$7:$M$84,MATCH(E173,INDEX(Riesgos!$A$7:$M$84,,MATCH(E$7,Riesgos!$A$6:$M$6,0)),0),MATCH(A$7,Riesgos!$A$6:$M$6,0)),"")</f>
        <v/>
      </c>
      <c r="B173" s="135" t="str">
        <f>IFERROR(INDEX(Riesgos!$A$7:$M$84,MATCH(E173,INDEX(Riesgos!$A$7:$M$84,,MATCH(E$7,Riesgos!$A$6:$M$6,0)),0),MATCH(B$7,Riesgos!$A$6:$M$6,0)),"")</f>
        <v/>
      </c>
      <c r="C173" s="135"/>
      <c r="D173" s="136" t="str">
        <f>IFERROR(INDEX(Riesgos!$A$7:$M$84,MATCH(E173,INDEX(Riesgos!$A$7:$M$84,,MATCH(E$7,Riesgos!$A$6:$M$6,0)),0),MATCH(D$7,Riesgos!$A$6:$M$6,0)),"")</f>
        <v/>
      </c>
      <c r="E173" s="137"/>
      <c r="F173" s="137"/>
      <c r="G173" s="138" t="str">
        <f t="shared" si="3"/>
        <v/>
      </c>
      <c r="H173" s="139"/>
      <c r="I173" s="153" t="str">
        <f>IF(A172=A173,IFERROR(IF(AND(#REF!="Probabilidad",#REF!="Probabilidad"),(#REF!-(+#REF!*#REF!)),IF(#REF!="Probabilidad",(#REF!-(+#REF!*#REF!)),IF(#REF!="Impacto",#REF!,""))),""),IFERROR(IF(#REF!="Probabilidad",(#REF!-(+#REF!*#REF!)),IF(#REF!="Impacto",#REF!,"")),""))</f>
        <v/>
      </c>
      <c r="J173" s="154" t="str">
        <f>IFERROR(IF(I173="","",IF(I173&lt;='Listas y tablas'!$L$3,"Muy Baja",IF(I173&lt;='Listas y tablas'!$L$4,"Baja",IF(I173&lt;='Listas y tablas'!$L$5,"Media",IF(I173&lt;='Listas y tablas'!$L$6,"Alta","Muy Alta"))))),"")</f>
        <v/>
      </c>
      <c r="K173" s="155"/>
      <c r="L173" s="156"/>
      <c r="M173" s="150"/>
      <c r="N173" s="151"/>
      <c r="O173" s="151"/>
      <c r="P173" s="152"/>
      <c r="Q173" s="162"/>
      <c r="R173" s="151"/>
      <c r="S173" s="151"/>
      <c r="T173" s="151"/>
      <c r="U173" s="151"/>
      <c r="V173" s="165"/>
      <c r="W173" s="150"/>
      <c r="X173" s="151"/>
      <c r="Y173" s="151"/>
      <c r="Z173" s="151"/>
      <c r="AA173" s="151"/>
      <c r="AB173" s="151"/>
      <c r="AC173" s="163"/>
      <c r="AD173" s="151"/>
      <c r="AE173" s="152"/>
      <c r="AF173" s="173"/>
      <c r="AG173" s="185"/>
      <c r="AH173" s="185"/>
      <c r="AI173" s="186"/>
      <c r="AJ173" s="181"/>
      <c r="AK173" s="181"/>
      <c r="AL173" s="183"/>
      <c r="AM173" s="173"/>
      <c r="AN173" s="187"/>
      <c r="AO173" s="195"/>
      <c r="AP173" s="193"/>
      <c r="AQ173" s="193"/>
      <c r="AR173" s="193"/>
      <c r="AS173" s="193"/>
      <c r="AT173" s="193"/>
      <c r="AU173" s="193"/>
      <c r="AV173" s="194"/>
      <c r="AW173" s="193"/>
      <c r="AX173" s="207"/>
      <c r="AY173" s="208"/>
      <c r="AZ173" s="209"/>
      <c r="BA173" s="209"/>
      <c r="BB173" s="209"/>
      <c r="BC173" s="206"/>
      <c r="BD173" s="206"/>
      <c r="BE173" s="213"/>
      <c r="BF173" s="217"/>
      <c r="BG173" s="209"/>
      <c r="BH173" s="218"/>
      <c r="BI173" s="215"/>
      <c r="BJ173" s="215"/>
      <c r="BK173" s="215"/>
      <c r="BL173" s="215"/>
      <c r="BM173" s="215"/>
      <c r="BN173" s="215"/>
      <c r="BO173" s="216"/>
      <c r="BP173" s="215"/>
      <c r="BQ173" s="228"/>
      <c r="BR173" s="229"/>
      <c r="BS173" s="230"/>
      <c r="BT173" s="230"/>
      <c r="BU173" s="230"/>
      <c r="BV173" s="227"/>
      <c r="BW173" s="227"/>
      <c r="BX173" s="234"/>
      <c r="BY173" s="229"/>
      <c r="BZ173" s="230"/>
      <c r="CA173" s="235"/>
    </row>
    <row r="174" spans="1:79" ht="151.5" customHeight="1">
      <c r="A174" s="134" t="str">
        <f>IFERROR(INDEX(Riesgos!$A$7:$M$84,MATCH(E174,INDEX(Riesgos!$A$7:$M$84,,MATCH(E$7,Riesgos!$A$6:$M$6,0)),0),MATCH(A$7,Riesgos!$A$6:$M$6,0)),"")</f>
        <v/>
      </c>
      <c r="B174" s="135" t="str">
        <f>IFERROR(INDEX(Riesgos!$A$7:$M$84,MATCH(E174,INDEX(Riesgos!$A$7:$M$84,,MATCH(E$7,Riesgos!$A$6:$M$6,0)),0),MATCH(B$7,Riesgos!$A$6:$M$6,0)),"")</f>
        <v/>
      </c>
      <c r="C174" s="135"/>
      <c r="D174" s="136" t="str">
        <f>IFERROR(INDEX(Riesgos!$A$7:$M$84,MATCH(E174,INDEX(Riesgos!$A$7:$M$84,,MATCH(E$7,Riesgos!$A$6:$M$6,0)),0),MATCH(D$7,Riesgos!$A$6:$M$6,0)),"")</f>
        <v/>
      </c>
      <c r="E174" s="137"/>
      <c r="F174" s="137"/>
      <c r="G174" s="138" t="str">
        <f t="shared" si="3"/>
        <v/>
      </c>
      <c r="H174" s="139"/>
      <c r="I174" s="153" t="str">
        <f>IF(A173=A174,IFERROR(IF(AND(#REF!="Probabilidad",#REF!="Probabilidad"),(#REF!-(+#REF!*#REF!)),IF(#REF!="Probabilidad",(#REF!-(+#REF!*#REF!)),IF(#REF!="Impacto",#REF!,""))),""),IFERROR(IF(#REF!="Probabilidad",(#REF!-(+#REF!*#REF!)),IF(#REF!="Impacto",#REF!,"")),""))</f>
        <v/>
      </c>
      <c r="J174" s="154" t="str">
        <f>IFERROR(IF(I174="","",IF(I174&lt;='Listas y tablas'!$L$3,"Muy Baja",IF(I174&lt;='Listas y tablas'!$L$4,"Baja",IF(I174&lt;='Listas y tablas'!$L$5,"Media",IF(I174&lt;='Listas y tablas'!$L$6,"Alta","Muy Alta"))))),"")</f>
        <v/>
      </c>
      <c r="K174" s="155"/>
      <c r="L174" s="156"/>
      <c r="M174" s="150"/>
      <c r="N174" s="151"/>
      <c r="O174" s="151"/>
      <c r="P174" s="152"/>
      <c r="Q174" s="162"/>
      <c r="R174" s="151"/>
      <c r="S174" s="151"/>
      <c r="T174" s="151"/>
      <c r="U174" s="151"/>
      <c r="V174" s="165"/>
      <c r="W174" s="150"/>
      <c r="X174" s="151"/>
      <c r="Y174" s="151"/>
      <c r="Z174" s="151"/>
      <c r="AA174" s="151"/>
      <c r="AB174" s="151"/>
      <c r="AC174" s="163"/>
      <c r="AD174" s="151"/>
      <c r="AE174" s="152"/>
      <c r="AF174" s="173"/>
      <c r="AG174" s="185"/>
      <c r="AH174" s="185"/>
      <c r="AI174" s="186"/>
      <c r="AJ174" s="181"/>
      <c r="AK174" s="181"/>
      <c r="AL174" s="183"/>
      <c r="AM174" s="173"/>
      <c r="AN174" s="187"/>
      <c r="AO174" s="195"/>
      <c r="AP174" s="193"/>
      <c r="AQ174" s="193"/>
      <c r="AR174" s="193"/>
      <c r="AS174" s="193"/>
      <c r="AT174" s="193"/>
      <c r="AU174" s="193"/>
      <c r="AV174" s="194"/>
      <c r="AW174" s="193"/>
      <c r="AX174" s="207"/>
      <c r="AY174" s="208"/>
      <c r="AZ174" s="209"/>
      <c r="BA174" s="209"/>
      <c r="BB174" s="209"/>
      <c r="BC174" s="206"/>
      <c r="BD174" s="206"/>
      <c r="BE174" s="213"/>
      <c r="BF174" s="217"/>
      <c r="BG174" s="209"/>
      <c r="BH174" s="218"/>
      <c r="BI174" s="215"/>
      <c r="BJ174" s="215"/>
      <c r="BK174" s="215"/>
      <c r="BL174" s="215"/>
      <c r="BM174" s="215"/>
      <c r="BN174" s="215"/>
      <c r="BO174" s="216"/>
      <c r="BP174" s="215"/>
      <c r="BQ174" s="228"/>
      <c r="BR174" s="229"/>
      <c r="BS174" s="230"/>
      <c r="BT174" s="230"/>
      <c r="BU174" s="230"/>
      <c r="BV174" s="227"/>
      <c r="BW174" s="227"/>
      <c r="BX174" s="234"/>
      <c r="BY174" s="229"/>
      <c r="BZ174" s="230"/>
      <c r="CA174" s="235"/>
    </row>
    <row r="175" spans="1:79" ht="151.5" customHeight="1">
      <c r="A175" s="134" t="str">
        <f>IFERROR(INDEX(Riesgos!$A$7:$M$84,MATCH(E175,INDEX(Riesgos!$A$7:$M$84,,MATCH(E$7,Riesgos!$A$6:$M$6,0)),0),MATCH(A$7,Riesgos!$A$6:$M$6,0)),"")</f>
        <v/>
      </c>
      <c r="B175" s="135" t="str">
        <f>IFERROR(INDEX(Riesgos!$A$7:$M$84,MATCH(E175,INDEX(Riesgos!$A$7:$M$84,,MATCH(E$7,Riesgos!$A$6:$M$6,0)),0),MATCH(B$7,Riesgos!$A$6:$M$6,0)),"")</f>
        <v/>
      </c>
      <c r="C175" s="135"/>
      <c r="D175" s="136" t="str">
        <f>IFERROR(INDEX(Riesgos!$A$7:$M$84,MATCH(E175,INDEX(Riesgos!$A$7:$M$84,,MATCH(E$7,Riesgos!$A$6:$M$6,0)),0),MATCH(D$7,Riesgos!$A$6:$M$6,0)),"")</f>
        <v/>
      </c>
      <c r="E175" s="137"/>
      <c r="F175" s="137"/>
      <c r="G175" s="138" t="str">
        <f t="shared" si="3"/>
        <v/>
      </c>
      <c r="H175" s="139"/>
      <c r="I175" s="153" t="str">
        <f>IF(A174=A175,IFERROR(IF(AND(#REF!="Probabilidad",#REF!="Probabilidad"),(#REF!-(+#REF!*#REF!)),IF(#REF!="Probabilidad",(#REF!-(+#REF!*#REF!)),IF(#REF!="Impacto",#REF!,""))),""),IFERROR(IF(#REF!="Probabilidad",(#REF!-(+#REF!*#REF!)),IF(#REF!="Impacto",#REF!,"")),""))</f>
        <v/>
      </c>
      <c r="J175" s="154" t="str">
        <f>IFERROR(IF(I175="","",IF(I175&lt;='Listas y tablas'!$L$3,"Muy Baja",IF(I175&lt;='Listas y tablas'!$L$4,"Baja",IF(I175&lt;='Listas y tablas'!$L$5,"Media",IF(I175&lt;='Listas y tablas'!$L$6,"Alta","Muy Alta"))))),"")</f>
        <v/>
      </c>
      <c r="K175" s="155"/>
      <c r="L175" s="156"/>
      <c r="M175" s="150"/>
      <c r="N175" s="151"/>
      <c r="O175" s="151"/>
      <c r="P175" s="152"/>
      <c r="Q175" s="162"/>
      <c r="R175" s="151"/>
      <c r="S175" s="151"/>
      <c r="T175" s="151"/>
      <c r="U175" s="151"/>
      <c r="V175" s="165"/>
      <c r="W175" s="150"/>
      <c r="X175" s="151"/>
      <c r="Y175" s="151"/>
      <c r="Z175" s="151"/>
      <c r="AA175" s="151"/>
      <c r="AB175" s="151"/>
      <c r="AC175" s="163"/>
      <c r="AD175" s="151"/>
      <c r="AE175" s="152"/>
      <c r="AF175" s="173"/>
      <c r="AG175" s="185"/>
      <c r="AH175" s="185"/>
      <c r="AI175" s="186"/>
      <c r="AJ175" s="181"/>
      <c r="AK175" s="181"/>
      <c r="AL175" s="183"/>
      <c r="AM175" s="173"/>
      <c r="AN175" s="187"/>
      <c r="AO175" s="195"/>
      <c r="AP175" s="193"/>
      <c r="AQ175" s="193"/>
      <c r="AR175" s="193"/>
      <c r="AS175" s="193"/>
      <c r="AT175" s="193"/>
      <c r="AU175" s="193"/>
      <c r="AV175" s="194"/>
      <c r="AW175" s="193"/>
      <c r="AX175" s="207"/>
      <c r="AY175" s="208"/>
      <c r="AZ175" s="209"/>
      <c r="BA175" s="209"/>
      <c r="BB175" s="209"/>
      <c r="BC175" s="206"/>
      <c r="BD175" s="206"/>
      <c r="BE175" s="213"/>
      <c r="BF175" s="217"/>
      <c r="BG175" s="209"/>
      <c r="BH175" s="218"/>
      <c r="BI175" s="215"/>
      <c r="BJ175" s="215"/>
      <c r="BK175" s="215"/>
      <c r="BL175" s="215"/>
      <c r="BM175" s="215"/>
      <c r="BN175" s="215"/>
      <c r="BO175" s="216"/>
      <c r="BP175" s="215"/>
      <c r="BQ175" s="228"/>
      <c r="BR175" s="229"/>
      <c r="BS175" s="230"/>
      <c r="BT175" s="230"/>
      <c r="BU175" s="230"/>
      <c r="BV175" s="227"/>
      <c r="BW175" s="227"/>
      <c r="BX175" s="234"/>
      <c r="BY175" s="229"/>
      <c r="BZ175" s="230"/>
      <c r="CA175" s="235"/>
    </row>
    <row r="176" spans="1:79" ht="151.5" customHeight="1">
      <c r="A176" s="134" t="str">
        <f>IFERROR(INDEX(Riesgos!$A$7:$M$84,MATCH(E176,INDEX(Riesgos!$A$7:$M$84,,MATCH(E$7,Riesgos!$A$6:$M$6,0)),0),MATCH(A$7,Riesgos!$A$6:$M$6,0)),"")</f>
        <v/>
      </c>
      <c r="B176" s="135" t="str">
        <f>IFERROR(INDEX(Riesgos!$A$7:$M$84,MATCH(E176,INDEX(Riesgos!$A$7:$M$84,,MATCH(E$7,Riesgos!$A$6:$M$6,0)),0),MATCH(B$7,Riesgos!$A$6:$M$6,0)),"")</f>
        <v/>
      </c>
      <c r="C176" s="135"/>
      <c r="D176" s="136" t="str">
        <f>IFERROR(INDEX(Riesgos!$A$7:$M$84,MATCH(E176,INDEX(Riesgos!$A$7:$M$84,,MATCH(E$7,Riesgos!$A$6:$M$6,0)),0),MATCH(D$7,Riesgos!$A$6:$M$6,0)),"")</f>
        <v/>
      </c>
      <c r="E176" s="137"/>
      <c r="F176" s="137"/>
      <c r="G176" s="138" t="str">
        <f t="shared" si="3"/>
        <v/>
      </c>
      <c r="H176" s="139"/>
      <c r="I176" s="153" t="str">
        <f>IF(A175=A176,IFERROR(IF(AND(#REF!="Probabilidad",#REF!="Probabilidad"),(#REF!-(+#REF!*#REF!)),IF(#REF!="Probabilidad",(#REF!-(+#REF!*#REF!)),IF(#REF!="Impacto",#REF!,""))),""),IFERROR(IF(#REF!="Probabilidad",(#REF!-(+#REF!*#REF!)),IF(#REF!="Impacto",#REF!,"")),""))</f>
        <v/>
      </c>
      <c r="J176" s="154" t="str">
        <f>IFERROR(IF(I176="","",IF(I176&lt;='Listas y tablas'!$L$3,"Muy Baja",IF(I176&lt;='Listas y tablas'!$L$4,"Baja",IF(I176&lt;='Listas y tablas'!$L$5,"Media",IF(I176&lt;='Listas y tablas'!$L$6,"Alta","Muy Alta"))))),"")</f>
        <v/>
      </c>
      <c r="K176" s="155"/>
      <c r="L176" s="156"/>
      <c r="M176" s="150"/>
      <c r="N176" s="151"/>
      <c r="O176" s="151"/>
      <c r="P176" s="152"/>
      <c r="Q176" s="162"/>
      <c r="R176" s="151"/>
      <c r="S176" s="151"/>
      <c r="T176" s="151"/>
      <c r="U176" s="151"/>
      <c r="V176" s="165"/>
      <c r="W176" s="150"/>
      <c r="X176" s="151"/>
      <c r="Y176" s="151"/>
      <c r="Z176" s="151"/>
      <c r="AA176" s="151"/>
      <c r="AB176" s="151"/>
      <c r="AC176" s="163"/>
      <c r="AD176" s="151"/>
      <c r="AE176" s="152"/>
      <c r="AF176" s="173"/>
      <c r="AG176" s="185"/>
      <c r="AH176" s="185"/>
      <c r="AI176" s="186"/>
      <c r="AJ176" s="181"/>
      <c r="AK176" s="181"/>
      <c r="AL176" s="183"/>
      <c r="AM176" s="173"/>
      <c r="AN176" s="187"/>
      <c r="AO176" s="195"/>
      <c r="AP176" s="193"/>
      <c r="AQ176" s="193"/>
      <c r="AR176" s="193"/>
      <c r="AS176" s="193"/>
      <c r="AT176" s="193"/>
      <c r="AU176" s="193"/>
      <c r="AV176" s="194"/>
      <c r="AW176" s="193"/>
      <c r="AX176" s="207"/>
      <c r="AY176" s="208"/>
      <c r="AZ176" s="209"/>
      <c r="BA176" s="209"/>
      <c r="BB176" s="209"/>
      <c r="BC176" s="206"/>
      <c r="BD176" s="206"/>
      <c r="BE176" s="213"/>
      <c r="BF176" s="217"/>
      <c r="BG176" s="209"/>
      <c r="BH176" s="218"/>
      <c r="BI176" s="215"/>
      <c r="BJ176" s="215"/>
      <c r="BK176" s="215"/>
      <c r="BL176" s="215"/>
      <c r="BM176" s="215"/>
      <c r="BN176" s="215"/>
      <c r="BO176" s="216"/>
      <c r="BP176" s="215"/>
      <c r="BQ176" s="228"/>
      <c r="BR176" s="229"/>
      <c r="BS176" s="230"/>
      <c r="BT176" s="230"/>
      <c r="BU176" s="230"/>
      <c r="BV176" s="227"/>
      <c r="BW176" s="227"/>
      <c r="BX176" s="234"/>
      <c r="BY176" s="229"/>
      <c r="BZ176" s="230"/>
      <c r="CA176" s="235"/>
    </row>
    <row r="177" spans="1:79" ht="151.5" customHeight="1">
      <c r="A177" s="134" t="str">
        <f>IFERROR(INDEX(Riesgos!$A$7:$M$84,MATCH(E177,INDEX(Riesgos!$A$7:$M$84,,MATCH(E$7,Riesgos!$A$6:$M$6,0)),0),MATCH(A$7,Riesgos!$A$6:$M$6,0)),"")</f>
        <v/>
      </c>
      <c r="B177" s="135" t="str">
        <f>IFERROR(INDEX(Riesgos!$A$7:$M$84,MATCH(E177,INDEX(Riesgos!$A$7:$M$84,,MATCH(E$7,Riesgos!$A$6:$M$6,0)),0),MATCH(B$7,Riesgos!$A$6:$M$6,0)),"")</f>
        <v/>
      </c>
      <c r="C177" s="135"/>
      <c r="D177" s="136" t="str">
        <f>IFERROR(INDEX(Riesgos!$A$7:$M$84,MATCH(E177,INDEX(Riesgos!$A$7:$M$84,,MATCH(E$7,Riesgos!$A$6:$M$6,0)),0),MATCH(D$7,Riesgos!$A$6:$M$6,0)),"")</f>
        <v/>
      </c>
      <c r="E177" s="137"/>
      <c r="F177" s="137"/>
      <c r="G177" s="138" t="str">
        <f t="shared" si="3"/>
        <v/>
      </c>
      <c r="H177" s="139"/>
      <c r="I177" s="153" t="str">
        <f>IF(A176=A177,IFERROR(IF(AND(#REF!="Probabilidad",#REF!="Probabilidad"),(#REF!-(+#REF!*#REF!)),IF(#REF!="Probabilidad",(#REF!-(+#REF!*#REF!)),IF(#REF!="Impacto",#REF!,""))),""),IFERROR(IF(#REF!="Probabilidad",(#REF!-(+#REF!*#REF!)),IF(#REF!="Impacto",#REF!,"")),""))</f>
        <v/>
      </c>
      <c r="J177" s="154" t="str">
        <f>IFERROR(IF(I177="","",IF(I177&lt;='Listas y tablas'!$L$3,"Muy Baja",IF(I177&lt;='Listas y tablas'!$L$4,"Baja",IF(I177&lt;='Listas y tablas'!$L$5,"Media",IF(I177&lt;='Listas y tablas'!$L$6,"Alta","Muy Alta"))))),"")</f>
        <v/>
      </c>
      <c r="K177" s="155"/>
      <c r="L177" s="156"/>
      <c r="M177" s="150"/>
      <c r="N177" s="151"/>
      <c r="O177" s="151"/>
      <c r="P177" s="152"/>
      <c r="Q177" s="162"/>
      <c r="R177" s="151"/>
      <c r="S177" s="151"/>
      <c r="T177" s="151"/>
      <c r="U177" s="151"/>
      <c r="V177" s="165"/>
      <c r="W177" s="150"/>
      <c r="X177" s="151"/>
      <c r="Y177" s="151"/>
      <c r="Z177" s="151"/>
      <c r="AA177" s="151"/>
      <c r="AB177" s="151"/>
      <c r="AC177" s="163"/>
      <c r="AD177" s="151"/>
      <c r="AE177" s="152"/>
      <c r="AF177" s="173"/>
      <c r="AG177" s="185"/>
      <c r="AH177" s="185"/>
      <c r="AI177" s="186"/>
      <c r="AJ177" s="181"/>
      <c r="AK177" s="181"/>
      <c r="AL177" s="183"/>
      <c r="AM177" s="173"/>
      <c r="AN177" s="187"/>
      <c r="AO177" s="195"/>
      <c r="AP177" s="193"/>
      <c r="AQ177" s="193"/>
      <c r="AR177" s="193"/>
      <c r="AS177" s="193"/>
      <c r="AT177" s="193"/>
      <c r="AU177" s="193"/>
      <c r="AV177" s="194"/>
      <c r="AW177" s="193"/>
      <c r="AX177" s="207"/>
      <c r="AY177" s="208"/>
      <c r="AZ177" s="209"/>
      <c r="BA177" s="209"/>
      <c r="BB177" s="209"/>
      <c r="BC177" s="206"/>
      <c r="BD177" s="206"/>
      <c r="BE177" s="213"/>
      <c r="BF177" s="217"/>
      <c r="BG177" s="209"/>
      <c r="BH177" s="218"/>
      <c r="BI177" s="215"/>
      <c r="BJ177" s="215"/>
      <c r="BK177" s="215"/>
      <c r="BL177" s="215"/>
      <c r="BM177" s="215"/>
      <c r="BN177" s="215"/>
      <c r="BO177" s="216"/>
      <c r="BP177" s="215"/>
      <c r="BQ177" s="228"/>
      <c r="BR177" s="229"/>
      <c r="BS177" s="230"/>
      <c r="BT177" s="230"/>
      <c r="BU177" s="230"/>
      <c r="BV177" s="227"/>
      <c r="BW177" s="227"/>
      <c r="BX177" s="234"/>
      <c r="BY177" s="229"/>
      <c r="BZ177" s="230"/>
      <c r="CA177" s="235"/>
    </row>
    <row r="178" spans="1:79" ht="151.5" customHeight="1">
      <c r="A178" s="134" t="str">
        <f>IFERROR(INDEX(Riesgos!$A$7:$M$84,MATCH(E178,INDEX(Riesgos!$A$7:$M$84,,MATCH(E$7,Riesgos!$A$6:$M$6,0)),0),MATCH(A$7,Riesgos!$A$6:$M$6,0)),"")</f>
        <v/>
      </c>
      <c r="B178" s="135" t="str">
        <f>IFERROR(INDEX(Riesgos!$A$7:$M$84,MATCH(E178,INDEX(Riesgos!$A$7:$M$84,,MATCH(E$7,Riesgos!$A$6:$M$6,0)),0),MATCH(B$7,Riesgos!$A$6:$M$6,0)),"")</f>
        <v/>
      </c>
      <c r="C178" s="135"/>
      <c r="D178" s="136" t="str">
        <f>IFERROR(INDEX(Riesgos!$A$7:$M$84,MATCH(E178,INDEX(Riesgos!$A$7:$M$84,,MATCH(E$7,Riesgos!$A$6:$M$6,0)),0),MATCH(D$7,Riesgos!$A$6:$M$6,0)),"")</f>
        <v/>
      </c>
      <c r="E178" s="137"/>
      <c r="F178" s="137"/>
      <c r="G178" s="138" t="str">
        <f t="shared" si="3"/>
        <v/>
      </c>
      <c r="H178" s="139"/>
      <c r="I178" s="153" t="str">
        <f>IF(A177=A178,IFERROR(IF(AND(#REF!="Probabilidad",#REF!="Probabilidad"),(#REF!-(+#REF!*#REF!)),IF(#REF!="Probabilidad",(#REF!-(+#REF!*#REF!)),IF(#REF!="Impacto",#REF!,""))),""),IFERROR(IF(#REF!="Probabilidad",(#REF!-(+#REF!*#REF!)),IF(#REF!="Impacto",#REF!,"")),""))</f>
        <v/>
      </c>
      <c r="J178" s="154" t="str">
        <f>IFERROR(IF(I178="","",IF(I178&lt;='Listas y tablas'!$L$3,"Muy Baja",IF(I178&lt;='Listas y tablas'!$L$4,"Baja",IF(I178&lt;='Listas y tablas'!$L$5,"Media",IF(I178&lt;='Listas y tablas'!$L$6,"Alta","Muy Alta"))))),"")</f>
        <v/>
      </c>
      <c r="K178" s="155"/>
      <c r="L178" s="156"/>
      <c r="M178" s="150"/>
      <c r="N178" s="151"/>
      <c r="O178" s="151"/>
      <c r="P178" s="152"/>
      <c r="Q178" s="162"/>
      <c r="R178" s="151"/>
      <c r="S178" s="151"/>
      <c r="T178" s="151"/>
      <c r="U178" s="151"/>
      <c r="V178" s="165"/>
      <c r="W178" s="150"/>
      <c r="X178" s="151"/>
      <c r="Y178" s="151"/>
      <c r="Z178" s="151"/>
      <c r="AA178" s="151"/>
      <c r="AB178" s="151"/>
      <c r="AC178" s="163"/>
      <c r="AD178" s="151"/>
      <c r="AE178" s="152"/>
      <c r="AF178" s="173"/>
      <c r="AG178" s="185"/>
      <c r="AH178" s="185"/>
      <c r="AI178" s="186"/>
      <c r="AJ178" s="181"/>
      <c r="AK178" s="181"/>
      <c r="AL178" s="183"/>
      <c r="AM178" s="173"/>
      <c r="AN178" s="187"/>
      <c r="AO178" s="195"/>
      <c r="AP178" s="193"/>
      <c r="AQ178" s="193"/>
      <c r="AR178" s="193"/>
      <c r="AS178" s="193"/>
      <c r="AT178" s="193"/>
      <c r="AU178" s="193"/>
      <c r="AV178" s="194"/>
      <c r="AW178" s="193"/>
      <c r="AX178" s="207"/>
      <c r="AY178" s="208"/>
      <c r="AZ178" s="209"/>
      <c r="BA178" s="209"/>
      <c r="BB178" s="209"/>
      <c r="BC178" s="206"/>
      <c r="BD178" s="206"/>
      <c r="BE178" s="213"/>
      <c r="BF178" s="217"/>
      <c r="BG178" s="209"/>
      <c r="BH178" s="218"/>
      <c r="BI178" s="215"/>
      <c r="BJ178" s="215"/>
      <c r="BK178" s="215"/>
      <c r="BL178" s="215"/>
      <c r="BM178" s="215"/>
      <c r="BN178" s="215"/>
      <c r="BO178" s="216"/>
      <c r="BP178" s="215"/>
      <c r="BQ178" s="228"/>
      <c r="BR178" s="229"/>
      <c r="BS178" s="230"/>
      <c r="BT178" s="230"/>
      <c r="BU178" s="230"/>
      <c r="BV178" s="227"/>
      <c r="BW178" s="227"/>
      <c r="BX178" s="234"/>
      <c r="BY178" s="229"/>
      <c r="BZ178" s="230"/>
      <c r="CA178" s="235"/>
    </row>
    <row r="179" spans="1:79" ht="151.5" customHeight="1">
      <c r="A179" s="134" t="str">
        <f>IFERROR(INDEX(Riesgos!$A$7:$M$84,MATCH(E179,INDEX(Riesgos!$A$7:$M$84,,MATCH(E$7,Riesgos!$A$6:$M$6,0)),0),MATCH(A$7,Riesgos!$A$6:$M$6,0)),"")</f>
        <v/>
      </c>
      <c r="B179" s="135" t="str">
        <f>IFERROR(INDEX(Riesgos!$A$7:$M$84,MATCH(E179,INDEX(Riesgos!$A$7:$M$84,,MATCH(E$7,Riesgos!$A$6:$M$6,0)),0),MATCH(B$7,Riesgos!$A$6:$M$6,0)),"")</f>
        <v/>
      </c>
      <c r="C179" s="135"/>
      <c r="D179" s="136" t="str">
        <f>IFERROR(INDEX(Riesgos!$A$7:$M$84,MATCH(E179,INDEX(Riesgos!$A$7:$M$84,,MATCH(E$7,Riesgos!$A$6:$M$6,0)),0),MATCH(D$7,Riesgos!$A$6:$M$6,0)),"")</f>
        <v/>
      </c>
      <c r="E179" s="137"/>
      <c r="F179" s="137"/>
      <c r="G179" s="138" t="str">
        <f t="shared" si="3"/>
        <v/>
      </c>
      <c r="H179" s="139"/>
      <c r="I179" s="153" t="str">
        <f>IF(A178=A179,IFERROR(IF(AND(#REF!="Probabilidad",#REF!="Probabilidad"),(#REF!-(+#REF!*#REF!)),IF(#REF!="Probabilidad",(#REF!-(+#REF!*#REF!)),IF(#REF!="Impacto",#REF!,""))),""),IFERROR(IF(#REF!="Probabilidad",(#REF!-(+#REF!*#REF!)),IF(#REF!="Impacto",#REF!,"")),""))</f>
        <v/>
      </c>
      <c r="J179" s="154" t="str">
        <f>IFERROR(IF(I179="","",IF(I179&lt;='Listas y tablas'!$L$3,"Muy Baja",IF(I179&lt;='Listas y tablas'!$L$4,"Baja",IF(I179&lt;='Listas y tablas'!$L$5,"Media",IF(I179&lt;='Listas y tablas'!$L$6,"Alta","Muy Alta"))))),"")</f>
        <v/>
      </c>
      <c r="K179" s="155"/>
      <c r="L179" s="156"/>
      <c r="M179" s="150"/>
      <c r="N179" s="151"/>
      <c r="O179" s="151"/>
      <c r="P179" s="152"/>
      <c r="Q179" s="162"/>
      <c r="R179" s="151"/>
      <c r="S179" s="151"/>
      <c r="T179" s="151"/>
      <c r="U179" s="151"/>
      <c r="V179" s="165"/>
      <c r="W179" s="150"/>
      <c r="X179" s="151"/>
      <c r="Y179" s="151"/>
      <c r="Z179" s="151"/>
      <c r="AA179" s="151"/>
      <c r="AB179" s="151"/>
      <c r="AC179" s="163"/>
      <c r="AD179" s="151"/>
      <c r="AE179" s="152"/>
      <c r="AF179" s="173"/>
      <c r="AG179" s="185"/>
      <c r="AH179" s="185"/>
      <c r="AI179" s="186"/>
      <c r="AJ179" s="181"/>
      <c r="AK179" s="181"/>
      <c r="AL179" s="183"/>
      <c r="AM179" s="173"/>
      <c r="AN179" s="187"/>
      <c r="AO179" s="195"/>
      <c r="AP179" s="193"/>
      <c r="AQ179" s="193"/>
      <c r="AR179" s="193"/>
      <c r="AS179" s="193"/>
      <c r="AT179" s="193"/>
      <c r="AU179" s="193"/>
      <c r="AV179" s="194"/>
      <c r="AW179" s="193"/>
      <c r="AX179" s="207"/>
      <c r="AY179" s="208"/>
      <c r="AZ179" s="209"/>
      <c r="BA179" s="209"/>
      <c r="BB179" s="209"/>
      <c r="BC179" s="206"/>
      <c r="BD179" s="206"/>
      <c r="BE179" s="213"/>
      <c r="BF179" s="217"/>
      <c r="BG179" s="209"/>
      <c r="BH179" s="218"/>
      <c r="BI179" s="215"/>
      <c r="BJ179" s="215"/>
      <c r="BK179" s="215"/>
      <c r="BL179" s="215"/>
      <c r="BM179" s="215"/>
      <c r="BN179" s="215"/>
      <c r="BO179" s="216"/>
      <c r="BP179" s="215"/>
      <c r="BQ179" s="228"/>
      <c r="BR179" s="229"/>
      <c r="BS179" s="230"/>
      <c r="BT179" s="230"/>
      <c r="BU179" s="230"/>
      <c r="BV179" s="227"/>
      <c r="BW179" s="227"/>
      <c r="BX179" s="234"/>
      <c r="BY179" s="229"/>
      <c r="BZ179" s="230"/>
      <c r="CA179" s="235"/>
    </row>
    <row r="180" spans="1:79" ht="151.5" customHeight="1">
      <c r="A180" s="134" t="str">
        <f>IFERROR(INDEX(Riesgos!$A$7:$M$84,MATCH(E180,INDEX(Riesgos!$A$7:$M$84,,MATCH(E$7,Riesgos!$A$6:$M$6,0)),0),MATCH(A$7,Riesgos!$A$6:$M$6,0)),"")</f>
        <v/>
      </c>
      <c r="B180" s="135" t="str">
        <f>IFERROR(INDEX(Riesgos!$A$7:$M$84,MATCH(E180,INDEX(Riesgos!$A$7:$M$84,,MATCH(E$7,Riesgos!$A$6:$M$6,0)),0),MATCH(B$7,Riesgos!$A$6:$M$6,0)),"")</f>
        <v/>
      </c>
      <c r="C180" s="135"/>
      <c r="D180" s="136" t="str">
        <f>IFERROR(INDEX(Riesgos!$A$7:$M$84,MATCH(E180,INDEX(Riesgos!$A$7:$M$84,,MATCH(E$7,Riesgos!$A$6:$M$6,0)),0),MATCH(D$7,Riesgos!$A$6:$M$6,0)),"")</f>
        <v/>
      </c>
      <c r="E180" s="137"/>
      <c r="F180" s="137"/>
      <c r="G180" s="138" t="str">
        <f t="shared" si="3"/>
        <v/>
      </c>
      <c r="H180" s="139"/>
      <c r="I180" s="153" t="str">
        <f>IF(A179=A180,IFERROR(IF(AND(#REF!="Probabilidad",#REF!="Probabilidad"),(#REF!-(+#REF!*#REF!)),IF(#REF!="Probabilidad",(#REF!-(+#REF!*#REF!)),IF(#REF!="Impacto",#REF!,""))),""),IFERROR(IF(#REF!="Probabilidad",(#REF!-(+#REF!*#REF!)),IF(#REF!="Impacto",#REF!,"")),""))</f>
        <v/>
      </c>
      <c r="J180" s="154" t="str">
        <f>IFERROR(IF(I180="","",IF(I180&lt;='Listas y tablas'!$L$3,"Muy Baja",IF(I180&lt;='Listas y tablas'!$L$4,"Baja",IF(I180&lt;='Listas y tablas'!$L$5,"Media",IF(I180&lt;='Listas y tablas'!$L$6,"Alta","Muy Alta"))))),"")</f>
        <v/>
      </c>
      <c r="K180" s="155"/>
      <c r="L180" s="156"/>
      <c r="M180" s="150"/>
      <c r="N180" s="151"/>
      <c r="O180" s="151"/>
      <c r="P180" s="152"/>
      <c r="Q180" s="162"/>
      <c r="R180" s="151"/>
      <c r="S180" s="151"/>
      <c r="T180" s="151"/>
      <c r="U180" s="151"/>
      <c r="V180" s="165"/>
      <c r="W180" s="150"/>
      <c r="X180" s="151"/>
      <c r="Y180" s="151"/>
      <c r="Z180" s="151"/>
      <c r="AA180" s="151"/>
      <c r="AB180" s="151"/>
      <c r="AC180" s="163"/>
      <c r="AD180" s="151"/>
      <c r="AE180" s="152"/>
      <c r="AF180" s="173"/>
      <c r="AG180" s="185"/>
      <c r="AH180" s="185"/>
      <c r="AI180" s="186"/>
      <c r="AJ180" s="181"/>
      <c r="AK180" s="181"/>
      <c r="AL180" s="183"/>
      <c r="AM180" s="173"/>
      <c r="AN180" s="187"/>
      <c r="AO180" s="195"/>
      <c r="AP180" s="193"/>
      <c r="AQ180" s="193"/>
      <c r="AR180" s="193"/>
      <c r="AS180" s="193"/>
      <c r="AT180" s="193"/>
      <c r="AU180" s="193"/>
      <c r="AV180" s="194"/>
      <c r="AW180" s="193"/>
      <c r="AX180" s="207"/>
      <c r="AY180" s="208"/>
      <c r="AZ180" s="209"/>
      <c r="BA180" s="209"/>
      <c r="BB180" s="209"/>
      <c r="BC180" s="206"/>
      <c r="BD180" s="206"/>
      <c r="BE180" s="213"/>
      <c r="BF180" s="217"/>
      <c r="BG180" s="209"/>
      <c r="BH180" s="218"/>
      <c r="BI180" s="215"/>
      <c r="BJ180" s="215"/>
      <c r="BK180" s="215"/>
      <c r="BL180" s="215"/>
      <c r="BM180" s="215"/>
      <c r="BN180" s="215"/>
      <c r="BO180" s="216"/>
      <c r="BP180" s="215"/>
      <c r="BQ180" s="228"/>
      <c r="BR180" s="229"/>
      <c r="BS180" s="230"/>
      <c r="BT180" s="230"/>
      <c r="BU180" s="230"/>
      <c r="BV180" s="227"/>
      <c r="BW180" s="227"/>
      <c r="BX180" s="234"/>
      <c r="BY180" s="229"/>
      <c r="BZ180" s="230"/>
      <c r="CA180" s="235"/>
    </row>
    <row r="181" spans="1:79" ht="151.5" customHeight="1">
      <c r="A181" s="134" t="str">
        <f>IFERROR(INDEX(Riesgos!$A$7:$M$84,MATCH(E181,INDEX(Riesgos!$A$7:$M$84,,MATCH(E$7,Riesgos!$A$6:$M$6,0)),0),MATCH(A$7,Riesgos!$A$6:$M$6,0)),"")</f>
        <v/>
      </c>
      <c r="B181" s="135" t="str">
        <f>IFERROR(INDEX(Riesgos!$A$7:$M$84,MATCH(E181,INDEX(Riesgos!$A$7:$M$84,,MATCH(E$7,Riesgos!$A$6:$M$6,0)),0),MATCH(B$7,Riesgos!$A$6:$M$6,0)),"")</f>
        <v/>
      </c>
      <c r="C181" s="135"/>
      <c r="D181" s="136" t="str">
        <f>IFERROR(INDEX(Riesgos!$A$7:$M$84,MATCH(E181,INDEX(Riesgos!$A$7:$M$84,,MATCH(E$7,Riesgos!$A$6:$M$6,0)),0),MATCH(D$7,Riesgos!$A$6:$M$6,0)),"")</f>
        <v/>
      </c>
      <c r="E181" s="137"/>
      <c r="F181" s="137"/>
      <c r="G181" s="138" t="str">
        <f t="shared" si="3"/>
        <v/>
      </c>
      <c r="H181" s="139"/>
      <c r="I181" s="153" t="str">
        <f>IF(A180=A181,IFERROR(IF(AND(#REF!="Probabilidad",#REF!="Probabilidad"),(#REF!-(+#REF!*#REF!)),IF(#REF!="Probabilidad",(#REF!-(+#REF!*#REF!)),IF(#REF!="Impacto",#REF!,""))),""),IFERROR(IF(#REF!="Probabilidad",(#REF!-(+#REF!*#REF!)),IF(#REF!="Impacto",#REF!,"")),""))</f>
        <v/>
      </c>
      <c r="J181" s="154" t="str">
        <f>IFERROR(IF(I181="","",IF(I181&lt;='Listas y tablas'!$L$3,"Muy Baja",IF(I181&lt;='Listas y tablas'!$L$4,"Baja",IF(I181&lt;='Listas y tablas'!$L$5,"Media",IF(I181&lt;='Listas y tablas'!$L$6,"Alta","Muy Alta"))))),"")</f>
        <v/>
      </c>
      <c r="K181" s="155"/>
      <c r="L181" s="156"/>
      <c r="M181" s="150"/>
      <c r="N181" s="151"/>
      <c r="O181" s="151"/>
      <c r="P181" s="152"/>
      <c r="Q181" s="162"/>
      <c r="R181" s="151"/>
      <c r="S181" s="151"/>
      <c r="T181" s="151"/>
      <c r="U181" s="151"/>
      <c r="V181" s="165"/>
      <c r="W181" s="150"/>
      <c r="X181" s="151"/>
      <c r="Y181" s="151"/>
      <c r="Z181" s="151"/>
      <c r="AA181" s="151"/>
      <c r="AB181" s="151"/>
      <c r="AC181" s="163"/>
      <c r="AD181" s="151"/>
      <c r="AE181" s="152"/>
      <c r="AF181" s="173"/>
      <c r="AG181" s="185"/>
      <c r="AH181" s="185"/>
      <c r="AI181" s="186"/>
      <c r="AJ181" s="181"/>
      <c r="AK181" s="181"/>
      <c r="AL181" s="183"/>
      <c r="AM181" s="173"/>
      <c r="AN181" s="187"/>
      <c r="AO181" s="195"/>
      <c r="AP181" s="193"/>
      <c r="AQ181" s="193"/>
      <c r="AR181" s="193"/>
      <c r="AS181" s="193"/>
      <c r="AT181" s="193"/>
      <c r="AU181" s="193"/>
      <c r="AV181" s="194"/>
      <c r="AW181" s="193"/>
      <c r="AX181" s="207"/>
      <c r="AY181" s="208"/>
      <c r="AZ181" s="209"/>
      <c r="BA181" s="209"/>
      <c r="BB181" s="209"/>
      <c r="BC181" s="206"/>
      <c r="BD181" s="206"/>
      <c r="BE181" s="213"/>
      <c r="BF181" s="217"/>
      <c r="BG181" s="209"/>
      <c r="BH181" s="218"/>
      <c r="BI181" s="215"/>
      <c r="BJ181" s="215"/>
      <c r="BK181" s="215"/>
      <c r="BL181" s="215"/>
      <c r="BM181" s="215"/>
      <c r="BN181" s="215"/>
      <c r="BO181" s="216"/>
      <c r="BP181" s="215"/>
      <c r="BQ181" s="228"/>
      <c r="BR181" s="229"/>
      <c r="BS181" s="230"/>
      <c r="BT181" s="230"/>
      <c r="BU181" s="230"/>
      <c r="BV181" s="227"/>
      <c r="BW181" s="227"/>
      <c r="BX181" s="234"/>
      <c r="BY181" s="229"/>
      <c r="BZ181" s="230"/>
      <c r="CA181" s="235"/>
    </row>
    <row r="182" spans="1:79" ht="151.5" customHeight="1">
      <c r="A182" s="134" t="str">
        <f>IFERROR(INDEX(Riesgos!$A$7:$M$84,MATCH(E182,INDEX(Riesgos!$A$7:$M$84,,MATCH(E$7,Riesgos!$A$6:$M$6,0)),0),MATCH(A$7,Riesgos!$A$6:$M$6,0)),"")</f>
        <v/>
      </c>
      <c r="B182" s="135" t="str">
        <f>IFERROR(INDEX(Riesgos!$A$7:$M$84,MATCH(E182,INDEX(Riesgos!$A$7:$M$84,,MATCH(E$7,Riesgos!$A$6:$M$6,0)),0),MATCH(B$7,Riesgos!$A$6:$M$6,0)),"")</f>
        <v/>
      </c>
      <c r="C182" s="135"/>
      <c r="D182" s="136" t="str">
        <f>IFERROR(INDEX(Riesgos!$A$7:$M$84,MATCH(E182,INDEX(Riesgos!$A$7:$M$84,,MATCH(E$7,Riesgos!$A$6:$M$6,0)),0),MATCH(D$7,Riesgos!$A$6:$M$6,0)),"")</f>
        <v/>
      </c>
      <c r="E182" s="137"/>
      <c r="F182" s="137"/>
      <c r="G182" s="138" t="str">
        <f t="shared" si="3"/>
        <v/>
      </c>
      <c r="H182" s="139"/>
      <c r="I182" s="153" t="str">
        <f>IF(A181=A182,IFERROR(IF(AND(#REF!="Probabilidad",#REF!="Probabilidad"),(#REF!-(+#REF!*#REF!)),IF(#REF!="Probabilidad",(#REF!-(+#REF!*#REF!)),IF(#REF!="Impacto",#REF!,""))),""),IFERROR(IF(#REF!="Probabilidad",(#REF!-(+#REF!*#REF!)),IF(#REF!="Impacto",#REF!,"")),""))</f>
        <v/>
      </c>
      <c r="J182" s="154" t="str">
        <f>IFERROR(IF(I182="","",IF(I182&lt;='Listas y tablas'!$L$3,"Muy Baja",IF(I182&lt;='Listas y tablas'!$L$4,"Baja",IF(I182&lt;='Listas y tablas'!$L$5,"Media",IF(I182&lt;='Listas y tablas'!$L$6,"Alta","Muy Alta"))))),"")</f>
        <v/>
      </c>
      <c r="K182" s="155"/>
      <c r="L182" s="156"/>
      <c r="M182" s="150"/>
      <c r="N182" s="151"/>
      <c r="O182" s="151"/>
      <c r="P182" s="152"/>
      <c r="Q182" s="162"/>
      <c r="R182" s="151"/>
      <c r="S182" s="151"/>
      <c r="T182" s="151"/>
      <c r="U182" s="151"/>
      <c r="V182" s="165"/>
      <c r="W182" s="150"/>
      <c r="X182" s="151"/>
      <c r="Y182" s="151"/>
      <c r="Z182" s="151"/>
      <c r="AA182" s="151"/>
      <c r="AB182" s="151"/>
      <c r="AC182" s="163"/>
      <c r="AD182" s="151"/>
      <c r="AE182" s="152"/>
      <c r="AF182" s="173"/>
      <c r="AG182" s="185"/>
      <c r="AH182" s="185"/>
      <c r="AI182" s="186"/>
      <c r="AJ182" s="181"/>
      <c r="AK182" s="181"/>
      <c r="AL182" s="183"/>
      <c r="AM182" s="173"/>
      <c r="AN182" s="187"/>
      <c r="AO182" s="195"/>
      <c r="AP182" s="193"/>
      <c r="AQ182" s="193"/>
      <c r="AR182" s="193"/>
      <c r="AS182" s="193"/>
      <c r="AT182" s="193"/>
      <c r="AU182" s="193"/>
      <c r="AV182" s="194"/>
      <c r="AW182" s="193"/>
      <c r="AX182" s="207"/>
      <c r="AY182" s="208"/>
      <c r="AZ182" s="209"/>
      <c r="BA182" s="209"/>
      <c r="BB182" s="209"/>
      <c r="BC182" s="206"/>
      <c r="BD182" s="206"/>
      <c r="BE182" s="213"/>
      <c r="BF182" s="217"/>
      <c r="BG182" s="209"/>
      <c r="BH182" s="218"/>
      <c r="BI182" s="215"/>
      <c r="BJ182" s="215"/>
      <c r="BK182" s="215"/>
      <c r="BL182" s="215"/>
      <c r="BM182" s="215"/>
      <c r="BN182" s="215"/>
      <c r="BO182" s="216"/>
      <c r="BP182" s="215"/>
      <c r="BQ182" s="228"/>
      <c r="BR182" s="229"/>
      <c r="BS182" s="230"/>
      <c r="BT182" s="230"/>
      <c r="BU182" s="230"/>
      <c r="BV182" s="227"/>
      <c r="BW182" s="227"/>
      <c r="BX182" s="234"/>
      <c r="BY182" s="229"/>
      <c r="BZ182" s="230"/>
      <c r="CA182" s="235"/>
    </row>
    <row r="183" spans="1:79" ht="151.5" customHeight="1">
      <c r="A183" s="134" t="str">
        <f>IFERROR(INDEX(Riesgos!$A$7:$M$84,MATCH(E183,INDEX(Riesgos!$A$7:$M$84,,MATCH(E$7,Riesgos!$A$6:$M$6,0)),0),MATCH(A$7,Riesgos!$A$6:$M$6,0)),"")</f>
        <v/>
      </c>
      <c r="B183" s="135" t="str">
        <f>IFERROR(INDEX(Riesgos!$A$7:$M$84,MATCH(E183,INDEX(Riesgos!$A$7:$M$84,,MATCH(E$7,Riesgos!$A$6:$M$6,0)),0),MATCH(B$7,Riesgos!$A$6:$M$6,0)),"")</f>
        <v/>
      </c>
      <c r="C183" s="135"/>
      <c r="D183" s="136" t="str">
        <f>IFERROR(INDEX(Riesgos!$A$7:$M$84,MATCH(E183,INDEX(Riesgos!$A$7:$M$84,,MATCH(E$7,Riesgos!$A$6:$M$6,0)),0),MATCH(D$7,Riesgos!$A$6:$M$6,0)),"")</f>
        <v/>
      </c>
      <c r="E183" s="137"/>
      <c r="F183" s="137"/>
      <c r="G183" s="138" t="str">
        <f t="shared" si="3"/>
        <v/>
      </c>
      <c r="H183" s="139"/>
      <c r="I183" s="153" t="str">
        <f>IF(A182=A183,IFERROR(IF(AND(#REF!="Probabilidad",#REF!="Probabilidad"),(#REF!-(+#REF!*#REF!)),IF(#REF!="Probabilidad",(#REF!-(+#REF!*#REF!)),IF(#REF!="Impacto",#REF!,""))),""),IFERROR(IF(#REF!="Probabilidad",(#REF!-(+#REF!*#REF!)),IF(#REF!="Impacto",#REF!,"")),""))</f>
        <v/>
      </c>
      <c r="J183" s="154" t="str">
        <f>IFERROR(IF(I183="","",IF(I183&lt;='Listas y tablas'!$L$3,"Muy Baja",IF(I183&lt;='Listas y tablas'!$L$4,"Baja",IF(I183&lt;='Listas y tablas'!$L$5,"Media",IF(I183&lt;='Listas y tablas'!$L$6,"Alta","Muy Alta"))))),"")</f>
        <v/>
      </c>
      <c r="K183" s="155"/>
      <c r="L183" s="156"/>
      <c r="M183" s="150"/>
      <c r="N183" s="151"/>
      <c r="O183" s="151"/>
      <c r="P183" s="152"/>
      <c r="Q183" s="162"/>
      <c r="R183" s="151"/>
      <c r="S183" s="151"/>
      <c r="T183" s="151"/>
      <c r="U183" s="151"/>
      <c r="V183" s="165"/>
      <c r="W183" s="150"/>
      <c r="X183" s="151"/>
      <c r="Y183" s="151"/>
      <c r="Z183" s="151"/>
      <c r="AA183" s="151"/>
      <c r="AB183" s="151"/>
      <c r="AC183" s="163"/>
      <c r="AD183" s="151"/>
      <c r="AE183" s="152"/>
      <c r="AF183" s="173"/>
      <c r="AG183" s="185"/>
      <c r="AH183" s="185"/>
      <c r="AI183" s="186"/>
      <c r="AJ183" s="181"/>
      <c r="AK183" s="181"/>
      <c r="AL183" s="183"/>
      <c r="AM183" s="173"/>
      <c r="AN183" s="187"/>
      <c r="AO183" s="195"/>
      <c r="AP183" s="193"/>
      <c r="AQ183" s="193"/>
      <c r="AR183" s="193"/>
      <c r="AS183" s="193"/>
      <c r="AT183" s="193"/>
      <c r="AU183" s="193"/>
      <c r="AV183" s="194"/>
      <c r="AW183" s="193"/>
      <c r="AX183" s="207"/>
      <c r="AY183" s="208"/>
      <c r="AZ183" s="209"/>
      <c r="BA183" s="209"/>
      <c r="BB183" s="209"/>
      <c r="BC183" s="206"/>
      <c r="BD183" s="206"/>
      <c r="BE183" s="213"/>
      <c r="BF183" s="217"/>
      <c r="BG183" s="209"/>
      <c r="BH183" s="218"/>
      <c r="BI183" s="215"/>
      <c r="BJ183" s="215"/>
      <c r="BK183" s="215"/>
      <c r="BL183" s="215"/>
      <c r="BM183" s="215"/>
      <c r="BN183" s="215"/>
      <c r="BO183" s="216"/>
      <c r="BP183" s="215"/>
      <c r="BQ183" s="228"/>
      <c r="BR183" s="229"/>
      <c r="BS183" s="230"/>
      <c r="BT183" s="230"/>
      <c r="BU183" s="230"/>
      <c r="BV183" s="227"/>
      <c r="BW183" s="227"/>
      <c r="BX183" s="234"/>
      <c r="BY183" s="229"/>
      <c r="BZ183" s="230"/>
      <c r="CA183" s="235"/>
    </row>
    <row r="184" spans="1:79" ht="151.5" customHeight="1">
      <c r="A184" s="134" t="str">
        <f>IFERROR(INDEX(Riesgos!$A$7:$M$84,MATCH(E184,INDEX(Riesgos!$A$7:$M$84,,MATCH(E$7,Riesgos!$A$6:$M$6,0)),0),MATCH(A$7,Riesgos!$A$6:$M$6,0)),"")</f>
        <v/>
      </c>
      <c r="B184" s="135" t="str">
        <f>IFERROR(INDEX(Riesgos!$A$7:$M$84,MATCH(E184,INDEX(Riesgos!$A$7:$M$84,,MATCH(E$7,Riesgos!$A$6:$M$6,0)),0),MATCH(B$7,Riesgos!$A$6:$M$6,0)),"")</f>
        <v/>
      </c>
      <c r="C184" s="135"/>
      <c r="D184" s="136" t="str">
        <f>IFERROR(INDEX(Riesgos!$A$7:$M$84,MATCH(E184,INDEX(Riesgos!$A$7:$M$84,,MATCH(E$7,Riesgos!$A$6:$M$6,0)),0),MATCH(D$7,Riesgos!$A$6:$M$6,0)),"")</f>
        <v/>
      </c>
      <c r="E184" s="137"/>
      <c r="F184" s="137"/>
      <c r="G184" s="138" t="str">
        <f t="shared" si="3"/>
        <v/>
      </c>
      <c r="H184" s="139"/>
      <c r="I184" s="153" t="str">
        <f>IF(A183=A184,IFERROR(IF(AND(#REF!="Probabilidad",#REF!="Probabilidad"),(#REF!-(+#REF!*#REF!)),IF(#REF!="Probabilidad",(#REF!-(+#REF!*#REF!)),IF(#REF!="Impacto",#REF!,""))),""),IFERROR(IF(#REF!="Probabilidad",(#REF!-(+#REF!*#REF!)),IF(#REF!="Impacto",#REF!,"")),""))</f>
        <v/>
      </c>
      <c r="J184" s="154" t="str">
        <f>IFERROR(IF(I184="","",IF(I184&lt;='Listas y tablas'!$L$3,"Muy Baja",IF(I184&lt;='Listas y tablas'!$L$4,"Baja",IF(I184&lt;='Listas y tablas'!$L$5,"Media",IF(I184&lt;='Listas y tablas'!$L$6,"Alta","Muy Alta"))))),"")</f>
        <v/>
      </c>
      <c r="K184" s="155"/>
      <c r="L184" s="156"/>
      <c r="M184" s="150"/>
      <c r="N184" s="151"/>
      <c r="O184" s="151"/>
      <c r="P184" s="152"/>
      <c r="Q184" s="162"/>
      <c r="R184" s="151"/>
      <c r="S184" s="151"/>
      <c r="T184" s="151"/>
      <c r="U184" s="151"/>
      <c r="V184" s="165"/>
      <c r="W184" s="150"/>
      <c r="X184" s="151"/>
      <c r="Y184" s="151"/>
      <c r="Z184" s="151"/>
      <c r="AA184" s="151"/>
      <c r="AB184" s="151"/>
      <c r="AC184" s="163"/>
      <c r="AD184" s="151"/>
      <c r="AE184" s="152"/>
      <c r="AF184" s="173"/>
      <c r="AG184" s="185"/>
      <c r="AH184" s="185"/>
      <c r="AI184" s="186"/>
      <c r="AJ184" s="181"/>
      <c r="AK184" s="181"/>
      <c r="AL184" s="183"/>
      <c r="AM184" s="173"/>
      <c r="AN184" s="187"/>
      <c r="AO184" s="195"/>
      <c r="AP184" s="193"/>
      <c r="AQ184" s="193"/>
      <c r="AR184" s="193"/>
      <c r="AS184" s="193"/>
      <c r="AT184" s="193"/>
      <c r="AU184" s="193"/>
      <c r="AV184" s="194"/>
      <c r="AW184" s="193"/>
      <c r="AX184" s="207"/>
      <c r="AY184" s="208"/>
      <c r="AZ184" s="209"/>
      <c r="BA184" s="209"/>
      <c r="BB184" s="209"/>
      <c r="BC184" s="206"/>
      <c r="BD184" s="206"/>
      <c r="BE184" s="213"/>
      <c r="BF184" s="217"/>
      <c r="BG184" s="209"/>
      <c r="BH184" s="218"/>
      <c r="BI184" s="215"/>
      <c r="BJ184" s="215"/>
      <c r="BK184" s="215"/>
      <c r="BL184" s="215"/>
      <c r="BM184" s="215"/>
      <c r="BN184" s="215"/>
      <c r="BO184" s="216"/>
      <c r="BP184" s="215"/>
      <c r="BQ184" s="228"/>
      <c r="BR184" s="229"/>
      <c r="BS184" s="230"/>
      <c r="BT184" s="230"/>
      <c r="BU184" s="230"/>
      <c r="BV184" s="227"/>
      <c r="BW184" s="227"/>
      <c r="BX184" s="234"/>
      <c r="BY184" s="229"/>
      <c r="BZ184" s="230"/>
      <c r="CA184" s="235"/>
    </row>
    <row r="185" spans="1:79" ht="151.5" customHeight="1">
      <c r="A185" s="134" t="str">
        <f>IFERROR(INDEX(Riesgos!$A$7:$M$84,MATCH(E185,INDEX(Riesgos!$A$7:$M$84,,MATCH(E$7,Riesgos!$A$6:$M$6,0)),0),MATCH(A$7,Riesgos!$A$6:$M$6,0)),"")</f>
        <v/>
      </c>
      <c r="B185" s="135" t="str">
        <f>IFERROR(INDEX(Riesgos!$A$7:$M$84,MATCH(E185,INDEX(Riesgos!$A$7:$M$84,,MATCH(E$7,Riesgos!$A$6:$M$6,0)),0),MATCH(B$7,Riesgos!$A$6:$M$6,0)),"")</f>
        <v/>
      </c>
      <c r="C185" s="135"/>
      <c r="D185" s="136" t="str">
        <f>IFERROR(INDEX(Riesgos!$A$7:$M$84,MATCH(E185,INDEX(Riesgos!$A$7:$M$84,,MATCH(E$7,Riesgos!$A$6:$M$6,0)),0),MATCH(D$7,Riesgos!$A$6:$M$6,0)),"")</f>
        <v/>
      </c>
      <c r="E185" s="137"/>
      <c r="F185" s="137"/>
      <c r="G185" s="138" t="str">
        <f t="shared" si="3"/>
        <v/>
      </c>
      <c r="H185" s="139"/>
      <c r="I185" s="153" t="str">
        <f>IF(A184=A185,IFERROR(IF(AND(#REF!="Probabilidad",#REF!="Probabilidad"),(#REF!-(+#REF!*#REF!)),IF(#REF!="Probabilidad",(#REF!-(+#REF!*#REF!)),IF(#REF!="Impacto",#REF!,""))),""),IFERROR(IF(#REF!="Probabilidad",(#REF!-(+#REF!*#REF!)),IF(#REF!="Impacto",#REF!,"")),""))</f>
        <v/>
      </c>
      <c r="J185" s="154" t="str">
        <f>IFERROR(IF(I185="","",IF(I185&lt;='Listas y tablas'!$L$3,"Muy Baja",IF(I185&lt;='Listas y tablas'!$L$4,"Baja",IF(I185&lt;='Listas y tablas'!$L$5,"Media",IF(I185&lt;='Listas y tablas'!$L$6,"Alta","Muy Alta"))))),"")</f>
        <v/>
      </c>
      <c r="K185" s="155"/>
      <c r="L185" s="156"/>
      <c r="M185" s="150"/>
      <c r="N185" s="151"/>
      <c r="O185" s="151"/>
      <c r="P185" s="152"/>
      <c r="Q185" s="162"/>
      <c r="R185" s="151"/>
      <c r="S185" s="151"/>
      <c r="T185" s="151"/>
      <c r="U185" s="151"/>
      <c r="V185" s="165"/>
      <c r="W185" s="150"/>
      <c r="X185" s="151"/>
      <c r="Y185" s="151"/>
      <c r="Z185" s="151"/>
      <c r="AA185" s="151"/>
      <c r="AB185" s="151"/>
      <c r="AC185" s="163"/>
      <c r="AD185" s="151"/>
      <c r="AE185" s="152"/>
      <c r="AF185" s="173"/>
      <c r="AG185" s="185"/>
      <c r="AH185" s="185"/>
      <c r="AI185" s="186"/>
      <c r="AJ185" s="181"/>
      <c r="AK185" s="181"/>
      <c r="AL185" s="183"/>
      <c r="AM185" s="173"/>
      <c r="AN185" s="187"/>
      <c r="AO185" s="195"/>
      <c r="AP185" s="193"/>
      <c r="AQ185" s="193"/>
      <c r="AR185" s="193"/>
      <c r="AS185" s="193"/>
      <c r="AT185" s="193"/>
      <c r="AU185" s="193"/>
      <c r="AV185" s="194"/>
      <c r="AW185" s="193"/>
      <c r="AX185" s="207"/>
      <c r="AY185" s="208"/>
      <c r="AZ185" s="209"/>
      <c r="BA185" s="209"/>
      <c r="BB185" s="209"/>
      <c r="BC185" s="206"/>
      <c r="BD185" s="206"/>
      <c r="BE185" s="213"/>
      <c r="BF185" s="217"/>
      <c r="BG185" s="209"/>
      <c r="BH185" s="218"/>
      <c r="BI185" s="215"/>
      <c r="BJ185" s="215"/>
      <c r="BK185" s="215"/>
      <c r="BL185" s="215"/>
      <c r="BM185" s="215"/>
      <c r="BN185" s="215"/>
      <c r="BO185" s="216"/>
      <c r="BP185" s="215"/>
      <c r="BQ185" s="228"/>
      <c r="BR185" s="229"/>
      <c r="BS185" s="230"/>
      <c r="BT185" s="230"/>
      <c r="BU185" s="230"/>
      <c r="BV185" s="227"/>
      <c r="BW185" s="227"/>
      <c r="BX185" s="234"/>
      <c r="BY185" s="229"/>
      <c r="BZ185" s="230"/>
      <c r="CA185" s="235"/>
    </row>
    <row r="186" spans="1:79" ht="151.5" customHeight="1">
      <c r="A186" s="134" t="str">
        <f>IFERROR(INDEX(Riesgos!$A$7:$M$84,MATCH(E186,INDEX(Riesgos!$A$7:$M$84,,MATCH(E$7,Riesgos!$A$6:$M$6,0)),0),MATCH(A$7,Riesgos!$A$6:$M$6,0)),"")</f>
        <v/>
      </c>
      <c r="B186" s="135" t="str">
        <f>IFERROR(INDEX(Riesgos!$A$7:$M$84,MATCH(E186,INDEX(Riesgos!$A$7:$M$84,,MATCH(E$7,Riesgos!$A$6:$M$6,0)),0),MATCH(B$7,Riesgos!$A$6:$M$6,0)),"")</f>
        <v/>
      </c>
      <c r="C186" s="135"/>
      <c r="D186" s="136" t="str">
        <f>IFERROR(INDEX(Riesgos!$A$7:$M$84,MATCH(E186,INDEX(Riesgos!$A$7:$M$84,,MATCH(E$7,Riesgos!$A$6:$M$6,0)),0),MATCH(D$7,Riesgos!$A$6:$M$6,0)),"")</f>
        <v/>
      </c>
      <c r="E186" s="137"/>
      <c r="F186" s="137"/>
      <c r="G186" s="138" t="str">
        <f t="shared" si="3"/>
        <v/>
      </c>
      <c r="H186" s="139"/>
      <c r="I186" s="153" t="str">
        <f>IF(A185=A186,IFERROR(IF(AND(#REF!="Probabilidad",#REF!="Probabilidad"),(#REF!-(+#REF!*#REF!)),IF(#REF!="Probabilidad",(#REF!-(+#REF!*#REF!)),IF(#REF!="Impacto",#REF!,""))),""),IFERROR(IF(#REF!="Probabilidad",(#REF!-(+#REF!*#REF!)),IF(#REF!="Impacto",#REF!,"")),""))</f>
        <v/>
      </c>
      <c r="J186" s="154" t="str">
        <f>IFERROR(IF(I186="","",IF(I186&lt;='Listas y tablas'!$L$3,"Muy Baja",IF(I186&lt;='Listas y tablas'!$L$4,"Baja",IF(I186&lt;='Listas y tablas'!$L$5,"Media",IF(I186&lt;='Listas y tablas'!$L$6,"Alta","Muy Alta"))))),"")</f>
        <v/>
      </c>
      <c r="K186" s="155"/>
      <c r="L186" s="156"/>
      <c r="M186" s="150"/>
      <c r="N186" s="151"/>
      <c r="O186" s="151"/>
      <c r="P186" s="152"/>
      <c r="Q186" s="162"/>
      <c r="R186" s="151"/>
      <c r="S186" s="151"/>
      <c r="T186" s="151"/>
      <c r="U186" s="151"/>
      <c r="V186" s="165"/>
      <c r="W186" s="150"/>
      <c r="X186" s="151"/>
      <c r="Y186" s="151"/>
      <c r="Z186" s="151"/>
      <c r="AA186" s="151"/>
      <c r="AB186" s="151"/>
      <c r="AC186" s="163"/>
      <c r="AD186" s="151"/>
      <c r="AE186" s="152"/>
      <c r="AF186" s="173"/>
      <c r="AG186" s="185"/>
      <c r="AH186" s="185"/>
      <c r="AI186" s="186"/>
      <c r="AJ186" s="181"/>
      <c r="AK186" s="181"/>
      <c r="AL186" s="183"/>
      <c r="AM186" s="173"/>
      <c r="AN186" s="187"/>
      <c r="AO186" s="195"/>
      <c r="AP186" s="193"/>
      <c r="AQ186" s="193"/>
      <c r="AR186" s="193"/>
      <c r="AS186" s="193"/>
      <c r="AT186" s="193"/>
      <c r="AU186" s="193"/>
      <c r="AV186" s="194"/>
      <c r="AW186" s="193"/>
      <c r="AX186" s="207"/>
      <c r="AY186" s="208"/>
      <c r="AZ186" s="209"/>
      <c r="BA186" s="209"/>
      <c r="BB186" s="209"/>
      <c r="BC186" s="206"/>
      <c r="BD186" s="206"/>
      <c r="BE186" s="213"/>
      <c r="BF186" s="217"/>
      <c r="BG186" s="209"/>
      <c r="BH186" s="218"/>
      <c r="BI186" s="215"/>
      <c r="BJ186" s="215"/>
      <c r="BK186" s="215"/>
      <c r="BL186" s="215"/>
      <c r="BM186" s="215"/>
      <c r="BN186" s="215"/>
      <c r="BO186" s="216"/>
      <c r="BP186" s="215"/>
      <c r="BQ186" s="228"/>
      <c r="BR186" s="229"/>
      <c r="BS186" s="230"/>
      <c r="BT186" s="230"/>
      <c r="BU186" s="230"/>
      <c r="BV186" s="227"/>
      <c r="BW186" s="227"/>
      <c r="BX186" s="234"/>
      <c r="BY186" s="229"/>
      <c r="BZ186" s="230"/>
      <c r="CA186" s="235"/>
    </row>
    <row r="187" spans="1:79" ht="151.5" customHeight="1">
      <c r="A187" s="134" t="str">
        <f>IFERROR(INDEX(Riesgos!$A$7:$M$84,MATCH(E187,INDEX(Riesgos!$A$7:$M$84,,MATCH(E$7,Riesgos!$A$6:$M$6,0)),0),MATCH(A$7,Riesgos!$A$6:$M$6,0)),"")</f>
        <v/>
      </c>
      <c r="B187" s="135" t="str">
        <f>IFERROR(INDEX(Riesgos!$A$7:$M$84,MATCH(E187,INDEX(Riesgos!$A$7:$M$84,,MATCH(E$7,Riesgos!$A$6:$M$6,0)),0),MATCH(B$7,Riesgos!$A$6:$M$6,0)),"")</f>
        <v/>
      </c>
      <c r="C187" s="135"/>
      <c r="D187" s="136" t="str">
        <f>IFERROR(INDEX(Riesgos!$A$7:$M$84,MATCH(E187,INDEX(Riesgos!$A$7:$M$84,,MATCH(E$7,Riesgos!$A$6:$M$6,0)),0),MATCH(D$7,Riesgos!$A$6:$M$6,0)),"")</f>
        <v/>
      </c>
      <c r="E187" s="137"/>
      <c r="F187" s="137"/>
      <c r="G187" s="138" t="str">
        <f t="shared" si="3"/>
        <v/>
      </c>
      <c r="H187" s="139"/>
      <c r="I187" s="153" t="str">
        <f>IF(A186=A187,IFERROR(IF(AND(#REF!="Probabilidad",#REF!="Probabilidad"),(#REF!-(+#REF!*#REF!)),IF(#REF!="Probabilidad",(#REF!-(+#REF!*#REF!)),IF(#REF!="Impacto",#REF!,""))),""),IFERROR(IF(#REF!="Probabilidad",(#REF!-(+#REF!*#REF!)),IF(#REF!="Impacto",#REF!,"")),""))</f>
        <v/>
      </c>
      <c r="J187" s="154" t="str">
        <f>IFERROR(IF(I187="","",IF(I187&lt;='Listas y tablas'!$L$3,"Muy Baja",IF(I187&lt;='Listas y tablas'!$L$4,"Baja",IF(I187&lt;='Listas y tablas'!$L$5,"Media",IF(I187&lt;='Listas y tablas'!$L$6,"Alta","Muy Alta"))))),"")</f>
        <v/>
      </c>
      <c r="K187" s="155"/>
      <c r="L187" s="156"/>
      <c r="M187" s="150"/>
      <c r="N187" s="151"/>
      <c r="O187" s="151"/>
      <c r="P187" s="152"/>
      <c r="Q187" s="162"/>
      <c r="R187" s="151"/>
      <c r="S187" s="151"/>
      <c r="T187" s="151"/>
      <c r="U187" s="151"/>
      <c r="V187" s="165"/>
      <c r="W187" s="150"/>
      <c r="X187" s="151"/>
      <c r="Y187" s="151"/>
      <c r="Z187" s="151"/>
      <c r="AA187" s="151"/>
      <c r="AB187" s="151"/>
      <c r="AC187" s="163"/>
      <c r="AD187" s="151"/>
      <c r="AE187" s="152"/>
      <c r="AF187" s="173"/>
      <c r="AG187" s="185"/>
      <c r="AH187" s="185"/>
      <c r="AI187" s="186"/>
      <c r="AJ187" s="181"/>
      <c r="AK187" s="181"/>
      <c r="AL187" s="183"/>
      <c r="AM187" s="173"/>
      <c r="AN187" s="187"/>
      <c r="AO187" s="195"/>
      <c r="AP187" s="193"/>
      <c r="AQ187" s="193"/>
      <c r="AR187" s="193"/>
      <c r="AS187" s="193"/>
      <c r="AT187" s="193"/>
      <c r="AU187" s="193"/>
      <c r="AV187" s="194"/>
      <c r="AW187" s="193"/>
      <c r="AX187" s="207"/>
      <c r="AY187" s="208"/>
      <c r="AZ187" s="209"/>
      <c r="BA187" s="209"/>
      <c r="BB187" s="209"/>
      <c r="BC187" s="206"/>
      <c r="BD187" s="206"/>
      <c r="BE187" s="213"/>
      <c r="BF187" s="217"/>
      <c r="BG187" s="209"/>
      <c r="BH187" s="218"/>
      <c r="BI187" s="215"/>
      <c r="BJ187" s="215"/>
      <c r="BK187" s="215"/>
      <c r="BL187" s="215"/>
      <c r="BM187" s="215"/>
      <c r="BN187" s="215"/>
      <c r="BO187" s="216"/>
      <c r="BP187" s="215"/>
      <c r="BQ187" s="228"/>
      <c r="BR187" s="229"/>
      <c r="BS187" s="230"/>
      <c r="BT187" s="230"/>
      <c r="BU187" s="230"/>
      <c r="BV187" s="227"/>
      <c r="BW187" s="227"/>
      <c r="BX187" s="234"/>
      <c r="BY187" s="229"/>
      <c r="BZ187" s="230"/>
      <c r="CA187" s="235"/>
    </row>
    <row r="188" spans="1:79" ht="151.5" customHeight="1">
      <c r="A188" s="134" t="str">
        <f>IFERROR(INDEX(Riesgos!$A$7:$M$84,MATCH(E188,INDEX(Riesgos!$A$7:$M$84,,MATCH(E$7,Riesgos!$A$6:$M$6,0)),0),MATCH(A$7,Riesgos!$A$6:$M$6,0)),"")</f>
        <v/>
      </c>
      <c r="B188" s="135" t="str">
        <f>IFERROR(INDEX(Riesgos!$A$7:$M$84,MATCH(E188,INDEX(Riesgos!$A$7:$M$84,,MATCH(E$7,Riesgos!$A$6:$M$6,0)),0),MATCH(B$7,Riesgos!$A$6:$M$6,0)),"")</f>
        <v/>
      </c>
      <c r="C188" s="135"/>
      <c r="D188" s="136" t="str">
        <f>IFERROR(INDEX(Riesgos!$A$7:$M$84,MATCH(E188,INDEX(Riesgos!$A$7:$M$84,,MATCH(E$7,Riesgos!$A$6:$M$6,0)),0),MATCH(D$7,Riesgos!$A$6:$M$6,0)),"")</f>
        <v/>
      </c>
      <c r="E188" s="137"/>
      <c r="F188" s="137"/>
      <c r="G188" s="138" t="str">
        <f t="shared" si="3"/>
        <v/>
      </c>
      <c r="H188" s="139"/>
      <c r="I188" s="153" t="str">
        <f>IF(A187=A188,IFERROR(IF(AND(#REF!="Probabilidad",#REF!="Probabilidad"),(#REF!-(+#REF!*#REF!)),IF(#REF!="Probabilidad",(#REF!-(+#REF!*#REF!)),IF(#REF!="Impacto",#REF!,""))),""),IFERROR(IF(#REF!="Probabilidad",(#REF!-(+#REF!*#REF!)),IF(#REF!="Impacto",#REF!,"")),""))</f>
        <v/>
      </c>
      <c r="J188" s="154" t="str">
        <f>IFERROR(IF(I188="","",IF(I188&lt;='Listas y tablas'!$L$3,"Muy Baja",IF(I188&lt;='Listas y tablas'!$L$4,"Baja",IF(I188&lt;='Listas y tablas'!$L$5,"Media",IF(I188&lt;='Listas y tablas'!$L$6,"Alta","Muy Alta"))))),"")</f>
        <v/>
      </c>
      <c r="K188" s="155"/>
      <c r="L188" s="156"/>
      <c r="M188" s="150"/>
      <c r="N188" s="151"/>
      <c r="O188" s="151"/>
      <c r="P188" s="152"/>
      <c r="Q188" s="162"/>
      <c r="R188" s="151"/>
      <c r="S188" s="151"/>
      <c r="T188" s="151"/>
      <c r="U188" s="151"/>
      <c r="V188" s="165"/>
      <c r="W188" s="150"/>
      <c r="X188" s="151"/>
      <c r="Y188" s="151"/>
      <c r="Z188" s="151"/>
      <c r="AA188" s="151"/>
      <c r="AB188" s="151"/>
      <c r="AC188" s="163"/>
      <c r="AD188" s="151"/>
      <c r="AE188" s="152"/>
      <c r="AF188" s="173"/>
      <c r="AG188" s="185"/>
      <c r="AH188" s="185"/>
      <c r="AI188" s="186"/>
      <c r="AJ188" s="181"/>
      <c r="AK188" s="181"/>
      <c r="AL188" s="183"/>
      <c r="AM188" s="173"/>
      <c r="AN188" s="187"/>
      <c r="AO188" s="195"/>
      <c r="AP188" s="193"/>
      <c r="AQ188" s="193"/>
      <c r="AR188" s="193"/>
      <c r="AS188" s="193"/>
      <c r="AT188" s="193"/>
      <c r="AU188" s="193"/>
      <c r="AV188" s="194"/>
      <c r="AW188" s="193"/>
      <c r="AX188" s="207"/>
      <c r="AY188" s="208"/>
      <c r="AZ188" s="209"/>
      <c r="BA188" s="209"/>
      <c r="BB188" s="209"/>
      <c r="BC188" s="206"/>
      <c r="BD188" s="206"/>
      <c r="BE188" s="213"/>
      <c r="BF188" s="217"/>
      <c r="BG188" s="209"/>
      <c r="BH188" s="218"/>
      <c r="BI188" s="215"/>
      <c r="BJ188" s="215"/>
      <c r="BK188" s="215"/>
      <c r="BL188" s="215"/>
      <c r="BM188" s="215"/>
      <c r="BN188" s="215"/>
      <c r="BO188" s="216"/>
      <c r="BP188" s="215"/>
      <c r="BQ188" s="228"/>
      <c r="BR188" s="229"/>
      <c r="BS188" s="230"/>
      <c r="BT188" s="230"/>
      <c r="BU188" s="230"/>
      <c r="BV188" s="227"/>
      <c r="BW188" s="227"/>
      <c r="BX188" s="234"/>
      <c r="BY188" s="229"/>
      <c r="BZ188" s="230"/>
      <c r="CA188" s="235"/>
    </row>
    <row r="189" spans="1:79" ht="151.5" customHeight="1">
      <c r="A189" s="134" t="str">
        <f>IFERROR(INDEX(Riesgos!$A$7:$M$84,MATCH(E189,INDEX(Riesgos!$A$7:$M$84,,MATCH(E$7,Riesgos!$A$6:$M$6,0)),0),MATCH(A$7,Riesgos!$A$6:$M$6,0)),"")</f>
        <v/>
      </c>
      <c r="B189" s="135" t="str">
        <f>IFERROR(INDEX(Riesgos!$A$7:$M$84,MATCH(E189,INDEX(Riesgos!$A$7:$M$84,,MATCH(E$7,Riesgos!$A$6:$M$6,0)),0),MATCH(B$7,Riesgos!$A$6:$M$6,0)),"")</f>
        <v/>
      </c>
      <c r="C189" s="135"/>
      <c r="D189" s="136" t="str">
        <f>IFERROR(INDEX(Riesgos!$A$7:$M$84,MATCH(E189,INDEX(Riesgos!$A$7:$M$84,,MATCH(E$7,Riesgos!$A$6:$M$6,0)),0),MATCH(D$7,Riesgos!$A$6:$M$6,0)),"")</f>
        <v/>
      </c>
      <c r="E189" s="137"/>
      <c r="F189" s="137"/>
      <c r="G189" s="138" t="str">
        <f t="shared" si="3"/>
        <v/>
      </c>
      <c r="H189" s="139"/>
      <c r="I189" s="153" t="str">
        <f>IF(A188=A189,IFERROR(IF(AND(#REF!="Probabilidad",#REF!="Probabilidad"),(#REF!-(+#REF!*#REF!)),IF(#REF!="Probabilidad",(#REF!-(+#REF!*#REF!)),IF(#REF!="Impacto",#REF!,""))),""),IFERROR(IF(#REF!="Probabilidad",(#REF!-(+#REF!*#REF!)),IF(#REF!="Impacto",#REF!,"")),""))</f>
        <v/>
      </c>
      <c r="J189" s="154" t="str">
        <f>IFERROR(IF(I189="","",IF(I189&lt;='Listas y tablas'!$L$3,"Muy Baja",IF(I189&lt;='Listas y tablas'!$L$4,"Baja",IF(I189&lt;='Listas y tablas'!$L$5,"Media",IF(I189&lt;='Listas y tablas'!$L$6,"Alta","Muy Alta"))))),"")</f>
        <v/>
      </c>
      <c r="K189" s="155"/>
      <c r="L189" s="156"/>
      <c r="M189" s="150"/>
      <c r="N189" s="151"/>
      <c r="O189" s="151"/>
      <c r="P189" s="152"/>
      <c r="Q189" s="162"/>
      <c r="R189" s="151"/>
      <c r="S189" s="151"/>
      <c r="T189" s="151"/>
      <c r="U189" s="151"/>
      <c r="V189" s="165"/>
      <c r="W189" s="150"/>
      <c r="X189" s="151"/>
      <c r="Y189" s="151"/>
      <c r="Z189" s="151"/>
      <c r="AA189" s="151"/>
      <c r="AB189" s="151"/>
      <c r="AC189" s="163"/>
      <c r="AD189" s="151"/>
      <c r="AE189" s="152"/>
      <c r="AF189" s="173"/>
      <c r="AG189" s="185"/>
      <c r="AH189" s="185"/>
      <c r="AI189" s="186"/>
      <c r="AJ189" s="181"/>
      <c r="AK189" s="181"/>
      <c r="AL189" s="183"/>
      <c r="AM189" s="173"/>
      <c r="AN189" s="187"/>
      <c r="AO189" s="195"/>
      <c r="AP189" s="193"/>
      <c r="AQ189" s="193"/>
      <c r="AR189" s="193"/>
      <c r="AS189" s="193"/>
      <c r="AT189" s="193"/>
      <c r="AU189" s="193"/>
      <c r="AV189" s="194"/>
      <c r="AW189" s="193"/>
      <c r="AX189" s="207"/>
      <c r="AY189" s="208"/>
      <c r="AZ189" s="209"/>
      <c r="BA189" s="209"/>
      <c r="BB189" s="209"/>
      <c r="BC189" s="206"/>
      <c r="BD189" s="206"/>
      <c r="BE189" s="213"/>
      <c r="BF189" s="217"/>
      <c r="BG189" s="209"/>
      <c r="BH189" s="218"/>
      <c r="BI189" s="215"/>
      <c r="BJ189" s="215"/>
      <c r="BK189" s="215"/>
      <c r="BL189" s="215"/>
      <c r="BM189" s="215"/>
      <c r="BN189" s="215"/>
      <c r="BO189" s="216"/>
      <c r="BP189" s="215"/>
      <c r="BQ189" s="228"/>
      <c r="BR189" s="229"/>
      <c r="BS189" s="230"/>
      <c r="BT189" s="230"/>
      <c r="BU189" s="230"/>
      <c r="BV189" s="227"/>
      <c r="BW189" s="227"/>
      <c r="BX189" s="234"/>
      <c r="BY189" s="229"/>
      <c r="BZ189" s="230"/>
      <c r="CA189" s="235"/>
    </row>
    <row r="190" spans="1:79" ht="151.5" customHeight="1">
      <c r="A190" s="134" t="str">
        <f>IFERROR(INDEX(Riesgos!$A$7:$M$84,MATCH(E190,INDEX(Riesgos!$A$7:$M$84,,MATCH(E$7,Riesgos!$A$6:$M$6,0)),0),MATCH(A$7,Riesgos!$A$6:$M$6,0)),"")</f>
        <v/>
      </c>
      <c r="B190" s="135" t="str">
        <f>IFERROR(INDEX(Riesgos!$A$7:$M$84,MATCH(E190,INDEX(Riesgos!$A$7:$M$84,,MATCH(E$7,Riesgos!$A$6:$M$6,0)),0),MATCH(B$7,Riesgos!$A$6:$M$6,0)),"")</f>
        <v/>
      </c>
      <c r="C190" s="135"/>
      <c r="D190" s="136" t="str">
        <f>IFERROR(INDEX(Riesgos!$A$7:$M$84,MATCH(E190,INDEX(Riesgos!$A$7:$M$84,,MATCH(E$7,Riesgos!$A$6:$M$6,0)),0),MATCH(D$7,Riesgos!$A$6:$M$6,0)),"")</f>
        <v/>
      </c>
      <c r="E190" s="137"/>
      <c r="F190" s="137"/>
      <c r="G190" s="138" t="str">
        <f t="shared" si="3"/>
        <v/>
      </c>
      <c r="H190" s="139"/>
      <c r="I190" s="153" t="str">
        <f>IF(A189=A190,IFERROR(IF(AND(#REF!="Probabilidad",#REF!="Probabilidad"),(#REF!-(+#REF!*#REF!)),IF(#REF!="Probabilidad",(#REF!-(+#REF!*#REF!)),IF(#REF!="Impacto",#REF!,""))),""),IFERROR(IF(#REF!="Probabilidad",(#REF!-(+#REF!*#REF!)),IF(#REF!="Impacto",#REF!,"")),""))</f>
        <v/>
      </c>
      <c r="J190" s="154" t="str">
        <f>IFERROR(IF(I190="","",IF(I190&lt;='Listas y tablas'!$L$3,"Muy Baja",IF(I190&lt;='Listas y tablas'!$L$4,"Baja",IF(I190&lt;='Listas y tablas'!$L$5,"Media",IF(I190&lt;='Listas y tablas'!$L$6,"Alta","Muy Alta"))))),"")</f>
        <v/>
      </c>
      <c r="K190" s="155"/>
      <c r="L190" s="156"/>
      <c r="M190" s="150"/>
      <c r="N190" s="151"/>
      <c r="O190" s="151"/>
      <c r="P190" s="152"/>
      <c r="Q190" s="162"/>
      <c r="R190" s="151"/>
      <c r="S190" s="151"/>
      <c r="T190" s="151"/>
      <c r="U190" s="151"/>
      <c r="V190" s="165"/>
      <c r="W190" s="150"/>
      <c r="X190" s="151"/>
      <c r="Y190" s="151"/>
      <c r="Z190" s="151"/>
      <c r="AA190" s="151"/>
      <c r="AB190" s="151"/>
      <c r="AC190" s="163"/>
      <c r="AD190" s="151"/>
      <c r="AE190" s="152"/>
      <c r="AF190" s="173"/>
      <c r="AG190" s="185"/>
      <c r="AH190" s="185"/>
      <c r="AI190" s="186"/>
      <c r="AJ190" s="181"/>
      <c r="AK190" s="181"/>
      <c r="AL190" s="183"/>
      <c r="AM190" s="173"/>
      <c r="AN190" s="187"/>
      <c r="AO190" s="195"/>
      <c r="AP190" s="193"/>
      <c r="AQ190" s="193"/>
      <c r="AR190" s="193"/>
      <c r="AS190" s="193"/>
      <c r="AT190" s="193"/>
      <c r="AU190" s="193"/>
      <c r="AV190" s="194"/>
      <c r="AW190" s="193"/>
      <c r="AX190" s="207"/>
      <c r="AY190" s="208"/>
      <c r="AZ190" s="209"/>
      <c r="BA190" s="209"/>
      <c r="BB190" s="209"/>
      <c r="BC190" s="206"/>
      <c r="BD190" s="206"/>
      <c r="BE190" s="213"/>
      <c r="BF190" s="217"/>
      <c r="BG190" s="209"/>
      <c r="BH190" s="218"/>
      <c r="BI190" s="215"/>
      <c r="BJ190" s="215"/>
      <c r="BK190" s="215"/>
      <c r="BL190" s="215"/>
      <c r="BM190" s="215"/>
      <c r="BN190" s="215"/>
      <c r="BO190" s="216"/>
      <c r="BP190" s="215"/>
      <c r="BQ190" s="228"/>
      <c r="BR190" s="229"/>
      <c r="BS190" s="230"/>
      <c r="BT190" s="230"/>
      <c r="BU190" s="230"/>
      <c r="BV190" s="227"/>
      <c r="BW190" s="227"/>
      <c r="BX190" s="234"/>
      <c r="BY190" s="229"/>
      <c r="BZ190" s="230"/>
      <c r="CA190" s="235"/>
    </row>
    <row r="191" spans="1:79" ht="151.5" customHeight="1">
      <c r="A191" s="134" t="str">
        <f>IFERROR(INDEX(Riesgos!$A$7:$M$84,MATCH(E191,INDEX(Riesgos!$A$7:$M$84,,MATCH(E$7,Riesgos!$A$6:$M$6,0)),0),MATCH(A$7,Riesgos!$A$6:$M$6,0)),"")</f>
        <v/>
      </c>
      <c r="B191" s="135" t="str">
        <f>IFERROR(INDEX(Riesgos!$A$7:$M$84,MATCH(E191,INDEX(Riesgos!$A$7:$M$84,,MATCH(E$7,Riesgos!$A$6:$M$6,0)),0),MATCH(B$7,Riesgos!$A$6:$M$6,0)),"")</f>
        <v/>
      </c>
      <c r="C191" s="135"/>
      <c r="D191" s="136" t="str">
        <f>IFERROR(INDEX(Riesgos!$A$7:$M$84,MATCH(E191,INDEX(Riesgos!$A$7:$M$84,,MATCH(E$7,Riesgos!$A$6:$M$6,0)),0),MATCH(D$7,Riesgos!$A$6:$M$6,0)),"")</f>
        <v/>
      </c>
      <c r="E191" s="137"/>
      <c r="F191" s="137"/>
      <c r="G191" s="138" t="str">
        <f t="shared" si="3"/>
        <v/>
      </c>
      <c r="H191" s="139"/>
      <c r="I191" s="153" t="str">
        <f>IF(A190=A191,IFERROR(IF(AND(#REF!="Probabilidad",#REF!="Probabilidad"),(#REF!-(+#REF!*#REF!)),IF(#REF!="Probabilidad",(#REF!-(+#REF!*#REF!)),IF(#REF!="Impacto",#REF!,""))),""),IFERROR(IF(#REF!="Probabilidad",(#REF!-(+#REF!*#REF!)),IF(#REF!="Impacto",#REF!,"")),""))</f>
        <v/>
      </c>
      <c r="J191" s="154" t="str">
        <f>IFERROR(IF(I191="","",IF(I191&lt;='Listas y tablas'!$L$3,"Muy Baja",IF(I191&lt;='Listas y tablas'!$L$4,"Baja",IF(I191&lt;='Listas y tablas'!$L$5,"Media",IF(I191&lt;='Listas y tablas'!$L$6,"Alta","Muy Alta"))))),"")</f>
        <v/>
      </c>
      <c r="K191" s="155"/>
      <c r="L191" s="156"/>
      <c r="M191" s="150"/>
      <c r="N191" s="151"/>
      <c r="O191" s="151"/>
      <c r="P191" s="152"/>
      <c r="Q191" s="162"/>
      <c r="R191" s="151"/>
      <c r="S191" s="151"/>
      <c r="T191" s="151"/>
      <c r="U191" s="151"/>
      <c r="V191" s="165"/>
      <c r="W191" s="150"/>
      <c r="X191" s="151"/>
      <c r="Y191" s="151"/>
      <c r="Z191" s="151"/>
      <c r="AA191" s="151"/>
      <c r="AB191" s="151"/>
      <c r="AC191" s="163"/>
      <c r="AD191" s="151"/>
      <c r="AE191" s="152"/>
      <c r="AF191" s="173"/>
      <c r="AG191" s="185"/>
      <c r="AH191" s="185"/>
      <c r="AI191" s="186"/>
      <c r="AJ191" s="181"/>
      <c r="AK191" s="181"/>
      <c r="AL191" s="183"/>
      <c r="AM191" s="173"/>
      <c r="AN191" s="187"/>
      <c r="AO191" s="195"/>
      <c r="AP191" s="193"/>
      <c r="AQ191" s="193"/>
      <c r="AR191" s="193"/>
      <c r="AS191" s="193"/>
      <c r="AT191" s="193"/>
      <c r="AU191" s="193"/>
      <c r="AV191" s="194"/>
      <c r="AW191" s="193"/>
      <c r="AX191" s="207"/>
      <c r="AY191" s="208"/>
      <c r="AZ191" s="209"/>
      <c r="BA191" s="209"/>
      <c r="BB191" s="209"/>
      <c r="BC191" s="206"/>
      <c r="BD191" s="206"/>
      <c r="BE191" s="213"/>
      <c r="BF191" s="217"/>
      <c r="BG191" s="209"/>
      <c r="BH191" s="218"/>
      <c r="BI191" s="215"/>
      <c r="BJ191" s="215"/>
      <c r="BK191" s="215"/>
      <c r="BL191" s="215"/>
      <c r="BM191" s="215"/>
      <c r="BN191" s="215"/>
      <c r="BO191" s="216"/>
      <c r="BP191" s="215"/>
      <c r="BQ191" s="228"/>
      <c r="BR191" s="229"/>
      <c r="BS191" s="230"/>
      <c r="BT191" s="230"/>
      <c r="BU191" s="230"/>
      <c r="BV191" s="227"/>
      <c r="BW191" s="227"/>
      <c r="BX191" s="234"/>
      <c r="BY191" s="229"/>
      <c r="BZ191" s="230"/>
      <c r="CA191" s="235"/>
    </row>
    <row r="192" spans="1:79" ht="151.5" customHeight="1">
      <c r="A192" s="134" t="str">
        <f>IFERROR(INDEX(Riesgos!$A$7:$M$84,MATCH(E192,INDEX(Riesgos!$A$7:$M$84,,MATCH(E$7,Riesgos!$A$6:$M$6,0)),0),MATCH(A$7,Riesgos!$A$6:$M$6,0)),"")</f>
        <v/>
      </c>
      <c r="B192" s="135" t="str">
        <f>IFERROR(INDEX(Riesgos!$A$7:$M$84,MATCH(E192,INDEX(Riesgos!$A$7:$M$84,,MATCH(E$7,Riesgos!$A$6:$M$6,0)),0),MATCH(B$7,Riesgos!$A$6:$M$6,0)),"")</f>
        <v/>
      </c>
      <c r="C192" s="135"/>
      <c r="D192" s="136" t="str">
        <f>IFERROR(INDEX(Riesgos!$A$7:$M$84,MATCH(E192,INDEX(Riesgos!$A$7:$M$84,,MATCH(E$7,Riesgos!$A$6:$M$6,0)),0),MATCH(D$7,Riesgos!$A$6:$M$6,0)),"")</f>
        <v/>
      </c>
      <c r="E192" s="137"/>
      <c r="F192" s="137"/>
      <c r="G192" s="138" t="str">
        <f t="shared" si="3"/>
        <v/>
      </c>
      <c r="H192" s="139"/>
      <c r="I192" s="153" t="str">
        <f>IF(A191=A192,IFERROR(IF(AND(#REF!="Probabilidad",#REF!="Probabilidad"),(#REF!-(+#REF!*#REF!)),IF(#REF!="Probabilidad",(#REF!-(+#REF!*#REF!)),IF(#REF!="Impacto",#REF!,""))),""),IFERROR(IF(#REF!="Probabilidad",(#REF!-(+#REF!*#REF!)),IF(#REF!="Impacto",#REF!,"")),""))</f>
        <v/>
      </c>
      <c r="J192" s="154" t="str">
        <f>IFERROR(IF(I192="","",IF(I192&lt;='Listas y tablas'!$L$3,"Muy Baja",IF(I192&lt;='Listas y tablas'!$L$4,"Baja",IF(I192&lt;='Listas y tablas'!$L$5,"Media",IF(I192&lt;='Listas y tablas'!$L$6,"Alta","Muy Alta"))))),"")</f>
        <v/>
      </c>
      <c r="K192" s="155"/>
      <c r="L192" s="156"/>
      <c r="M192" s="150"/>
      <c r="N192" s="151"/>
      <c r="O192" s="151"/>
      <c r="P192" s="152"/>
      <c r="Q192" s="162"/>
      <c r="R192" s="151"/>
      <c r="S192" s="151"/>
      <c r="T192" s="151"/>
      <c r="U192" s="151"/>
      <c r="V192" s="165"/>
      <c r="W192" s="150"/>
      <c r="X192" s="151"/>
      <c r="Y192" s="151"/>
      <c r="Z192" s="151"/>
      <c r="AA192" s="151"/>
      <c r="AB192" s="151"/>
      <c r="AC192" s="163"/>
      <c r="AD192" s="151"/>
      <c r="AE192" s="152"/>
      <c r="AF192" s="173"/>
      <c r="AG192" s="185"/>
      <c r="AH192" s="185"/>
      <c r="AI192" s="186"/>
      <c r="AJ192" s="181"/>
      <c r="AK192" s="181"/>
      <c r="AL192" s="183"/>
      <c r="AM192" s="173"/>
      <c r="AN192" s="187"/>
      <c r="AO192" s="195"/>
      <c r="AP192" s="193"/>
      <c r="AQ192" s="193"/>
      <c r="AR192" s="193"/>
      <c r="AS192" s="193"/>
      <c r="AT192" s="193"/>
      <c r="AU192" s="193"/>
      <c r="AV192" s="194"/>
      <c r="AW192" s="193"/>
      <c r="AX192" s="207"/>
      <c r="AY192" s="208"/>
      <c r="AZ192" s="209"/>
      <c r="BA192" s="209"/>
      <c r="BB192" s="209"/>
      <c r="BC192" s="206"/>
      <c r="BD192" s="206"/>
      <c r="BE192" s="213"/>
      <c r="BF192" s="217"/>
      <c r="BG192" s="209"/>
      <c r="BH192" s="218"/>
      <c r="BI192" s="215"/>
      <c r="BJ192" s="215"/>
      <c r="BK192" s="215"/>
      <c r="BL192" s="215"/>
      <c r="BM192" s="215"/>
      <c r="BN192" s="215"/>
      <c r="BO192" s="216"/>
      <c r="BP192" s="215"/>
      <c r="BQ192" s="228"/>
      <c r="BR192" s="229"/>
      <c r="BS192" s="230"/>
      <c r="BT192" s="230"/>
      <c r="BU192" s="230"/>
      <c r="BV192" s="227"/>
      <c r="BW192" s="227"/>
      <c r="BX192" s="234"/>
      <c r="BY192" s="229"/>
      <c r="BZ192" s="230"/>
      <c r="CA192" s="235"/>
    </row>
    <row r="193" spans="1:79" ht="151.5" customHeight="1">
      <c r="A193" s="134" t="str">
        <f>IFERROR(INDEX(Riesgos!$A$7:$M$84,MATCH(E193,INDEX(Riesgos!$A$7:$M$84,,MATCH(E$7,Riesgos!$A$6:$M$6,0)),0),MATCH(A$7,Riesgos!$A$6:$M$6,0)),"")</f>
        <v/>
      </c>
      <c r="B193" s="135" t="str">
        <f>IFERROR(INDEX(Riesgos!$A$7:$M$84,MATCH(E193,INDEX(Riesgos!$A$7:$M$84,,MATCH(E$7,Riesgos!$A$6:$M$6,0)),0),MATCH(B$7,Riesgos!$A$6:$M$6,0)),"")</f>
        <v/>
      </c>
      <c r="C193" s="135"/>
      <c r="D193" s="136" t="str">
        <f>IFERROR(INDEX(Riesgos!$A$7:$M$84,MATCH(E193,INDEX(Riesgos!$A$7:$M$84,,MATCH(E$7,Riesgos!$A$6:$M$6,0)),0),MATCH(D$7,Riesgos!$A$6:$M$6,0)),"")</f>
        <v/>
      </c>
      <c r="E193" s="137"/>
      <c r="F193" s="137"/>
      <c r="G193" s="138" t="str">
        <f t="shared" si="3"/>
        <v/>
      </c>
      <c r="H193" s="139"/>
      <c r="I193" s="153" t="str">
        <f>IF(A192=A193,IFERROR(IF(AND(#REF!="Probabilidad",#REF!="Probabilidad"),(#REF!-(+#REF!*#REF!)),IF(#REF!="Probabilidad",(#REF!-(+#REF!*#REF!)),IF(#REF!="Impacto",#REF!,""))),""),IFERROR(IF(#REF!="Probabilidad",(#REF!-(+#REF!*#REF!)),IF(#REF!="Impacto",#REF!,"")),""))</f>
        <v/>
      </c>
      <c r="J193" s="154" t="str">
        <f>IFERROR(IF(I193="","",IF(I193&lt;='Listas y tablas'!$L$3,"Muy Baja",IF(I193&lt;='Listas y tablas'!$L$4,"Baja",IF(I193&lt;='Listas y tablas'!$L$5,"Media",IF(I193&lt;='Listas y tablas'!$L$6,"Alta","Muy Alta"))))),"")</f>
        <v/>
      </c>
      <c r="K193" s="155"/>
      <c r="L193" s="156"/>
      <c r="M193" s="150"/>
      <c r="N193" s="151"/>
      <c r="O193" s="151"/>
      <c r="P193" s="152"/>
      <c r="Q193" s="162"/>
      <c r="R193" s="151"/>
      <c r="S193" s="151"/>
      <c r="T193" s="151"/>
      <c r="U193" s="151"/>
      <c r="V193" s="165"/>
      <c r="W193" s="150"/>
      <c r="X193" s="151"/>
      <c r="Y193" s="151"/>
      <c r="Z193" s="151"/>
      <c r="AA193" s="151"/>
      <c r="AB193" s="151"/>
      <c r="AC193" s="163"/>
      <c r="AD193" s="151"/>
      <c r="AE193" s="152"/>
      <c r="AF193" s="173"/>
      <c r="AG193" s="185"/>
      <c r="AH193" s="185"/>
      <c r="AI193" s="186"/>
      <c r="AJ193" s="181"/>
      <c r="AK193" s="181"/>
      <c r="AL193" s="183"/>
      <c r="AM193" s="173"/>
      <c r="AN193" s="187"/>
      <c r="AO193" s="195"/>
      <c r="AP193" s="193"/>
      <c r="AQ193" s="193"/>
      <c r="AR193" s="193"/>
      <c r="AS193" s="193"/>
      <c r="AT193" s="193"/>
      <c r="AU193" s="193"/>
      <c r="AV193" s="194"/>
      <c r="AW193" s="193"/>
      <c r="AX193" s="207"/>
      <c r="AY193" s="208"/>
      <c r="AZ193" s="209"/>
      <c r="BA193" s="209"/>
      <c r="BB193" s="209"/>
      <c r="BC193" s="206"/>
      <c r="BD193" s="206"/>
      <c r="BE193" s="213"/>
      <c r="BF193" s="217"/>
      <c r="BG193" s="209"/>
      <c r="BH193" s="218"/>
      <c r="BI193" s="215"/>
      <c r="BJ193" s="215"/>
      <c r="BK193" s="215"/>
      <c r="BL193" s="215"/>
      <c r="BM193" s="215"/>
      <c r="BN193" s="215"/>
      <c r="BO193" s="216"/>
      <c r="BP193" s="215"/>
      <c r="BQ193" s="228"/>
      <c r="BR193" s="229"/>
      <c r="BS193" s="230"/>
      <c r="BT193" s="230"/>
      <c r="BU193" s="230"/>
      <c r="BV193" s="227"/>
      <c r="BW193" s="227"/>
      <c r="BX193" s="234"/>
      <c r="BY193" s="229"/>
      <c r="BZ193" s="230"/>
      <c r="CA193" s="235"/>
    </row>
    <row r="194" spans="1:79" ht="151.5" customHeight="1">
      <c r="A194" s="134" t="str">
        <f>IFERROR(INDEX(Riesgos!$A$7:$M$84,MATCH(E194,INDEX(Riesgos!$A$7:$M$84,,MATCH(E$7,Riesgos!$A$6:$M$6,0)),0),MATCH(A$7,Riesgos!$A$6:$M$6,0)),"")</f>
        <v/>
      </c>
      <c r="B194" s="135" t="str">
        <f>IFERROR(INDEX(Riesgos!$A$7:$M$84,MATCH(E194,INDEX(Riesgos!$A$7:$M$84,,MATCH(E$7,Riesgos!$A$6:$M$6,0)),0),MATCH(B$7,Riesgos!$A$6:$M$6,0)),"")</f>
        <v/>
      </c>
      <c r="C194" s="135"/>
      <c r="D194" s="136" t="str">
        <f>IFERROR(INDEX(Riesgos!$A$7:$M$84,MATCH(E194,INDEX(Riesgos!$A$7:$M$84,,MATCH(E$7,Riesgos!$A$6:$M$6,0)),0),MATCH(D$7,Riesgos!$A$6:$M$6,0)),"")</f>
        <v/>
      </c>
      <c r="E194" s="137"/>
      <c r="F194" s="137"/>
      <c r="G194" s="138" t="str">
        <f t="shared" ref="G194:G251" si="4">IF(ISTEXT(E194),1+G193,"")</f>
        <v/>
      </c>
      <c r="H194" s="139"/>
      <c r="I194" s="153" t="str">
        <f>IF(A193=A194,IFERROR(IF(AND(#REF!="Probabilidad",#REF!="Probabilidad"),(#REF!-(+#REF!*#REF!)),IF(#REF!="Probabilidad",(#REF!-(+#REF!*#REF!)),IF(#REF!="Impacto",#REF!,""))),""),IFERROR(IF(#REF!="Probabilidad",(#REF!-(+#REF!*#REF!)),IF(#REF!="Impacto",#REF!,"")),""))</f>
        <v/>
      </c>
      <c r="J194" s="154" t="str">
        <f>IFERROR(IF(I194="","",IF(I194&lt;='Listas y tablas'!$L$3,"Muy Baja",IF(I194&lt;='Listas y tablas'!$L$4,"Baja",IF(I194&lt;='Listas y tablas'!$L$5,"Media",IF(I194&lt;='Listas y tablas'!$L$6,"Alta","Muy Alta"))))),"")</f>
        <v/>
      </c>
      <c r="K194" s="155"/>
      <c r="L194" s="156"/>
      <c r="M194" s="150"/>
      <c r="N194" s="151"/>
      <c r="O194" s="151"/>
      <c r="P194" s="152"/>
      <c r="Q194" s="162"/>
      <c r="R194" s="151"/>
      <c r="S194" s="151"/>
      <c r="T194" s="151"/>
      <c r="U194" s="151"/>
      <c r="V194" s="165"/>
      <c r="W194" s="150"/>
      <c r="X194" s="151"/>
      <c r="Y194" s="151"/>
      <c r="Z194" s="151"/>
      <c r="AA194" s="151"/>
      <c r="AB194" s="151"/>
      <c r="AC194" s="163"/>
      <c r="AD194" s="151"/>
      <c r="AE194" s="152"/>
      <c r="AF194" s="173"/>
      <c r="AG194" s="185"/>
      <c r="AH194" s="185"/>
      <c r="AI194" s="186"/>
      <c r="AJ194" s="181"/>
      <c r="AK194" s="181"/>
      <c r="AL194" s="183"/>
      <c r="AM194" s="173"/>
      <c r="AN194" s="187"/>
      <c r="AO194" s="195"/>
      <c r="AP194" s="193"/>
      <c r="AQ194" s="193"/>
      <c r="AR194" s="193"/>
      <c r="AS194" s="193"/>
      <c r="AT194" s="193"/>
      <c r="AU194" s="193"/>
      <c r="AV194" s="194"/>
      <c r="AW194" s="193"/>
      <c r="AX194" s="207"/>
      <c r="AY194" s="208"/>
      <c r="AZ194" s="209"/>
      <c r="BA194" s="209"/>
      <c r="BB194" s="209"/>
      <c r="BC194" s="206"/>
      <c r="BD194" s="206"/>
      <c r="BE194" s="213"/>
      <c r="BF194" s="217"/>
      <c r="BG194" s="209"/>
      <c r="BH194" s="218"/>
      <c r="BI194" s="215"/>
      <c r="BJ194" s="215"/>
      <c r="BK194" s="215"/>
      <c r="BL194" s="215"/>
      <c r="BM194" s="215"/>
      <c r="BN194" s="215"/>
      <c r="BO194" s="216"/>
      <c r="BP194" s="215"/>
      <c r="BQ194" s="228"/>
      <c r="BR194" s="229"/>
      <c r="BS194" s="230"/>
      <c r="BT194" s="230"/>
      <c r="BU194" s="230"/>
      <c r="BV194" s="227"/>
      <c r="BW194" s="227"/>
      <c r="BX194" s="234"/>
      <c r="BY194" s="229"/>
      <c r="BZ194" s="230"/>
      <c r="CA194" s="235"/>
    </row>
    <row r="195" spans="1:79" ht="151.5" customHeight="1">
      <c r="A195" s="134" t="str">
        <f>IFERROR(INDEX(Riesgos!$A$7:$M$84,MATCH(E195,INDEX(Riesgos!$A$7:$M$84,,MATCH(E$7,Riesgos!$A$6:$M$6,0)),0),MATCH(A$7,Riesgos!$A$6:$M$6,0)),"")</f>
        <v/>
      </c>
      <c r="B195" s="135" t="str">
        <f>IFERROR(INDEX(Riesgos!$A$7:$M$84,MATCH(E195,INDEX(Riesgos!$A$7:$M$84,,MATCH(E$7,Riesgos!$A$6:$M$6,0)),0),MATCH(B$7,Riesgos!$A$6:$M$6,0)),"")</f>
        <v/>
      </c>
      <c r="C195" s="135"/>
      <c r="D195" s="136" t="str">
        <f>IFERROR(INDEX(Riesgos!$A$7:$M$84,MATCH(E195,INDEX(Riesgos!$A$7:$M$84,,MATCH(E$7,Riesgos!$A$6:$M$6,0)),0),MATCH(D$7,Riesgos!$A$6:$M$6,0)),"")</f>
        <v/>
      </c>
      <c r="E195" s="137"/>
      <c r="F195" s="137"/>
      <c r="G195" s="138" t="str">
        <f t="shared" si="4"/>
        <v/>
      </c>
      <c r="H195" s="139"/>
      <c r="I195" s="153" t="str">
        <f>IF(A194=A195,IFERROR(IF(AND(#REF!="Probabilidad",#REF!="Probabilidad"),(#REF!-(+#REF!*#REF!)),IF(#REF!="Probabilidad",(#REF!-(+#REF!*#REF!)),IF(#REF!="Impacto",#REF!,""))),""),IFERROR(IF(#REF!="Probabilidad",(#REF!-(+#REF!*#REF!)),IF(#REF!="Impacto",#REF!,"")),""))</f>
        <v/>
      </c>
      <c r="J195" s="154" t="str">
        <f>IFERROR(IF(I195="","",IF(I195&lt;='Listas y tablas'!$L$3,"Muy Baja",IF(I195&lt;='Listas y tablas'!$L$4,"Baja",IF(I195&lt;='Listas y tablas'!$L$5,"Media",IF(I195&lt;='Listas y tablas'!$L$6,"Alta","Muy Alta"))))),"")</f>
        <v/>
      </c>
      <c r="K195" s="155"/>
      <c r="L195" s="156"/>
      <c r="M195" s="150"/>
      <c r="N195" s="151"/>
      <c r="O195" s="151"/>
      <c r="P195" s="152"/>
      <c r="Q195" s="162"/>
      <c r="R195" s="151"/>
      <c r="S195" s="151"/>
      <c r="T195" s="151"/>
      <c r="U195" s="151"/>
      <c r="V195" s="165"/>
      <c r="W195" s="150"/>
      <c r="X195" s="151"/>
      <c r="Y195" s="151"/>
      <c r="Z195" s="151"/>
      <c r="AA195" s="151"/>
      <c r="AB195" s="151"/>
      <c r="AC195" s="163"/>
      <c r="AD195" s="151"/>
      <c r="AE195" s="152"/>
      <c r="AF195" s="173"/>
      <c r="AG195" s="185"/>
      <c r="AH195" s="185"/>
      <c r="AI195" s="186"/>
      <c r="AJ195" s="181"/>
      <c r="AK195" s="181"/>
      <c r="AL195" s="183"/>
      <c r="AM195" s="173"/>
      <c r="AN195" s="187"/>
      <c r="AO195" s="195"/>
      <c r="AP195" s="193"/>
      <c r="AQ195" s="193"/>
      <c r="AR195" s="193"/>
      <c r="AS195" s="193"/>
      <c r="AT195" s="193"/>
      <c r="AU195" s="193"/>
      <c r="AV195" s="194"/>
      <c r="AW195" s="193"/>
      <c r="AX195" s="207"/>
      <c r="AY195" s="208"/>
      <c r="AZ195" s="209"/>
      <c r="BA195" s="209"/>
      <c r="BB195" s="209"/>
      <c r="BC195" s="206"/>
      <c r="BD195" s="206"/>
      <c r="BE195" s="213"/>
      <c r="BF195" s="217"/>
      <c r="BG195" s="209"/>
      <c r="BH195" s="218"/>
      <c r="BI195" s="215"/>
      <c r="BJ195" s="215"/>
      <c r="BK195" s="215"/>
      <c r="BL195" s="215"/>
      <c r="BM195" s="215"/>
      <c r="BN195" s="215"/>
      <c r="BO195" s="216"/>
      <c r="BP195" s="215"/>
      <c r="BQ195" s="228"/>
      <c r="BR195" s="229"/>
      <c r="BS195" s="230"/>
      <c r="BT195" s="230"/>
      <c r="BU195" s="230"/>
      <c r="BV195" s="227"/>
      <c r="BW195" s="227"/>
      <c r="BX195" s="234"/>
      <c r="BY195" s="229"/>
      <c r="BZ195" s="230"/>
      <c r="CA195" s="235"/>
    </row>
    <row r="196" spans="1:79" ht="151.5" customHeight="1">
      <c r="A196" s="134" t="str">
        <f>IFERROR(INDEX(Riesgos!$A$7:$M$84,MATCH(E196,INDEX(Riesgos!$A$7:$M$84,,MATCH(E$7,Riesgos!$A$6:$M$6,0)),0),MATCH(A$7,Riesgos!$A$6:$M$6,0)),"")</f>
        <v/>
      </c>
      <c r="B196" s="135" t="str">
        <f>IFERROR(INDEX(Riesgos!$A$7:$M$84,MATCH(E196,INDEX(Riesgos!$A$7:$M$84,,MATCH(E$7,Riesgos!$A$6:$M$6,0)),0),MATCH(B$7,Riesgos!$A$6:$M$6,0)),"")</f>
        <v/>
      </c>
      <c r="C196" s="135"/>
      <c r="D196" s="136" t="str">
        <f>IFERROR(INDEX(Riesgos!$A$7:$M$84,MATCH(E196,INDEX(Riesgos!$A$7:$M$84,,MATCH(E$7,Riesgos!$A$6:$M$6,0)),0),MATCH(D$7,Riesgos!$A$6:$M$6,0)),"")</f>
        <v/>
      </c>
      <c r="E196" s="137"/>
      <c r="F196" s="137"/>
      <c r="G196" s="138" t="str">
        <f t="shared" si="4"/>
        <v/>
      </c>
      <c r="H196" s="139"/>
      <c r="I196" s="153" t="str">
        <f>IF(A195=A196,IFERROR(IF(AND(#REF!="Probabilidad",#REF!="Probabilidad"),(#REF!-(+#REF!*#REF!)),IF(#REF!="Probabilidad",(#REF!-(+#REF!*#REF!)),IF(#REF!="Impacto",#REF!,""))),""),IFERROR(IF(#REF!="Probabilidad",(#REF!-(+#REF!*#REF!)),IF(#REF!="Impacto",#REF!,"")),""))</f>
        <v/>
      </c>
      <c r="J196" s="154" t="str">
        <f>IFERROR(IF(I196="","",IF(I196&lt;='Listas y tablas'!$L$3,"Muy Baja",IF(I196&lt;='Listas y tablas'!$L$4,"Baja",IF(I196&lt;='Listas y tablas'!$L$5,"Media",IF(I196&lt;='Listas y tablas'!$L$6,"Alta","Muy Alta"))))),"")</f>
        <v/>
      </c>
      <c r="K196" s="155"/>
      <c r="L196" s="156"/>
      <c r="M196" s="150"/>
      <c r="N196" s="151"/>
      <c r="O196" s="151"/>
      <c r="P196" s="152"/>
      <c r="Q196" s="162"/>
      <c r="R196" s="151"/>
      <c r="S196" s="151"/>
      <c r="T196" s="151"/>
      <c r="U196" s="151"/>
      <c r="V196" s="165"/>
      <c r="W196" s="150"/>
      <c r="X196" s="151"/>
      <c r="Y196" s="151"/>
      <c r="Z196" s="151"/>
      <c r="AA196" s="151"/>
      <c r="AB196" s="151"/>
      <c r="AC196" s="163"/>
      <c r="AD196" s="151"/>
      <c r="AE196" s="152"/>
      <c r="AF196" s="173"/>
      <c r="AG196" s="185"/>
      <c r="AH196" s="185"/>
      <c r="AI196" s="186"/>
      <c r="AJ196" s="181"/>
      <c r="AK196" s="181"/>
      <c r="AL196" s="183"/>
      <c r="AM196" s="173"/>
      <c r="AN196" s="187"/>
      <c r="AO196" s="195"/>
      <c r="AP196" s="193"/>
      <c r="AQ196" s="193"/>
      <c r="AR196" s="193"/>
      <c r="AS196" s="193"/>
      <c r="AT196" s="193"/>
      <c r="AU196" s="193"/>
      <c r="AV196" s="194"/>
      <c r="AW196" s="193"/>
      <c r="AX196" s="207"/>
      <c r="AY196" s="208"/>
      <c r="AZ196" s="209"/>
      <c r="BA196" s="209"/>
      <c r="BB196" s="209"/>
      <c r="BC196" s="206"/>
      <c r="BD196" s="206"/>
      <c r="BE196" s="213"/>
      <c r="BF196" s="217"/>
      <c r="BG196" s="209"/>
      <c r="BH196" s="218"/>
      <c r="BI196" s="215"/>
      <c r="BJ196" s="215"/>
      <c r="BK196" s="215"/>
      <c r="BL196" s="215"/>
      <c r="BM196" s="215"/>
      <c r="BN196" s="215"/>
      <c r="BO196" s="216"/>
      <c r="BP196" s="215"/>
      <c r="BQ196" s="228"/>
      <c r="BR196" s="229"/>
      <c r="BS196" s="230"/>
      <c r="BT196" s="230"/>
      <c r="BU196" s="230"/>
      <c r="BV196" s="227"/>
      <c r="BW196" s="227"/>
      <c r="BX196" s="234"/>
      <c r="BY196" s="229"/>
      <c r="BZ196" s="230"/>
      <c r="CA196" s="235"/>
    </row>
    <row r="197" spans="1:79" ht="151.5" customHeight="1">
      <c r="A197" s="134" t="str">
        <f>IFERROR(INDEX(Riesgos!$A$7:$M$84,MATCH(E197,INDEX(Riesgos!$A$7:$M$84,,MATCH(E$7,Riesgos!$A$6:$M$6,0)),0),MATCH(A$7,Riesgos!$A$6:$M$6,0)),"")</f>
        <v/>
      </c>
      <c r="B197" s="135" t="str">
        <f>IFERROR(INDEX(Riesgos!$A$7:$M$84,MATCH(E197,INDEX(Riesgos!$A$7:$M$84,,MATCH(E$7,Riesgos!$A$6:$M$6,0)),0),MATCH(B$7,Riesgos!$A$6:$M$6,0)),"")</f>
        <v/>
      </c>
      <c r="C197" s="135"/>
      <c r="D197" s="136" t="str">
        <f>IFERROR(INDEX(Riesgos!$A$7:$M$84,MATCH(E197,INDEX(Riesgos!$A$7:$M$84,,MATCH(E$7,Riesgos!$A$6:$M$6,0)),0),MATCH(D$7,Riesgos!$A$6:$M$6,0)),"")</f>
        <v/>
      </c>
      <c r="E197" s="137"/>
      <c r="F197" s="137"/>
      <c r="G197" s="138" t="str">
        <f t="shared" si="4"/>
        <v/>
      </c>
      <c r="H197" s="139"/>
      <c r="I197" s="153" t="str">
        <f>IF(A196=A197,IFERROR(IF(AND(#REF!="Probabilidad",#REF!="Probabilidad"),(#REF!-(+#REF!*#REF!)),IF(#REF!="Probabilidad",(#REF!-(+#REF!*#REF!)),IF(#REF!="Impacto",#REF!,""))),""),IFERROR(IF(#REF!="Probabilidad",(#REF!-(+#REF!*#REF!)),IF(#REF!="Impacto",#REF!,"")),""))</f>
        <v/>
      </c>
      <c r="J197" s="154" t="str">
        <f>IFERROR(IF(I197="","",IF(I197&lt;='Listas y tablas'!$L$3,"Muy Baja",IF(I197&lt;='Listas y tablas'!$L$4,"Baja",IF(I197&lt;='Listas y tablas'!$L$5,"Media",IF(I197&lt;='Listas y tablas'!$L$6,"Alta","Muy Alta"))))),"")</f>
        <v/>
      </c>
      <c r="K197" s="155"/>
      <c r="L197" s="156"/>
      <c r="M197" s="150"/>
      <c r="N197" s="151"/>
      <c r="O197" s="151"/>
      <c r="P197" s="152"/>
      <c r="Q197" s="162"/>
      <c r="R197" s="151"/>
      <c r="S197" s="151"/>
      <c r="T197" s="151"/>
      <c r="U197" s="151"/>
      <c r="V197" s="165"/>
      <c r="W197" s="150"/>
      <c r="X197" s="151"/>
      <c r="Y197" s="151"/>
      <c r="Z197" s="151"/>
      <c r="AA197" s="151"/>
      <c r="AB197" s="151"/>
      <c r="AC197" s="163"/>
      <c r="AD197" s="151"/>
      <c r="AE197" s="152"/>
      <c r="AF197" s="173"/>
      <c r="AG197" s="185"/>
      <c r="AH197" s="185"/>
      <c r="AI197" s="186"/>
      <c r="AJ197" s="181"/>
      <c r="AK197" s="181"/>
      <c r="AL197" s="183"/>
      <c r="AM197" s="173"/>
      <c r="AN197" s="187"/>
      <c r="AO197" s="195"/>
      <c r="AP197" s="193"/>
      <c r="AQ197" s="193"/>
      <c r="AR197" s="193"/>
      <c r="AS197" s="193"/>
      <c r="AT197" s="193"/>
      <c r="AU197" s="193"/>
      <c r="AV197" s="194"/>
      <c r="AW197" s="193"/>
      <c r="AX197" s="207"/>
      <c r="AY197" s="208"/>
      <c r="AZ197" s="209"/>
      <c r="BA197" s="209"/>
      <c r="BB197" s="209"/>
      <c r="BC197" s="206"/>
      <c r="BD197" s="206"/>
      <c r="BE197" s="213"/>
      <c r="BF197" s="217"/>
      <c r="BG197" s="209"/>
      <c r="BH197" s="218"/>
      <c r="BI197" s="215"/>
      <c r="BJ197" s="215"/>
      <c r="BK197" s="215"/>
      <c r="BL197" s="215"/>
      <c r="BM197" s="215"/>
      <c r="BN197" s="215"/>
      <c r="BO197" s="216"/>
      <c r="BP197" s="215"/>
      <c r="BQ197" s="228"/>
      <c r="BR197" s="229"/>
      <c r="BS197" s="230"/>
      <c r="BT197" s="230"/>
      <c r="BU197" s="230"/>
      <c r="BV197" s="227"/>
      <c r="BW197" s="227"/>
      <c r="BX197" s="234"/>
      <c r="BY197" s="229"/>
      <c r="BZ197" s="230"/>
      <c r="CA197" s="235"/>
    </row>
    <row r="198" spans="1:79" ht="151.5" customHeight="1">
      <c r="A198" s="134" t="str">
        <f>IFERROR(INDEX(Riesgos!$A$7:$M$84,MATCH(E198,INDEX(Riesgos!$A$7:$M$84,,MATCH(E$7,Riesgos!$A$6:$M$6,0)),0),MATCH(A$7,Riesgos!$A$6:$M$6,0)),"")</f>
        <v/>
      </c>
      <c r="B198" s="135" t="str">
        <f>IFERROR(INDEX(Riesgos!$A$7:$M$84,MATCH(E198,INDEX(Riesgos!$A$7:$M$84,,MATCH(E$7,Riesgos!$A$6:$M$6,0)),0),MATCH(B$7,Riesgos!$A$6:$M$6,0)),"")</f>
        <v/>
      </c>
      <c r="C198" s="135"/>
      <c r="D198" s="136" t="str">
        <f>IFERROR(INDEX(Riesgos!$A$7:$M$84,MATCH(E198,INDEX(Riesgos!$A$7:$M$84,,MATCH(E$7,Riesgos!$A$6:$M$6,0)),0),MATCH(D$7,Riesgos!$A$6:$M$6,0)),"")</f>
        <v/>
      </c>
      <c r="E198" s="137"/>
      <c r="F198" s="137"/>
      <c r="G198" s="138" t="str">
        <f t="shared" si="4"/>
        <v/>
      </c>
      <c r="H198" s="139"/>
      <c r="I198" s="153" t="str">
        <f>IF(A197=A198,IFERROR(IF(AND(#REF!="Probabilidad",#REF!="Probabilidad"),(#REF!-(+#REF!*#REF!)),IF(#REF!="Probabilidad",(#REF!-(+#REF!*#REF!)),IF(#REF!="Impacto",#REF!,""))),""),IFERROR(IF(#REF!="Probabilidad",(#REF!-(+#REF!*#REF!)),IF(#REF!="Impacto",#REF!,"")),""))</f>
        <v/>
      </c>
      <c r="J198" s="154" t="str">
        <f>IFERROR(IF(I198="","",IF(I198&lt;='Listas y tablas'!$L$3,"Muy Baja",IF(I198&lt;='Listas y tablas'!$L$4,"Baja",IF(I198&lt;='Listas y tablas'!$L$5,"Media",IF(I198&lt;='Listas y tablas'!$L$6,"Alta","Muy Alta"))))),"")</f>
        <v/>
      </c>
      <c r="K198" s="155"/>
      <c r="L198" s="156"/>
      <c r="M198" s="150"/>
      <c r="N198" s="151"/>
      <c r="O198" s="151"/>
      <c r="P198" s="152"/>
      <c r="Q198" s="162"/>
      <c r="R198" s="151"/>
      <c r="S198" s="151"/>
      <c r="T198" s="151"/>
      <c r="U198" s="151"/>
      <c r="V198" s="165"/>
      <c r="W198" s="150"/>
      <c r="X198" s="151"/>
      <c r="Y198" s="151"/>
      <c r="Z198" s="151"/>
      <c r="AA198" s="151"/>
      <c r="AB198" s="151"/>
      <c r="AC198" s="163"/>
      <c r="AD198" s="151"/>
      <c r="AE198" s="152"/>
      <c r="AF198" s="173"/>
      <c r="AG198" s="185"/>
      <c r="AH198" s="185"/>
      <c r="AI198" s="186"/>
      <c r="AJ198" s="181"/>
      <c r="AK198" s="181"/>
      <c r="AL198" s="183"/>
      <c r="AM198" s="173"/>
      <c r="AN198" s="187"/>
      <c r="AO198" s="195"/>
      <c r="AP198" s="193"/>
      <c r="AQ198" s="193"/>
      <c r="AR198" s="193"/>
      <c r="AS198" s="193"/>
      <c r="AT198" s="193"/>
      <c r="AU198" s="193"/>
      <c r="AV198" s="194"/>
      <c r="AW198" s="193"/>
      <c r="AX198" s="207"/>
      <c r="AY198" s="208"/>
      <c r="AZ198" s="209"/>
      <c r="BA198" s="209"/>
      <c r="BB198" s="209"/>
      <c r="BC198" s="206"/>
      <c r="BD198" s="206"/>
      <c r="BE198" s="213"/>
      <c r="BF198" s="217"/>
      <c r="BG198" s="209"/>
      <c r="BH198" s="218"/>
      <c r="BI198" s="215"/>
      <c r="BJ198" s="215"/>
      <c r="BK198" s="215"/>
      <c r="BL198" s="215"/>
      <c r="BM198" s="215"/>
      <c r="BN198" s="215"/>
      <c r="BO198" s="216"/>
      <c r="BP198" s="215"/>
      <c r="BQ198" s="228"/>
      <c r="BR198" s="229"/>
      <c r="BS198" s="230"/>
      <c r="BT198" s="230"/>
      <c r="BU198" s="230"/>
      <c r="BV198" s="227"/>
      <c r="BW198" s="227"/>
      <c r="BX198" s="234"/>
      <c r="BY198" s="229"/>
      <c r="BZ198" s="230"/>
      <c r="CA198" s="235"/>
    </row>
    <row r="199" spans="1:79" ht="151.5" customHeight="1">
      <c r="A199" s="134" t="str">
        <f>IFERROR(INDEX(Riesgos!$A$7:$M$84,MATCH(E199,INDEX(Riesgos!$A$7:$M$84,,MATCH(E$7,Riesgos!$A$6:$M$6,0)),0),MATCH(A$7,Riesgos!$A$6:$M$6,0)),"")</f>
        <v/>
      </c>
      <c r="B199" s="135" t="str">
        <f>IFERROR(INDEX(Riesgos!$A$7:$M$84,MATCH(E199,INDEX(Riesgos!$A$7:$M$84,,MATCH(E$7,Riesgos!$A$6:$M$6,0)),0),MATCH(B$7,Riesgos!$A$6:$M$6,0)),"")</f>
        <v/>
      </c>
      <c r="C199" s="135"/>
      <c r="D199" s="136" t="str">
        <f>IFERROR(INDEX(Riesgos!$A$7:$M$84,MATCH(E199,INDEX(Riesgos!$A$7:$M$84,,MATCH(E$7,Riesgos!$A$6:$M$6,0)),0),MATCH(D$7,Riesgos!$A$6:$M$6,0)),"")</f>
        <v/>
      </c>
      <c r="E199" s="137"/>
      <c r="F199" s="137"/>
      <c r="G199" s="138" t="str">
        <f t="shared" si="4"/>
        <v/>
      </c>
      <c r="H199" s="139"/>
      <c r="I199" s="153" t="str">
        <f>IF(A198=A199,IFERROR(IF(AND(#REF!="Probabilidad",#REF!="Probabilidad"),(#REF!-(+#REF!*#REF!)),IF(#REF!="Probabilidad",(#REF!-(+#REF!*#REF!)),IF(#REF!="Impacto",#REF!,""))),""),IFERROR(IF(#REF!="Probabilidad",(#REF!-(+#REF!*#REF!)),IF(#REF!="Impacto",#REF!,"")),""))</f>
        <v/>
      </c>
      <c r="J199" s="154" t="str">
        <f>IFERROR(IF(I199="","",IF(I199&lt;='Listas y tablas'!$L$3,"Muy Baja",IF(I199&lt;='Listas y tablas'!$L$4,"Baja",IF(I199&lt;='Listas y tablas'!$L$5,"Media",IF(I199&lt;='Listas y tablas'!$L$6,"Alta","Muy Alta"))))),"")</f>
        <v/>
      </c>
      <c r="K199" s="155"/>
      <c r="L199" s="156"/>
      <c r="M199" s="150"/>
      <c r="N199" s="151"/>
      <c r="O199" s="151"/>
      <c r="P199" s="152"/>
      <c r="Q199" s="162"/>
      <c r="R199" s="151"/>
      <c r="S199" s="151"/>
      <c r="T199" s="151"/>
      <c r="U199" s="151"/>
      <c r="V199" s="165"/>
      <c r="W199" s="150"/>
      <c r="X199" s="151"/>
      <c r="Y199" s="151"/>
      <c r="Z199" s="151"/>
      <c r="AA199" s="151"/>
      <c r="AB199" s="151"/>
      <c r="AC199" s="163"/>
      <c r="AD199" s="151"/>
      <c r="AE199" s="152"/>
      <c r="AF199" s="173"/>
      <c r="AG199" s="185"/>
      <c r="AH199" s="185"/>
      <c r="AI199" s="186"/>
      <c r="AJ199" s="181"/>
      <c r="AK199" s="181"/>
      <c r="AL199" s="183"/>
      <c r="AM199" s="173"/>
      <c r="AN199" s="187"/>
      <c r="AO199" s="195"/>
      <c r="AP199" s="193"/>
      <c r="AQ199" s="193"/>
      <c r="AR199" s="193"/>
      <c r="AS199" s="193"/>
      <c r="AT199" s="193"/>
      <c r="AU199" s="193"/>
      <c r="AV199" s="194"/>
      <c r="AW199" s="193"/>
      <c r="AX199" s="207"/>
      <c r="AY199" s="208"/>
      <c r="AZ199" s="209"/>
      <c r="BA199" s="209"/>
      <c r="BB199" s="209"/>
      <c r="BC199" s="206"/>
      <c r="BD199" s="206"/>
      <c r="BE199" s="213"/>
      <c r="BF199" s="217"/>
      <c r="BG199" s="209"/>
      <c r="BH199" s="218"/>
      <c r="BI199" s="215"/>
      <c r="BJ199" s="215"/>
      <c r="BK199" s="215"/>
      <c r="BL199" s="215"/>
      <c r="BM199" s="215"/>
      <c r="BN199" s="215"/>
      <c r="BO199" s="216"/>
      <c r="BP199" s="215"/>
      <c r="BQ199" s="228"/>
      <c r="BR199" s="229"/>
      <c r="BS199" s="230"/>
      <c r="BT199" s="230"/>
      <c r="BU199" s="230"/>
      <c r="BV199" s="227"/>
      <c r="BW199" s="227"/>
      <c r="BX199" s="234"/>
      <c r="BY199" s="229"/>
      <c r="BZ199" s="230"/>
      <c r="CA199" s="235"/>
    </row>
    <row r="200" spans="1:79" ht="151.5" customHeight="1">
      <c r="A200" s="134" t="str">
        <f>IFERROR(INDEX(Riesgos!$A$7:$M$84,MATCH(E200,INDEX(Riesgos!$A$7:$M$84,,MATCH(E$7,Riesgos!$A$6:$M$6,0)),0),MATCH(A$7,Riesgos!$A$6:$M$6,0)),"")</f>
        <v/>
      </c>
      <c r="B200" s="135" t="str">
        <f>IFERROR(INDEX(Riesgos!$A$7:$M$84,MATCH(E200,INDEX(Riesgos!$A$7:$M$84,,MATCH(E$7,Riesgos!$A$6:$M$6,0)),0),MATCH(B$7,Riesgos!$A$6:$M$6,0)),"")</f>
        <v/>
      </c>
      <c r="C200" s="135"/>
      <c r="D200" s="136" t="str">
        <f>IFERROR(INDEX(Riesgos!$A$7:$M$84,MATCH(E200,INDEX(Riesgos!$A$7:$M$84,,MATCH(E$7,Riesgos!$A$6:$M$6,0)),0),MATCH(D$7,Riesgos!$A$6:$M$6,0)),"")</f>
        <v/>
      </c>
      <c r="E200" s="137"/>
      <c r="F200" s="137"/>
      <c r="G200" s="138" t="str">
        <f t="shared" si="4"/>
        <v/>
      </c>
      <c r="H200" s="139"/>
      <c r="I200" s="153" t="str">
        <f>IF(A199=A200,IFERROR(IF(AND(#REF!="Probabilidad",#REF!="Probabilidad"),(#REF!-(+#REF!*#REF!)),IF(#REF!="Probabilidad",(#REF!-(+#REF!*#REF!)),IF(#REF!="Impacto",#REF!,""))),""),IFERROR(IF(#REF!="Probabilidad",(#REF!-(+#REF!*#REF!)),IF(#REF!="Impacto",#REF!,"")),""))</f>
        <v/>
      </c>
      <c r="J200" s="154" t="str">
        <f>IFERROR(IF(I200="","",IF(I200&lt;='Listas y tablas'!$L$3,"Muy Baja",IF(I200&lt;='Listas y tablas'!$L$4,"Baja",IF(I200&lt;='Listas y tablas'!$L$5,"Media",IF(I200&lt;='Listas y tablas'!$L$6,"Alta","Muy Alta"))))),"")</f>
        <v/>
      </c>
      <c r="K200" s="155"/>
      <c r="L200" s="156"/>
      <c r="M200" s="150"/>
      <c r="N200" s="151"/>
      <c r="O200" s="151"/>
      <c r="P200" s="152"/>
      <c r="Q200" s="162"/>
      <c r="R200" s="151"/>
      <c r="S200" s="151"/>
      <c r="T200" s="151"/>
      <c r="U200" s="151"/>
      <c r="V200" s="165"/>
      <c r="W200" s="150"/>
      <c r="X200" s="151"/>
      <c r="Y200" s="151"/>
      <c r="Z200" s="151"/>
      <c r="AA200" s="151"/>
      <c r="AB200" s="151"/>
      <c r="AC200" s="163"/>
      <c r="AD200" s="151"/>
      <c r="AE200" s="152"/>
      <c r="AF200" s="173"/>
      <c r="AG200" s="185"/>
      <c r="AH200" s="185"/>
      <c r="AI200" s="186"/>
      <c r="AJ200" s="181"/>
      <c r="AK200" s="181"/>
      <c r="AL200" s="183"/>
      <c r="AM200" s="173"/>
      <c r="AN200" s="187"/>
      <c r="AO200" s="195"/>
      <c r="AP200" s="193"/>
      <c r="AQ200" s="193"/>
      <c r="AR200" s="193"/>
      <c r="AS200" s="193"/>
      <c r="AT200" s="193"/>
      <c r="AU200" s="193"/>
      <c r="AV200" s="194"/>
      <c r="AW200" s="193"/>
      <c r="AX200" s="207"/>
      <c r="AY200" s="208"/>
      <c r="AZ200" s="209"/>
      <c r="BA200" s="209"/>
      <c r="BB200" s="209"/>
      <c r="BC200" s="206"/>
      <c r="BD200" s="206"/>
      <c r="BE200" s="213"/>
      <c r="BF200" s="217"/>
      <c r="BG200" s="209"/>
      <c r="BH200" s="218"/>
      <c r="BI200" s="215"/>
      <c r="BJ200" s="215"/>
      <c r="BK200" s="215"/>
      <c r="BL200" s="215"/>
      <c r="BM200" s="215"/>
      <c r="BN200" s="215"/>
      <c r="BO200" s="216"/>
      <c r="BP200" s="215"/>
      <c r="BQ200" s="228"/>
      <c r="BR200" s="229"/>
      <c r="BS200" s="230"/>
      <c r="BT200" s="230"/>
      <c r="BU200" s="230"/>
      <c r="BV200" s="227"/>
      <c r="BW200" s="227"/>
      <c r="BX200" s="234"/>
      <c r="BY200" s="229"/>
      <c r="BZ200" s="230"/>
      <c r="CA200" s="235"/>
    </row>
    <row r="201" spans="1:79" ht="151.5" customHeight="1">
      <c r="A201" s="134" t="str">
        <f>IFERROR(INDEX(Riesgos!$A$7:$M$84,MATCH(E201,INDEX(Riesgos!$A$7:$M$84,,MATCH(E$7,Riesgos!$A$6:$M$6,0)),0),MATCH(A$7,Riesgos!$A$6:$M$6,0)),"")</f>
        <v/>
      </c>
      <c r="B201" s="135" t="str">
        <f>IFERROR(INDEX(Riesgos!$A$7:$M$84,MATCH(E201,INDEX(Riesgos!$A$7:$M$84,,MATCH(E$7,Riesgos!$A$6:$M$6,0)),0),MATCH(B$7,Riesgos!$A$6:$M$6,0)),"")</f>
        <v/>
      </c>
      <c r="C201" s="135"/>
      <c r="D201" s="136" t="str">
        <f>IFERROR(INDEX(Riesgos!$A$7:$M$84,MATCH(E201,INDEX(Riesgos!$A$7:$M$84,,MATCH(E$7,Riesgos!$A$6:$M$6,0)),0),MATCH(D$7,Riesgos!$A$6:$M$6,0)),"")</f>
        <v/>
      </c>
      <c r="E201" s="137"/>
      <c r="F201" s="137"/>
      <c r="G201" s="138" t="str">
        <f t="shared" si="4"/>
        <v/>
      </c>
      <c r="H201" s="139"/>
      <c r="I201" s="153" t="str">
        <f>IF(A200=A201,IFERROR(IF(AND(#REF!="Probabilidad",#REF!="Probabilidad"),(#REF!-(+#REF!*#REF!)),IF(#REF!="Probabilidad",(#REF!-(+#REF!*#REF!)),IF(#REF!="Impacto",#REF!,""))),""),IFERROR(IF(#REF!="Probabilidad",(#REF!-(+#REF!*#REF!)),IF(#REF!="Impacto",#REF!,"")),""))</f>
        <v/>
      </c>
      <c r="J201" s="154" t="str">
        <f>IFERROR(IF(I201="","",IF(I201&lt;='Listas y tablas'!$L$3,"Muy Baja",IF(I201&lt;='Listas y tablas'!$L$4,"Baja",IF(I201&lt;='Listas y tablas'!$L$5,"Media",IF(I201&lt;='Listas y tablas'!$L$6,"Alta","Muy Alta"))))),"")</f>
        <v/>
      </c>
      <c r="K201" s="155"/>
      <c r="L201" s="156"/>
      <c r="M201" s="150"/>
      <c r="N201" s="151"/>
      <c r="O201" s="151"/>
      <c r="P201" s="152"/>
      <c r="Q201" s="162"/>
      <c r="R201" s="151"/>
      <c r="S201" s="151"/>
      <c r="T201" s="151"/>
      <c r="U201" s="151"/>
      <c r="V201" s="165"/>
      <c r="W201" s="150"/>
      <c r="X201" s="151"/>
      <c r="Y201" s="151"/>
      <c r="Z201" s="151"/>
      <c r="AA201" s="151"/>
      <c r="AB201" s="151"/>
      <c r="AC201" s="163"/>
      <c r="AD201" s="151"/>
      <c r="AE201" s="152"/>
      <c r="AF201" s="173"/>
      <c r="AG201" s="185"/>
      <c r="AH201" s="185"/>
      <c r="AI201" s="186"/>
      <c r="AJ201" s="181"/>
      <c r="AK201" s="181"/>
      <c r="AL201" s="183"/>
      <c r="AM201" s="173"/>
      <c r="AN201" s="187"/>
      <c r="AO201" s="195"/>
      <c r="AP201" s="193"/>
      <c r="AQ201" s="193"/>
      <c r="AR201" s="193"/>
      <c r="AS201" s="193"/>
      <c r="AT201" s="193"/>
      <c r="AU201" s="193"/>
      <c r="AV201" s="194"/>
      <c r="AW201" s="193"/>
      <c r="AX201" s="207"/>
      <c r="AY201" s="208"/>
      <c r="AZ201" s="209"/>
      <c r="BA201" s="209"/>
      <c r="BB201" s="209"/>
      <c r="BC201" s="206"/>
      <c r="BD201" s="206"/>
      <c r="BE201" s="213"/>
      <c r="BF201" s="217"/>
      <c r="BG201" s="209"/>
      <c r="BH201" s="218"/>
      <c r="BI201" s="215"/>
      <c r="BJ201" s="215"/>
      <c r="BK201" s="215"/>
      <c r="BL201" s="215"/>
      <c r="BM201" s="215"/>
      <c r="BN201" s="215"/>
      <c r="BO201" s="216"/>
      <c r="BP201" s="215"/>
      <c r="BQ201" s="228"/>
      <c r="BR201" s="229"/>
      <c r="BS201" s="230"/>
      <c r="BT201" s="230"/>
      <c r="BU201" s="230"/>
      <c r="BV201" s="227"/>
      <c r="BW201" s="227"/>
      <c r="BX201" s="234"/>
      <c r="BY201" s="229"/>
      <c r="BZ201" s="230"/>
      <c r="CA201" s="235"/>
    </row>
    <row r="202" spans="1:79" ht="151.5" customHeight="1">
      <c r="A202" s="134" t="str">
        <f>IFERROR(INDEX(Riesgos!$A$7:$M$84,MATCH(E202,INDEX(Riesgos!$A$7:$M$84,,MATCH(E$7,Riesgos!$A$6:$M$6,0)),0),MATCH(A$7,Riesgos!$A$6:$M$6,0)),"")</f>
        <v/>
      </c>
      <c r="B202" s="135" t="str">
        <f>IFERROR(INDEX(Riesgos!$A$7:$M$84,MATCH(E202,INDEX(Riesgos!$A$7:$M$84,,MATCH(E$7,Riesgos!$A$6:$M$6,0)),0),MATCH(B$7,Riesgos!$A$6:$M$6,0)),"")</f>
        <v/>
      </c>
      <c r="C202" s="135"/>
      <c r="D202" s="136" t="str">
        <f>IFERROR(INDEX(Riesgos!$A$7:$M$84,MATCH(E202,INDEX(Riesgos!$A$7:$M$84,,MATCH(E$7,Riesgos!$A$6:$M$6,0)),0),MATCH(D$7,Riesgos!$A$6:$M$6,0)),"")</f>
        <v/>
      </c>
      <c r="E202" s="137"/>
      <c r="F202" s="137"/>
      <c r="G202" s="138" t="str">
        <f t="shared" si="4"/>
        <v/>
      </c>
      <c r="H202" s="139"/>
      <c r="I202" s="153" t="str">
        <f>IF(A201=A202,IFERROR(IF(AND(#REF!="Probabilidad",#REF!="Probabilidad"),(#REF!-(+#REF!*#REF!)),IF(#REF!="Probabilidad",(#REF!-(+#REF!*#REF!)),IF(#REF!="Impacto",#REF!,""))),""),IFERROR(IF(#REF!="Probabilidad",(#REF!-(+#REF!*#REF!)),IF(#REF!="Impacto",#REF!,"")),""))</f>
        <v/>
      </c>
      <c r="J202" s="154" t="str">
        <f>IFERROR(IF(I202="","",IF(I202&lt;='Listas y tablas'!$L$3,"Muy Baja",IF(I202&lt;='Listas y tablas'!$L$4,"Baja",IF(I202&lt;='Listas y tablas'!$L$5,"Media",IF(I202&lt;='Listas y tablas'!$L$6,"Alta","Muy Alta"))))),"")</f>
        <v/>
      </c>
      <c r="K202" s="155"/>
      <c r="L202" s="156"/>
      <c r="M202" s="150"/>
      <c r="N202" s="151"/>
      <c r="O202" s="151"/>
      <c r="P202" s="152"/>
      <c r="Q202" s="162"/>
      <c r="R202" s="151"/>
      <c r="S202" s="151"/>
      <c r="T202" s="151"/>
      <c r="U202" s="151"/>
      <c r="V202" s="165"/>
      <c r="W202" s="150"/>
      <c r="X202" s="151"/>
      <c r="Y202" s="151"/>
      <c r="Z202" s="151"/>
      <c r="AA202" s="151"/>
      <c r="AB202" s="151"/>
      <c r="AC202" s="163"/>
      <c r="AD202" s="151"/>
      <c r="AE202" s="152"/>
      <c r="AF202" s="173"/>
      <c r="AG202" s="185"/>
      <c r="AH202" s="185"/>
      <c r="AI202" s="186"/>
      <c r="AJ202" s="181"/>
      <c r="AK202" s="181"/>
      <c r="AL202" s="183"/>
      <c r="AM202" s="173"/>
      <c r="AN202" s="187"/>
      <c r="AO202" s="195"/>
      <c r="AP202" s="193"/>
      <c r="AQ202" s="193"/>
      <c r="AR202" s="193"/>
      <c r="AS202" s="193"/>
      <c r="AT202" s="193"/>
      <c r="AU202" s="193"/>
      <c r="AV202" s="194"/>
      <c r="AW202" s="193"/>
      <c r="AX202" s="207"/>
      <c r="AY202" s="208"/>
      <c r="AZ202" s="209"/>
      <c r="BA202" s="209"/>
      <c r="BB202" s="209"/>
      <c r="BC202" s="206"/>
      <c r="BD202" s="206"/>
      <c r="BE202" s="213"/>
      <c r="BF202" s="217"/>
      <c r="BG202" s="209"/>
      <c r="BH202" s="218"/>
      <c r="BI202" s="215"/>
      <c r="BJ202" s="215"/>
      <c r="BK202" s="215"/>
      <c r="BL202" s="215"/>
      <c r="BM202" s="215"/>
      <c r="BN202" s="215"/>
      <c r="BO202" s="216"/>
      <c r="BP202" s="215"/>
      <c r="BQ202" s="228"/>
      <c r="BR202" s="229"/>
      <c r="BS202" s="230"/>
      <c r="BT202" s="230"/>
      <c r="BU202" s="230"/>
      <c r="BV202" s="227"/>
      <c r="BW202" s="227"/>
      <c r="BX202" s="234"/>
      <c r="BY202" s="229"/>
      <c r="BZ202" s="230"/>
      <c r="CA202" s="235"/>
    </row>
    <row r="203" spans="1:79" ht="151.5" customHeight="1">
      <c r="A203" s="134" t="str">
        <f>IFERROR(INDEX(Riesgos!$A$7:$M$84,MATCH(E203,INDEX(Riesgos!$A$7:$M$84,,MATCH(E$7,Riesgos!$A$6:$M$6,0)),0),MATCH(A$7,Riesgos!$A$6:$M$6,0)),"")</f>
        <v/>
      </c>
      <c r="B203" s="135" t="str">
        <f>IFERROR(INDEX(Riesgos!$A$7:$M$84,MATCH(E203,INDEX(Riesgos!$A$7:$M$84,,MATCH(E$7,Riesgos!$A$6:$M$6,0)),0),MATCH(B$7,Riesgos!$A$6:$M$6,0)),"")</f>
        <v/>
      </c>
      <c r="C203" s="135"/>
      <c r="D203" s="136" t="str">
        <f>IFERROR(INDEX(Riesgos!$A$7:$M$84,MATCH(E203,INDEX(Riesgos!$A$7:$M$84,,MATCH(E$7,Riesgos!$A$6:$M$6,0)),0),MATCH(D$7,Riesgos!$A$6:$M$6,0)),"")</f>
        <v/>
      </c>
      <c r="E203" s="137"/>
      <c r="F203" s="137"/>
      <c r="G203" s="138" t="str">
        <f t="shared" si="4"/>
        <v/>
      </c>
      <c r="H203" s="139"/>
      <c r="I203" s="153" t="str">
        <f>IF(A202=A203,IFERROR(IF(AND(#REF!="Probabilidad",#REF!="Probabilidad"),(#REF!-(+#REF!*#REF!)),IF(#REF!="Probabilidad",(#REF!-(+#REF!*#REF!)),IF(#REF!="Impacto",#REF!,""))),""),IFERROR(IF(#REF!="Probabilidad",(#REF!-(+#REF!*#REF!)),IF(#REF!="Impacto",#REF!,"")),""))</f>
        <v/>
      </c>
      <c r="J203" s="154" t="str">
        <f>IFERROR(IF(I203="","",IF(I203&lt;='Listas y tablas'!$L$3,"Muy Baja",IF(I203&lt;='Listas y tablas'!$L$4,"Baja",IF(I203&lt;='Listas y tablas'!$L$5,"Media",IF(I203&lt;='Listas y tablas'!$L$6,"Alta","Muy Alta"))))),"")</f>
        <v/>
      </c>
      <c r="K203" s="155"/>
      <c r="L203" s="156"/>
      <c r="M203" s="150"/>
      <c r="N203" s="151"/>
      <c r="O203" s="151"/>
      <c r="P203" s="152"/>
      <c r="Q203" s="162"/>
      <c r="R203" s="151"/>
      <c r="S203" s="151"/>
      <c r="T203" s="151"/>
      <c r="U203" s="151"/>
      <c r="V203" s="165"/>
      <c r="W203" s="150"/>
      <c r="X203" s="151"/>
      <c r="Y203" s="151"/>
      <c r="Z203" s="151"/>
      <c r="AA203" s="151"/>
      <c r="AB203" s="151"/>
      <c r="AC203" s="163"/>
      <c r="AD203" s="151"/>
      <c r="AE203" s="152"/>
      <c r="AF203" s="173"/>
      <c r="AG203" s="185"/>
      <c r="AH203" s="185"/>
      <c r="AI203" s="186"/>
      <c r="AJ203" s="181"/>
      <c r="AK203" s="181"/>
      <c r="AL203" s="183"/>
      <c r="AM203" s="173"/>
      <c r="AN203" s="187"/>
      <c r="AO203" s="195"/>
      <c r="AP203" s="193"/>
      <c r="AQ203" s="193"/>
      <c r="AR203" s="193"/>
      <c r="AS203" s="193"/>
      <c r="AT203" s="193"/>
      <c r="AU203" s="193"/>
      <c r="AV203" s="194"/>
      <c r="AW203" s="193"/>
      <c r="AX203" s="207"/>
      <c r="AY203" s="208"/>
      <c r="AZ203" s="209"/>
      <c r="BA203" s="209"/>
      <c r="BB203" s="209"/>
      <c r="BC203" s="206"/>
      <c r="BD203" s="206"/>
      <c r="BE203" s="213"/>
      <c r="BF203" s="217"/>
      <c r="BG203" s="209"/>
      <c r="BH203" s="218"/>
      <c r="BI203" s="215"/>
      <c r="BJ203" s="215"/>
      <c r="BK203" s="215"/>
      <c r="BL203" s="215"/>
      <c r="BM203" s="215"/>
      <c r="BN203" s="215"/>
      <c r="BO203" s="216"/>
      <c r="BP203" s="215"/>
      <c r="BQ203" s="228"/>
      <c r="BR203" s="229"/>
      <c r="BS203" s="230"/>
      <c r="BT203" s="230"/>
      <c r="BU203" s="230"/>
      <c r="BV203" s="227"/>
      <c r="BW203" s="227"/>
      <c r="BX203" s="234"/>
      <c r="BY203" s="229"/>
      <c r="BZ203" s="230"/>
      <c r="CA203" s="235"/>
    </row>
    <row r="204" spans="1:79" ht="151.5" customHeight="1">
      <c r="A204" s="134" t="str">
        <f>IFERROR(INDEX(Riesgos!$A$7:$M$84,MATCH(E204,INDEX(Riesgos!$A$7:$M$84,,MATCH(E$7,Riesgos!$A$6:$M$6,0)),0),MATCH(A$7,Riesgos!$A$6:$M$6,0)),"")</f>
        <v/>
      </c>
      <c r="B204" s="135" t="str">
        <f>IFERROR(INDEX(Riesgos!$A$7:$M$84,MATCH(E204,INDEX(Riesgos!$A$7:$M$84,,MATCH(E$7,Riesgos!$A$6:$M$6,0)),0),MATCH(B$7,Riesgos!$A$6:$M$6,0)),"")</f>
        <v/>
      </c>
      <c r="C204" s="135"/>
      <c r="D204" s="136" t="str">
        <f>IFERROR(INDEX(Riesgos!$A$7:$M$84,MATCH(E204,INDEX(Riesgos!$A$7:$M$84,,MATCH(E$7,Riesgos!$A$6:$M$6,0)),0),MATCH(D$7,Riesgos!$A$6:$M$6,0)),"")</f>
        <v/>
      </c>
      <c r="E204" s="137"/>
      <c r="F204" s="137"/>
      <c r="G204" s="138" t="str">
        <f t="shared" si="4"/>
        <v/>
      </c>
      <c r="H204" s="139"/>
      <c r="I204" s="153" t="str">
        <f>IF(A203=A204,IFERROR(IF(AND(#REF!="Probabilidad",#REF!="Probabilidad"),(#REF!-(+#REF!*#REF!)),IF(#REF!="Probabilidad",(#REF!-(+#REF!*#REF!)),IF(#REF!="Impacto",#REF!,""))),""),IFERROR(IF(#REF!="Probabilidad",(#REF!-(+#REF!*#REF!)),IF(#REF!="Impacto",#REF!,"")),""))</f>
        <v/>
      </c>
      <c r="J204" s="154" t="str">
        <f>IFERROR(IF(I204="","",IF(I204&lt;='Listas y tablas'!$L$3,"Muy Baja",IF(I204&lt;='Listas y tablas'!$L$4,"Baja",IF(I204&lt;='Listas y tablas'!$L$5,"Media",IF(I204&lt;='Listas y tablas'!$L$6,"Alta","Muy Alta"))))),"")</f>
        <v/>
      </c>
      <c r="K204" s="155"/>
      <c r="L204" s="156"/>
      <c r="M204" s="150"/>
      <c r="N204" s="151"/>
      <c r="O204" s="151"/>
      <c r="P204" s="152"/>
      <c r="Q204" s="162"/>
      <c r="R204" s="151"/>
      <c r="S204" s="151"/>
      <c r="T204" s="151"/>
      <c r="U204" s="151"/>
      <c r="V204" s="165"/>
      <c r="W204" s="150"/>
      <c r="X204" s="151"/>
      <c r="Y204" s="151"/>
      <c r="Z204" s="151"/>
      <c r="AA204" s="151"/>
      <c r="AB204" s="151"/>
      <c r="AC204" s="163"/>
      <c r="AD204" s="151"/>
      <c r="AE204" s="152"/>
      <c r="AF204" s="173"/>
      <c r="AG204" s="185"/>
      <c r="AH204" s="185"/>
      <c r="AI204" s="186"/>
      <c r="AJ204" s="181"/>
      <c r="AK204" s="181"/>
      <c r="AL204" s="183"/>
      <c r="AM204" s="173"/>
      <c r="AN204" s="187"/>
      <c r="AO204" s="195"/>
      <c r="AP204" s="193"/>
      <c r="AQ204" s="193"/>
      <c r="AR204" s="193"/>
      <c r="AS204" s="193"/>
      <c r="AT204" s="193"/>
      <c r="AU204" s="193"/>
      <c r="AV204" s="194"/>
      <c r="AW204" s="193"/>
      <c r="AX204" s="207"/>
      <c r="AY204" s="208"/>
      <c r="AZ204" s="209"/>
      <c r="BA204" s="209"/>
      <c r="BB204" s="209"/>
      <c r="BC204" s="206"/>
      <c r="BD204" s="206"/>
      <c r="BE204" s="213"/>
      <c r="BF204" s="217"/>
      <c r="BG204" s="209"/>
      <c r="BH204" s="218"/>
      <c r="BI204" s="215"/>
      <c r="BJ204" s="215"/>
      <c r="BK204" s="215"/>
      <c r="BL204" s="215"/>
      <c r="BM204" s="215"/>
      <c r="BN204" s="215"/>
      <c r="BO204" s="216"/>
      <c r="BP204" s="215"/>
      <c r="BQ204" s="228"/>
      <c r="BR204" s="229"/>
      <c r="BS204" s="230"/>
      <c r="BT204" s="230"/>
      <c r="BU204" s="230"/>
      <c r="BV204" s="227"/>
      <c r="BW204" s="227"/>
      <c r="BX204" s="234"/>
      <c r="BY204" s="229"/>
      <c r="BZ204" s="230"/>
      <c r="CA204" s="235"/>
    </row>
    <row r="205" spans="1:79" ht="151.5" customHeight="1">
      <c r="A205" s="134" t="str">
        <f>IFERROR(INDEX(Riesgos!$A$7:$M$84,MATCH(E205,INDEX(Riesgos!$A$7:$M$84,,MATCH(E$7,Riesgos!$A$6:$M$6,0)),0),MATCH(A$7,Riesgos!$A$6:$M$6,0)),"")</f>
        <v/>
      </c>
      <c r="B205" s="135" t="str">
        <f>IFERROR(INDEX(Riesgos!$A$7:$M$84,MATCH(E205,INDEX(Riesgos!$A$7:$M$84,,MATCH(E$7,Riesgos!$A$6:$M$6,0)),0),MATCH(B$7,Riesgos!$A$6:$M$6,0)),"")</f>
        <v/>
      </c>
      <c r="C205" s="135"/>
      <c r="D205" s="136" t="str">
        <f>IFERROR(INDEX(Riesgos!$A$7:$M$84,MATCH(E205,INDEX(Riesgos!$A$7:$M$84,,MATCH(E$7,Riesgos!$A$6:$M$6,0)),0),MATCH(D$7,Riesgos!$A$6:$M$6,0)),"")</f>
        <v/>
      </c>
      <c r="E205" s="137"/>
      <c r="F205" s="137"/>
      <c r="G205" s="138" t="str">
        <f t="shared" si="4"/>
        <v/>
      </c>
      <c r="H205" s="139"/>
      <c r="I205" s="153" t="str">
        <f>IF(A204=A205,IFERROR(IF(AND(#REF!="Probabilidad",#REF!="Probabilidad"),(#REF!-(+#REF!*#REF!)),IF(#REF!="Probabilidad",(#REF!-(+#REF!*#REF!)),IF(#REF!="Impacto",#REF!,""))),""),IFERROR(IF(#REF!="Probabilidad",(#REF!-(+#REF!*#REF!)),IF(#REF!="Impacto",#REF!,"")),""))</f>
        <v/>
      </c>
      <c r="J205" s="154" t="str">
        <f>IFERROR(IF(I205="","",IF(I205&lt;='Listas y tablas'!$L$3,"Muy Baja",IF(I205&lt;='Listas y tablas'!$L$4,"Baja",IF(I205&lt;='Listas y tablas'!$L$5,"Media",IF(I205&lt;='Listas y tablas'!$L$6,"Alta","Muy Alta"))))),"")</f>
        <v/>
      </c>
      <c r="K205" s="155"/>
      <c r="L205" s="156"/>
      <c r="M205" s="150"/>
      <c r="N205" s="151"/>
      <c r="O205" s="151"/>
      <c r="P205" s="152"/>
      <c r="Q205" s="162"/>
      <c r="R205" s="151"/>
      <c r="S205" s="151"/>
      <c r="T205" s="151"/>
      <c r="U205" s="151"/>
      <c r="V205" s="165"/>
      <c r="W205" s="150"/>
      <c r="X205" s="151"/>
      <c r="Y205" s="151"/>
      <c r="Z205" s="151"/>
      <c r="AA205" s="151"/>
      <c r="AB205" s="151"/>
      <c r="AC205" s="163"/>
      <c r="AD205" s="151"/>
      <c r="AE205" s="152"/>
      <c r="AF205" s="173"/>
      <c r="AG205" s="185"/>
      <c r="AH205" s="185"/>
      <c r="AI205" s="186"/>
      <c r="AJ205" s="181"/>
      <c r="AK205" s="181"/>
      <c r="AL205" s="183"/>
      <c r="AM205" s="173"/>
      <c r="AN205" s="187"/>
      <c r="AO205" s="195"/>
      <c r="AP205" s="193"/>
      <c r="AQ205" s="193"/>
      <c r="AR205" s="193"/>
      <c r="AS205" s="193"/>
      <c r="AT205" s="193"/>
      <c r="AU205" s="193"/>
      <c r="AV205" s="194"/>
      <c r="AW205" s="193"/>
      <c r="AX205" s="207"/>
      <c r="AY205" s="208"/>
      <c r="AZ205" s="209"/>
      <c r="BA205" s="209"/>
      <c r="BB205" s="209"/>
      <c r="BC205" s="206"/>
      <c r="BD205" s="206"/>
      <c r="BE205" s="213"/>
      <c r="BF205" s="217"/>
      <c r="BG205" s="209"/>
      <c r="BH205" s="218"/>
      <c r="BI205" s="215"/>
      <c r="BJ205" s="215"/>
      <c r="BK205" s="215"/>
      <c r="BL205" s="215"/>
      <c r="BM205" s="215"/>
      <c r="BN205" s="215"/>
      <c r="BO205" s="216"/>
      <c r="BP205" s="215"/>
      <c r="BQ205" s="228"/>
      <c r="BR205" s="229"/>
      <c r="BS205" s="230"/>
      <c r="BT205" s="230"/>
      <c r="BU205" s="230"/>
      <c r="BV205" s="227"/>
      <c r="BW205" s="227"/>
      <c r="BX205" s="234"/>
      <c r="BY205" s="229"/>
      <c r="BZ205" s="230"/>
      <c r="CA205" s="235"/>
    </row>
    <row r="206" spans="1:79" ht="151.5" customHeight="1">
      <c r="A206" s="134" t="str">
        <f>IFERROR(INDEX(Riesgos!$A$7:$M$84,MATCH(E206,INDEX(Riesgos!$A$7:$M$84,,MATCH(E$7,Riesgos!$A$6:$M$6,0)),0),MATCH(A$7,Riesgos!$A$6:$M$6,0)),"")</f>
        <v/>
      </c>
      <c r="B206" s="135" t="str">
        <f>IFERROR(INDEX(Riesgos!$A$7:$M$84,MATCH(E206,INDEX(Riesgos!$A$7:$M$84,,MATCH(E$7,Riesgos!$A$6:$M$6,0)),0),MATCH(B$7,Riesgos!$A$6:$M$6,0)),"")</f>
        <v/>
      </c>
      <c r="C206" s="135"/>
      <c r="D206" s="136" t="str">
        <f>IFERROR(INDEX(Riesgos!$A$7:$M$84,MATCH(E206,INDEX(Riesgos!$A$7:$M$84,,MATCH(E$7,Riesgos!$A$6:$M$6,0)),0),MATCH(D$7,Riesgos!$A$6:$M$6,0)),"")</f>
        <v/>
      </c>
      <c r="E206" s="137"/>
      <c r="F206" s="137"/>
      <c r="G206" s="138" t="str">
        <f t="shared" si="4"/>
        <v/>
      </c>
      <c r="H206" s="139"/>
      <c r="I206" s="153" t="str">
        <f>IF(A205=A206,IFERROR(IF(AND(#REF!="Probabilidad",#REF!="Probabilidad"),(#REF!-(+#REF!*#REF!)),IF(#REF!="Probabilidad",(#REF!-(+#REF!*#REF!)),IF(#REF!="Impacto",#REF!,""))),""),IFERROR(IF(#REF!="Probabilidad",(#REF!-(+#REF!*#REF!)),IF(#REF!="Impacto",#REF!,"")),""))</f>
        <v/>
      </c>
      <c r="J206" s="154" t="str">
        <f>IFERROR(IF(I206="","",IF(I206&lt;='Listas y tablas'!$L$3,"Muy Baja",IF(I206&lt;='Listas y tablas'!$L$4,"Baja",IF(I206&lt;='Listas y tablas'!$L$5,"Media",IF(I206&lt;='Listas y tablas'!$L$6,"Alta","Muy Alta"))))),"")</f>
        <v/>
      </c>
      <c r="K206" s="155"/>
      <c r="L206" s="156"/>
      <c r="M206" s="150"/>
      <c r="N206" s="151"/>
      <c r="O206" s="151"/>
      <c r="P206" s="152"/>
      <c r="Q206" s="162"/>
      <c r="R206" s="151"/>
      <c r="S206" s="151"/>
      <c r="T206" s="151"/>
      <c r="U206" s="151"/>
      <c r="V206" s="165"/>
      <c r="W206" s="150"/>
      <c r="X206" s="151"/>
      <c r="Y206" s="151"/>
      <c r="Z206" s="151"/>
      <c r="AA206" s="151"/>
      <c r="AB206" s="151"/>
      <c r="AC206" s="163"/>
      <c r="AD206" s="151"/>
      <c r="AE206" s="152"/>
      <c r="AF206" s="173"/>
      <c r="AG206" s="185"/>
      <c r="AH206" s="185"/>
      <c r="AI206" s="186"/>
      <c r="AJ206" s="181"/>
      <c r="AK206" s="181"/>
      <c r="AL206" s="183"/>
      <c r="AM206" s="173"/>
      <c r="AN206" s="187"/>
      <c r="AO206" s="195"/>
      <c r="AP206" s="193"/>
      <c r="AQ206" s="193"/>
      <c r="AR206" s="193"/>
      <c r="AS206" s="193"/>
      <c r="AT206" s="193"/>
      <c r="AU206" s="193"/>
      <c r="AV206" s="194"/>
      <c r="AW206" s="193"/>
      <c r="AX206" s="207"/>
      <c r="AY206" s="208"/>
      <c r="AZ206" s="209"/>
      <c r="BA206" s="209"/>
      <c r="BB206" s="209"/>
      <c r="BC206" s="206"/>
      <c r="BD206" s="206"/>
      <c r="BE206" s="213"/>
      <c r="BF206" s="217"/>
      <c r="BG206" s="209"/>
      <c r="BH206" s="218"/>
      <c r="BI206" s="215"/>
      <c r="BJ206" s="215"/>
      <c r="BK206" s="215"/>
      <c r="BL206" s="215"/>
      <c r="BM206" s="215"/>
      <c r="BN206" s="215"/>
      <c r="BO206" s="216"/>
      <c r="BP206" s="215"/>
      <c r="BQ206" s="228"/>
      <c r="BR206" s="229"/>
      <c r="BS206" s="230"/>
      <c r="BT206" s="230"/>
      <c r="BU206" s="230"/>
      <c r="BV206" s="227"/>
      <c r="BW206" s="227"/>
      <c r="BX206" s="234"/>
      <c r="BY206" s="229"/>
      <c r="BZ206" s="230"/>
      <c r="CA206" s="235"/>
    </row>
    <row r="207" spans="1:79" ht="151.5" customHeight="1">
      <c r="A207" s="134" t="str">
        <f>IFERROR(INDEX(Riesgos!$A$7:$M$84,MATCH(E207,INDEX(Riesgos!$A$7:$M$84,,MATCH(E$7,Riesgos!$A$6:$M$6,0)),0),MATCH(A$7,Riesgos!$A$6:$M$6,0)),"")</f>
        <v/>
      </c>
      <c r="B207" s="135" t="str">
        <f>IFERROR(INDEX(Riesgos!$A$7:$M$84,MATCH(E207,INDEX(Riesgos!$A$7:$M$84,,MATCH(E$7,Riesgos!$A$6:$M$6,0)),0),MATCH(B$7,Riesgos!$A$6:$M$6,0)),"")</f>
        <v/>
      </c>
      <c r="C207" s="135"/>
      <c r="D207" s="136" t="str">
        <f>IFERROR(INDEX(Riesgos!$A$7:$M$84,MATCH(E207,INDEX(Riesgos!$A$7:$M$84,,MATCH(E$7,Riesgos!$A$6:$M$6,0)),0),MATCH(D$7,Riesgos!$A$6:$M$6,0)),"")</f>
        <v/>
      </c>
      <c r="E207" s="137"/>
      <c r="F207" s="137"/>
      <c r="G207" s="138" t="str">
        <f t="shared" si="4"/>
        <v/>
      </c>
      <c r="H207" s="139"/>
      <c r="I207" s="153" t="str">
        <f>IF(A206=A207,IFERROR(IF(AND(#REF!="Probabilidad",#REF!="Probabilidad"),(#REF!-(+#REF!*#REF!)),IF(#REF!="Probabilidad",(#REF!-(+#REF!*#REF!)),IF(#REF!="Impacto",#REF!,""))),""),IFERROR(IF(#REF!="Probabilidad",(#REF!-(+#REF!*#REF!)),IF(#REF!="Impacto",#REF!,"")),""))</f>
        <v/>
      </c>
      <c r="J207" s="154" t="str">
        <f>IFERROR(IF(I207="","",IF(I207&lt;='Listas y tablas'!$L$3,"Muy Baja",IF(I207&lt;='Listas y tablas'!$L$4,"Baja",IF(I207&lt;='Listas y tablas'!$L$5,"Media",IF(I207&lt;='Listas y tablas'!$L$6,"Alta","Muy Alta"))))),"")</f>
        <v/>
      </c>
      <c r="K207" s="155"/>
      <c r="L207" s="156"/>
      <c r="M207" s="150"/>
      <c r="N207" s="151"/>
      <c r="O207" s="151"/>
      <c r="P207" s="152"/>
      <c r="Q207" s="162"/>
      <c r="R207" s="151"/>
      <c r="S207" s="151"/>
      <c r="T207" s="151"/>
      <c r="U207" s="151"/>
      <c r="V207" s="165"/>
      <c r="W207" s="150"/>
      <c r="X207" s="151"/>
      <c r="Y207" s="151"/>
      <c r="Z207" s="151"/>
      <c r="AA207" s="151"/>
      <c r="AB207" s="151"/>
      <c r="AC207" s="163"/>
      <c r="AD207" s="151"/>
      <c r="AE207" s="152"/>
      <c r="AF207" s="173"/>
      <c r="AG207" s="185"/>
      <c r="AH207" s="185"/>
      <c r="AI207" s="186"/>
      <c r="AJ207" s="181"/>
      <c r="AK207" s="181"/>
      <c r="AL207" s="183"/>
      <c r="AM207" s="173"/>
      <c r="AN207" s="187"/>
      <c r="AO207" s="195"/>
      <c r="AP207" s="193"/>
      <c r="AQ207" s="193"/>
      <c r="AR207" s="193"/>
      <c r="AS207" s="193"/>
      <c r="AT207" s="193"/>
      <c r="AU207" s="193"/>
      <c r="AV207" s="194"/>
      <c r="AW207" s="193"/>
      <c r="AX207" s="207"/>
      <c r="AY207" s="208"/>
      <c r="AZ207" s="209"/>
      <c r="BA207" s="209"/>
      <c r="BB207" s="209"/>
      <c r="BC207" s="206"/>
      <c r="BD207" s="206"/>
      <c r="BE207" s="213"/>
      <c r="BF207" s="217"/>
      <c r="BG207" s="209"/>
      <c r="BH207" s="218"/>
      <c r="BI207" s="215"/>
      <c r="BJ207" s="215"/>
      <c r="BK207" s="215"/>
      <c r="BL207" s="215"/>
      <c r="BM207" s="215"/>
      <c r="BN207" s="215"/>
      <c r="BO207" s="216"/>
      <c r="BP207" s="215"/>
      <c r="BQ207" s="228"/>
      <c r="BR207" s="229"/>
      <c r="BS207" s="230"/>
      <c r="BT207" s="230"/>
      <c r="BU207" s="230"/>
      <c r="BV207" s="227"/>
      <c r="BW207" s="227"/>
      <c r="BX207" s="234"/>
      <c r="BY207" s="229"/>
      <c r="BZ207" s="230"/>
      <c r="CA207" s="235"/>
    </row>
    <row r="208" spans="1:79" ht="151.5" customHeight="1">
      <c r="A208" s="134" t="str">
        <f>IFERROR(INDEX(Riesgos!$A$7:$M$84,MATCH(E208,INDEX(Riesgos!$A$7:$M$84,,MATCH(E$7,Riesgos!$A$6:$M$6,0)),0),MATCH(A$7,Riesgos!$A$6:$M$6,0)),"")</f>
        <v/>
      </c>
      <c r="B208" s="135" t="str">
        <f>IFERROR(INDEX(Riesgos!$A$7:$M$84,MATCH(E208,INDEX(Riesgos!$A$7:$M$84,,MATCH(E$7,Riesgos!$A$6:$M$6,0)),0),MATCH(B$7,Riesgos!$A$6:$M$6,0)),"")</f>
        <v/>
      </c>
      <c r="C208" s="135"/>
      <c r="D208" s="136" t="str">
        <f>IFERROR(INDEX(Riesgos!$A$7:$M$84,MATCH(E208,INDEX(Riesgos!$A$7:$M$84,,MATCH(E$7,Riesgos!$A$6:$M$6,0)),0),MATCH(D$7,Riesgos!$A$6:$M$6,0)),"")</f>
        <v/>
      </c>
      <c r="E208" s="137"/>
      <c r="F208" s="137"/>
      <c r="G208" s="138" t="str">
        <f t="shared" si="4"/>
        <v/>
      </c>
      <c r="H208" s="139"/>
      <c r="I208" s="153" t="str">
        <f>IF(A207=A208,IFERROR(IF(AND(#REF!="Probabilidad",#REF!="Probabilidad"),(#REF!-(+#REF!*#REF!)),IF(#REF!="Probabilidad",(#REF!-(+#REF!*#REF!)),IF(#REF!="Impacto",#REF!,""))),""),IFERROR(IF(#REF!="Probabilidad",(#REF!-(+#REF!*#REF!)),IF(#REF!="Impacto",#REF!,"")),""))</f>
        <v/>
      </c>
      <c r="J208" s="154" t="str">
        <f>IFERROR(IF(I208="","",IF(I208&lt;='Listas y tablas'!$L$3,"Muy Baja",IF(I208&lt;='Listas y tablas'!$L$4,"Baja",IF(I208&lt;='Listas y tablas'!$L$5,"Media",IF(I208&lt;='Listas y tablas'!$L$6,"Alta","Muy Alta"))))),"")</f>
        <v/>
      </c>
      <c r="K208" s="155"/>
      <c r="L208" s="156"/>
      <c r="M208" s="150"/>
      <c r="N208" s="151"/>
      <c r="O208" s="151"/>
      <c r="P208" s="152"/>
      <c r="Q208" s="162"/>
      <c r="R208" s="151"/>
      <c r="S208" s="151"/>
      <c r="T208" s="151"/>
      <c r="U208" s="151"/>
      <c r="V208" s="165"/>
      <c r="W208" s="150"/>
      <c r="X208" s="151"/>
      <c r="Y208" s="151"/>
      <c r="Z208" s="151"/>
      <c r="AA208" s="151"/>
      <c r="AB208" s="151"/>
      <c r="AC208" s="163"/>
      <c r="AD208" s="151"/>
      <c r="AE208" s="152"/>
      <c r="AF208" s="173"/>
      <c r="AG208" s="185"/>
      <c r="AH208" s="185"/>
      <c r="AI208" s="186"/>
      <c r="AJ208" s="181"/>
      <c r="AK208" s="181"/>
      <c r="AL208" s="183"/>
      <c r="AM208" s="173"/>
      <c r="AN208" s="187"/>
      <c r="AO208" s="195"/>
      <c r="AP208" s="193"/>
      <c r="AQ208" s="193"/>
      <c r="AR208" s="193"/>
      <c r="AS208" s="193"/>
      <c r="AT208" s="193"/>
      <c r="AU208" s="193"/>
      <c r="AV208" s="194"/>
      <c r="AW208" s="193"/>
      <c r="AX208" s="207"/>
      <c r="AY208" s="208"/>
      <c r="AZ208" s="209"/>
      <c r="BA208" s="209"/>
      <c r="BB208" s="209"/>
      <c r="BC208" s="206"/>
      <c r="BD208" s="206"/>
      <c r="BE208" s="213"/>
      <c r="BF208" s="217"/>
      <c r="BG208" s="209"/>
      <c r="BH208" s="218"/>
      <c r="BI208" s="215"/>
      <c r="BJ208" s="215"/>
      <c r="BK208" s="215"/>
      <c r="BL208" s="215"/>
      <c r="BM208" s="215"/>
      <c r="BN208" s="215"/>
      <c r="BO208" s="216"/>
      <c r="BP208" s="215"/>
      <c r="BQ208" s="228"/>
      <c r="BR208" s="229"/>
      <c r="BS208" s="230"/>
      <c r="BT208" s="230"/>
      <c r="BU208" s="230"/>
      <c r="BV208" s="227"/>
      <c r="BW208" s="227"/>
      <c r="BX208" s="234"/>
      <c r="BY208" s="229"/>
      <c r="BZ208" s="230"/>
      <c r="CA208" s="235"/>
    </row>
    <row r="209" spans="1:79" ht="151.5" customHeight="1">
      <c r="A209" s="134" t="str">
        <f>IFERROR(INDEX(Riesgos!$A$7:$M$84,MATCH(E209,INDEX(Riesgos!$A$7:$M$84,,MATCH(E$7,Riesgos!$A$6:$M$6,0)),0),MATCH(A$7,Riesgos!$A$6:$M$6,0)),"")</f>
        <v/>
      </c>
      <c r="B209" s="135" t="str">
        <f>IFERROR(INDEX(Riesgos!$A$7:$M$84,MATCH(E209,INDEX(Riesgos!$A$7:$M$84,,MATCH(E$7,Riesgos!$A$6:$M$6,0)),0),MATCH(B$7,Riesgos!$A$6:$M$6,0)),"")</f>
        <v/>
      </c>
      <c r="C209" s="135"/>
      <c r="D209" s="136" t="str">
        <f>IFERROR(INDEX(Riesgos!$A$7:$M$84,MATCH(E209,INDEX(Riesgos!$A$7:$M$84,,MATCH(E$7,Riesgos!$A$6:$M$6,0)),0),MATCH(D$7,Riesgos!$A$6:$M$6,0)),"")</f>
        <v/>
      </c>
      <c r="E209" s="137"/>
      <c r="F209" s="137"/>
      <c r="G209" s="138" t="str">
        <f t="shared" si="4"/>
        <v/>
      </c>
      <c r="H209" s="139"/>
      <c r="I209" s="153" t="str">
        <f>IF(A208=A209,IFERROR(IF(AND(#REF!="Probabilidad",#REF!="Probabilidad"),(#REF!-(+#REF!*#REF!)),IF(#REF!="Probabilidad",(#REF!-(+#REF!*#REF!)),IF(#REF!="Impacto",#REF!,""))),""),IFERROR(IF(#REF!="Probabilidad",(#REF!-(+#REF!*#REF!)),IF(#REF!="Impacto",#REF!,"")),""))</f>
        <v/>
      </c>
      <c r="J209" s="154" t="str">
        <f>IFERROR(IF(I209="","",IF(I209&lt;='Listas y tablas'!$L$3,"Muy Baja",IF(I209&lt;='Listas y tablas'!$L$4,"Baja",IF(I209&lt;='Listas y tablas'!$L$5,"Media",IF(I209&lt;='Listas y tablas'!$L$6,"Alta","Muy Alta"))))),"")</f>
        <v/>
      </c>
      <c r="K209" s="155"/>
      <c r="L209" s="156"/>
      <c r="M209" s="150"/>
      <c r="N209" s="151"/>
      <c r="O209" s="151"/>
      <c r="P209" s="152"/>
      <c r="Q209" s="162"/>
      <c r="R209" s="151"/>
      <c r="S209" s="151"/>
      <c r="T209" s="151"/>
      <c r="U209" s="151"/>
      <c r="V209" s="165"/>
      <c r="W209" s="150"/>
      <c r="X209" s="151"/>
      <c r="Y209" s="151"/>
      <c r="Z209" s="151"/>
      <c r="AA209" s="151"/>
      <c r="AB209" s="151"/>
      <c r="AC209" s="163"/>
      <c r="AD209" s="151"/>
      <c r="AE209" s="152"/>
      <c r="AF209" s="173"/>
      <c r="AG209" s="185"/>
      <c r="AH209" s="185"/>
      <c r="AI209" s="186"/>
      <c r="AJ209" s="181"/>
      <c r="AK209" s="181"/>
      <c r="AL209" s="183"/>
      <c r="AM209" s="173"/>
      <c r="AN209" s="187"/>
      <c r="AO209" s="195"/>
      <c r="AP209" s="193"/>
      <c r="AQ209" s="193"/>
      <c r="AR209" s="193"/>
      <c r="AS209" s="193"/>
      <c r="AT209" s="193"/>
      <c r="AU209" s="193"/>
      <c r="AV209" s="194"/>
      <c r="AW209" s="193"/>
      <c r="AX209" s="207"/>
      <c r="AY209" s="208"/>
      <c r="AZ209" s="209"/>
      <c r="BA209" s="209"/>
      <c r="BB209" s="209"/>
      <c r="BC209" s="206"/>
      <c r="BD209" s="206"/>
      <c r="BE209" s="213"/>
      <c r="BF209" s="217"/>
      <c r="BG209" s="209"/>
      <c r="BH209" s="218"/>
      <c r="BI209" s="215"/>
      <c r="BJ209" s="215"/>
      <c r="BK209" s="215"/>
      <c r="BL209" s="215"/>
      <c r="BM209" s="215"/>
      <c r="BN209" s="215"/>
      <c r="BO209" s="216"/>
      <c r="BP209" s="215"/>
      <c r="BQ209" s="228"/>
      <c r="BR209" s="229"/>
      <c r="BS209" s="230"/>
      <c r="BT209" s="230"/>
      <c r="BU209" s="230"/>
      <c r="BV209" s="227"/>
      <c r="BW209" s="227"/>
      <c r="BX209" s="234"/>
      <c r="BY209" s="229"/>
      <c r="BZ209" s="230"/>
      <c r="CA209" s="235"/>
    </row>
    <row r="210" spans="1:79" ht="151.5" customHeight="1">
      <c r="A210" s="134" t="str">
        <f>IFERROR(INDEX(Riesgos!$A$7:$M$84,MATCH(E210,INDEX(Riesgos!$A$7:$M$84,,MATCH(E$7,Riesgos!$A$6:$M$6,0)),0),MATCH(A$7,Riesgos!$A$6:$M$6,0)),"")</f>
        <v/>
      </c>
      <c r="B210" s="135" t="str">
        <f>IFERROR(INDEX(Riesgos!$A$7:$M$84,MATCH(E210,INDEX(Riesgos!$A$7:$M$84,,MATCH(E$7,Riesgos!$A$6:$M$6,0)),0),MATCH(B$7,Riesgos!$A$6:$M$6,0)),"")</f>
        <v/>
      </c>
      <c r="C210" s="135"/>
      <c r="D210" s="136" t="str">
        <f>IFERROR(INDEX(Riesgos!$A$7:$M$84,MATCH(E210,INDEX(Riesgos!$A$7:$M$84,,MATCH(E$7,Riesgos!$A$6:$M$6,0)),0),MATCH(D$7,Riesgos!$A$6:$M$6,0)),"")</f>
        <v/>
      </c>
      <c r="E210" s="137"/>
      <c r="F210" s="137"/>
      <c r="G210" s="138" t="str">
        <f t="shared" si="4"/>
        <v/>
      </c>
      <c r="H210" s="139"/>
      <c r="I210" s="153" t="str">
        <f>IF(A209=A210,IFERROR(IF(AND(#REF!="Probabilidad",#REF!="Probabilidad"),(#REF!-(+#REF!*#REF!)),IF(#REF!="Probabilidad",(#REF!-(+#REF!*#REF!)),IF(#REF!="Impacto",#REF!,""))),""),IFERROR(IF(#REF!="Probabilidad",(#REF!-(+#REF!*#REF!)),IF(#REF!="Impacto",#REF!,"")),""))</f>
        <v/>
      </c>
      <c r="J210" s="154" t="str">
        <f>IFERROR(IF(I210="","",IF(I210&lt;='Listas y tablas'!$L$3,"Muy Baja",IF(I210&lt;='Listas y tablas'!$L$4,"Baja",IF(I210&lt;='Listas y tablas'!$L$5,"Media",IF(I210&lt;='Listas y tablas'!$L$6,"Alta","Muy Alta"))))),"")</f>
        <v/>
      </c>
      <c r="K210" s="155"/>
      <c r="L210" s="156"/>
      <c r="M210" s="150"/>
      <c r="N210" s="151"/>
      <c r="O210" s="151"/>
      <c r="P210" s="152"/>
      <c r="Q210" s="162"/>
      <c r="R210" s="151"/>
      <c r="S210" s="151"/>
      <c r="T210" s="151"/>
      <c r="U210" s="151"/>
      <c r="V210" s="165"/>
      <c r="W210" s="150"/>
      <c r="X210" s="151"/>
      <c r="Y210" s="151"/>
      <c r="Z210" s="151"/>
      <c r="AA210" s="151"/>
      <c r="AB210" s="151"/>
      <c r="AC210" s="163"/>
      <c r="AD210" s="151"/>
      <c r="AE210" s="152"/>
      <c r="AF210" s="173"/>
      <c r="AG210" s="185"/>
      <c r="AH210" s="185"/>
      <c r="AI210" s="186"/>
      <c r="AJ210" s="181"/>
      <c r="AK210" s="181"/>
      <c r="AL210" s="183"/>
      <c r="AM210" s="173"/>
      <c r="AN210" s="187"/>
      <c r="AO210" s="195"/>
      <c r="AP210" s="193"/>
      <c r="AQ210" s="193"/>
      <c r="AR210" s="193"/>
      <c r="AS210" s="193"/>
      <c r="AT210" s="193"/>
      <c r="AU210" s="193"/>
      <c r="AV210" s="194"/>
      <c r="AW210" s="193"/>
      <c r="AX210" s="207"/>
      <c r="AY210" s="208"/>
      <c r="AZ210" s="209"/>
      <c r="BA210" s="209"/>
      <c r="BB210" s="209"/>
      <c r="BC210" s="206"/>
      <c r="BD210" s="206"/>
      <c r="BE210" s="213"/>
      <c r="BF210" s="217"/>
      <c r="BG210" s="209"/>
      <c r="BH210" s="218"/>
      <c r="BI210" s="215"/>
      <c r="BJ210" s="215"/>
      <c r="BK210" s="215"/>
      <c r="BL210" s="215"/>
      <c r="BM210" s="215"/>
      <c r="BN210" s="215"/>
      <c r="BO210" s="216"/>
      <c r="BP210" s="215"/>
      <c r="BQ210" s="228"/>
      <c r="BR210" s="229"/>
      <c r="BS210" s="230"/>
      <c r="BT210" s="230"/>
      <c r="BU210" s="230"/>
      <c r="BV210" s="227"/>
      <c r="BW210" s="227"/>
      <c r="BX210" s="234"/>
      <c r="BY210" s="229"/>
      <c r="BZ210" s="230"/>
      <c r="CA210" s="235"/>
    </row>
    <row r="211" spans="1:79" ht="151.5" customHeight="1">
      <c r="A211" s="134" t="str">
        <f>IFERROR(INDEX(Riesgos!$A$7:$M$84,MATCH(E211,INDEX(Riesgos!$A$7:$M$84,,MATCH(E$7,Riesgos!$A$6:$M$6,0)),0),MATCH(A$7,Riesgos!$A$6:$M$6,0)),"")</f>
        <v/>
      </c>
      <c r="B211" s="135" t="str">
        <f>IFERROR(INDEX(Riesgos!$A$7:$M$84,MATCH(E211,INDEX(Riesgos!$A$7:$M$84,,MATCH(E$7,Riesgos!$A$6:$M$6,0)),0),MATCH(B$7,Riesgos!$A$6:$M$6,0)),"")</f>
        <v/>
      </c>
      <c r="C211" s="135"/>
      <c r="D211" s="136" t="str">
        <f>IFERROR(INDEX(Riesgos!$A$7:$M$84,MATCH(E211,INDEX(Riesgos!$A$7:$M$84,,MATCH(E$7,Riesgos!$A$6:$M$6,0)),0),MATCH(D$7,Riesgos!$A$6:$M$6,0)),"")</f>
        <v/>
      </c>
      <c r="E211" s="137"/>
      <c r="F211" s="137"/>
      <c r="G211" s="138" t="str">
        <f t="shared" si="4"/>
        <v/>
      </c>
      <c r="H211" s="139"/>
      <c r="I211" s="153" t="str">
        <f>IF(A210=A211,IFERROR(IF(AND(#REF!="Probabilidad",#REF!="Probabilidad"),(#REF!-(+#REF!*#REF!)),IF(#REF!="Probabilidad",(#REF!-(+#REF!*#REF!)),IF(#REF!="Impacto",#REF!,""))),""),IFERROR(IF(#REF!="Probabilidad",(#REF!-(+#REF!*#REF!)),IF(#REF!="Impacto",#REF!,"")),""))</f>
        <v/>
      </c>
      <c r="J211" s="154" t="str">
        <f>IFERROR(IF(I211="","",IF(I211&lt;='Listas y tablas'!$L$3,"Muy Baja",IF(I211&lt;='Listas y tablas'!$L$4,"Baja",IF(I211&lt;='Listas y tablas'!$L$5,"Media",IF(I211&lt;='Listas y tablas'!$L$6,"Alta","Muy Alta"))))),"")</f>
        <v/>
      </c>
      <c r="K211" s="155"/>
      <c r="L211" s="156"/>
      <c r="M211" s="150"/>
      <c r="N211" s="151"/>
      <c r="O211" s="151"/>
      <c r="P211" s="152"/>
      <c r="Q211" s="162"/>
      <c r="R211" s="151"/>
      <c r="S211" s="151"/>
      <c r="T211" s="151"/>
      <c r="U211" s="151"/>
      <c r="V211" s="165"/>
      <c r="W211" s="150"/>
      <c r="X211" s="151"/>
      <c r="Y211" s="151"/>
      <c r="Z211" s="151"/>
      <c r="AA211" s="151"/>
      <c r="AB211" s="151"/>
      <c r="AC211" s="163"/>
      <c r="AD211" s="151"/>
      <c r="AE211" s="152"/>
      <c r="AF211" s="173"/>
      <c r="AG211" s="185"/>
      <c r="AH211" s="185"/>
      <c r="AI211" s="186"/>
      <c r="AJ211" s="181"/>
      <c r="AK211" s="181"/>
      <c r="AL211" s="183"/>
      <c r="AM211" s="173"/>
      <c r="AN211" s="187"/>
      <c r="AO211" s="195"/>
      <c r="AP211" s="193"/>
      <c r="AQ211" s="193"/>
      <c r="AR211" s="193"/>
      <c r="AS211" s="193"/>
      <c r="AT211" s="193"/>
      <c r="AU211" s="193"/>
      <c r="AV211" s="194"/>
      <c r="AW211" s="193"/>
      <c r="AX211" s="207"/>
      <c r="AY211" s="208"/>
      <c r="AZ211" s="209"/>
      <c r="BA211" s="209"/>
      <c r="BB211" s="209"/>
      <c r="BC211" s="206"/>
      <c r="BD211" s="206"/>
      <c r="BE211" s="213"/>
      <c r="BF211" s="217"/>
      <c r="BG211" s="209"/>
      <c r="BH211" s="218"/>
      <c r="BI211" s="215"/>
      <c r="BJ211" s="215"/>
      <c r="BK211" s="215"/>
      <c r="BL211" s="215"/>
      <c r="BM211" s="215"/>
      <c r="BN211" s="215"/>
      <c r="BO211" s="216"/>
      <c r="BP211" s="215"/>
      <c r="BQ211" s="228"/>
      <c r="BR211" s="229"/>
      <c r="BS211" s="230"/>
      <c r="BT211" s="230"/>
      <c r="BU211" s="230"/>
      <c r="BV211" s="227"/>
      <c r="BW211" s="227"/>
      <c r="BX211" s="234"/>
      <c r="BY211" s="229"/>
      <c r="BZ211" s="230"/>
      <c r="CA211" s="235"/>
    </row>
    <row r="212" spans="1:79" ht="151.5" customHeight="1">
      <c r="A212" s="134" t="str">
        <f>IFERROR(INDEX(Riesgos!$A$7:$M$84,MATCH(E212,INDEX(Riesgos!$A$7:$M$84,,MATCH(E$7,Riesgos!$A$6:$M$6,0)),0),MATCH(A$7,Riesgos!$A$6:$M$6,0)),"")</f>
        <v/>
      </c>
      <c r="B212" s="135" t="str">
        <f>IFERROR(INDEX(Riesgos!$A$7:$M$84,MATCH(E212,INDEX(Riesgos!$A$7:$M$84,,MATCH(E$7,Riesgos!$A$6:$M$6,0)),0),MATCH(B$7,Riesgos!$A$6:$M$6,0)),"")</f>
        <v/>
      </c>
      <c r="C212" s="135"/>
      <c r="D212" s="136" t="str">
        <f>IFERROR(INDEX(Riesgos!$A$7:$M$84,MATCH(E212,INDEX(Riesgos!$A$7:$M$84,,MATCH(E$7,Riesgos!$A$6:$M$6,0)),0),MATCH(D$7,Riesgos!$A$6:$M$6,0)),"")</f>
        <v/>
      </c>
      <c r="E212" s="137"/>
      <c r="F212" s="137"/>
      <c r="G212" s="138" t="str">
        <f t="shared" si="4"/>
        <v/>
      </c>
      <c r="H212" s="139"/>
      <c r="I212" s="153" t="str">
        <f>IF(A211=A212,IFERROR(IF(AND(#REF!="Probabilidad",#REF!="Probabilidad"),(#REF!-(+#REF!*#REF!)),IF(#REF!="Probabilidad",(#REF!-(+#REF!*#REF!)),IF(#REF!="Impacto",#REF!,""))),""),IFERROR(IF(#REF!="Probabilidad",(#REF!-(+#REF!*#REF!)),IF(#REF!="Impacto",#REF!,"")),""))</f>
        <v/>
      </c>
      <c r="J212" s="154" t="str">
        <f>IFERROR(IF(I212="","",IF(I212&lt;='Listas y tablas'!$L$3,"Muy Baja",IF(I212&lt;='Listas y tablas'!$L$4,"Baja",IF(I212&lt;='Listas y tablas'!$L$5,"Media",IF(I212&lt;='Listas y tablas'!$L$6,"Alta","Muy Alta"))))),"")</f>
        <v/>
      </c>
      <c r="K212" s="155"/>
      <c r="L212" s="156"/>
      <c r="M212" s="150"/>
      <c r="N212" s="151"/>
      <c r="O212" s="151"/>
      <c r="P212" s="152"/>
      <c r="Q212" s="162"/>
      <c r="R212" s="151"/>
      <c r="S212" s="151"/>
      <c r="T212" s="151"/>
      <c r="U212" s="151"/>
      <c r="V212" s="165"/>
      <c r="W212" s="150"/>
      <c r="X212" s="151"/>
      <c r="Y212" s="151"/>
      <c r="Z212" s="151"/>
      <c r="AA212" s="151"/>
      <c r="AB212" s="151"/>
      <c r="AC212" s="163"/>
      <c r="AD212" s="151"/>
      <c r="AE212" s="152"/>
      <c r="AF212" s="173"/>
      <c r="AG212" s="185"/>
      <c r="AH212" s="185"/>
      <c r="AI212" s="186"/>
      <c r="AJ212" s="181"/>
      <c r="AK212" s="181"/>
      <c r="AL212" s="183"/>
      <c r="AM212" s="173"/>
      <c r="AN212" s="187"/>
      <c r="AO212" s="195"/>
      <c r="AP212" s="193"/>
      <c r="AQ212" s="193"/>
      <c r="AR212" s="193"/>
      <c r="AS212" s="193"/>
      <c r="AT212" s="193"/>
      <c r="AU212" s="193"/>
      <c r="AV212" s="194"/>
      <c r="AW212" s="193"/>
      <c r="AX212" s="207"/>
      <c r="AY212" s="208"/>
      <c r="AZ212" s="209"/>
      <c r="BA212" s="209"/>
      <c r="BB212" s="209"/>
      <c r="BC212" s="206"/>
      <c r="BD212" s="206"/>
      <c r="BE212" s="213"/>
      <c r="BF212" s="217"/>
      <c r="BG212" s="209"/>
      <c r="BH212" s="218"/>
      <c r="BI212" s="215"/>
      <c r="BJ212" s="215"/>
      <c r="BK212" s="215"/>
      <c r="BL212" s="215"/>
      <c r="BM212" s="215"/>
      <c r="BN212" s="215"/>
      <c r="BO212" s="216"/>
      <c r="BP212" s="215"/>
      <c r="BQ212" s="228"/>
      <c r="BR212" s="229"/>
      <c r="BS212" s="230"/>
      <c r="BT212" s="230"/>
      <c r="BU212" s="230"/>
      <c r="BV212" s="227"/>
      <c r="BW212" s="227"/>
      <c r="BX212" s="234"/>
      <c r="BY212" s="229"/>
      <c r="BZ212" s="230"/>
      <c r="CA212" s="235"/>
    </row>
    <row r="213" spans="1:79" ht="151.5" customHeight="1">
      <c r="A213" s="134" t="str">
        <f>IFERROR(INDEX(Riesgos!$A$7:$M$84,MATCH(E213,INDEX(Riesgos!$A$7:$M$84,,MATCH(E$7,Riesgos!$A$6:$M$6,0)),0),MATCH(A$7,Riesgos!$A$6:$M$6,0)),"")</f>
        <v/>
      </c>
      <c r="B213" s="135" t="str">
        <f>IFERROR(INDEX(Riesgos!$A$7:$M$84,MATCH(E213,INDEX(Riesgos!$A$7:$M$84,,MATCH(E$7,Riesgos!$A$6:$M$6,0)),0),MATCH(B$7,Riesgos!$A$6:$M$6,0)),"")</f>
        <v/>
      </c>
      <c r="C213" s="135"/>
      <c r="D213" s="136" t="str">
        <f>IFERROR(INDEX(Riesgos!$A$7:$M$84,MATCH(E213,INDEX(Riesgos!$A$7:$M$84,,MATCH(E$7,Riesgos!$A$6:$M$6,0)),0),MATCH(D$7,Riesgos!$A$6:$M$6,0)),"")</f>
        <v/>
      </c>
      <c r="E213" s="137"/>
      <c r="F213" s="137"/>
      <c r="G213" s="138" t="str">
        <f t="shared" si="4"/>
        <v/>
      </c>
      <c r="H213" s="139"/>
      <c r="I213" s="153" t="str">
        <f>IF(A212=A213,IFERROR(IF(AND(#REF!="Probabilidad",#REF!="Probabilidad"),(#REF!-(+#REF!*#REF!)),IF(#REF!="Probabilidad",(#REF!-(+#REF!*#REF!)),IF(#REF!="Impacto",#REF!,""))),""),IFERROR(IF(#REF!="Probabilidad",(#REF!-(+#REF!*#REF!)),IF(#REF!="Impacto",#REF!,"")),""))</f>
        <v/>
      </c>
      <c r="J213" s="154" t="str">
        <f>IFERROR(IF(I213="","",IF(I213&lt;='Listas y tablas'!$L$3,"Muy Baja",IF(I213&lt;='Listas y tablas'!$L$4,"Baja",IF(I213&lt;='Listas y tablas'!$L$5,"Media",IF(I213&lt;='Listas y tablas'!$L$6,"Alta","Muy Alta"))))),"")</f>
        <v/>
      </c>
      <c r="K213" s="155"/>
      <c r="L213" s="156"/>
      <c r="M213" s="150"/>
      <c r="N213" s="151"/>
      <c r="O213" s="151"/>
      <c r="P213" s="152"/>
      <c r="Q213" s="162"/>
      <c r="R213" s="151"/>
      <c r="S213" s="151"/>
      <c r="T213" s="151"/>
      <c r="U213" s="151"/>
      <c r="V213" s="165"/>
      <c r="W213" s="150"/>
      <c r="X213" s="151"/>
      <c r="Y213" s="151"/>
      <c r="Z213" s="151"/>
      <c r="AA213" s="151"/>
      <c r="AB213" s="151"/>
      <c r="AC213" s="163"/>
      <c r="AD213" s="151"/>
      <c r="AE213" s="152"/>
      <c r="AF213" s="173"/>
      <c r="AG213" s="185"/>
      <c r="AH213" s="185"/>
      <c r="AI213" s="186"/>
      <c r="AJ213" s="181"/>
      <c r="AK213" s="181"/>
      <c r="AL213" s="183"/>
      <c r="AM213" s="173"/>
      <c r="AN213" s="187"/>
      <c r="AO213" s="195"/>
      <c r="AP213" s="193"/>
      <c r="AQ213" s="193"/>
      <c r="AR213" s="193"/>
      <c r="AS213" s="193"/>
      <c r="AT213" s="193"/>
      <c r="AU213" s="193"/>
      <c r="AV213" s="194"/>
      <c r="AW213" s="193"/>
      <c r="AX213" s="207"/>
      <c r="AY213" s="208"/>
      <c r="AZ213" s="209"/>
      <c r="BA213" s="209"/>
      <c r="BB213" s="209"/>
      <c r="BC213" s="206"/>
      <c r="BD213" s="206"/>
      <c r="BE213" s="213"/>
      <c r="BF213" s="217"/>
      <c r="BG213" s="209"/>
      <c r="BH213" s="218"/>
      <c r="BI213" s="215"/>
      <c r="BJ213" s="215"/>
      <c r="BK213" s="215"/>
      <c r="BL213" s="215"/>
      <c r="BM213" s="215"/>
      <c r="BN213" s="215"/>
      <c r="BO213" s="216"/>
      <c r="BP213" s="215"/>
      <c r="BQ213" s="228"/>
      <c r="BR213" s="229"/>
      <c r="BS213" s="230"/>
      <c r="BT213" s="230"/>
      <c r="BU213" s="230"/>
      <c r="BV213" s="227"/>
      <c r="BW213" s="227"/>
      <c r="BX213" s="234"/>
      <c r="BY213" s="229"/>
      <c r="BZ213" s="230"/>
      <c r="CA213" s="235"/>
    </row>
    <row r="214" spans="1:79" ht="151.5" customHeight="1">
      <c r="A214" s="134" t="str">
        <f>IFERROR(INDEX(Riesgos!$A$7:$M$84,MATCH(E214,INDEX(Riesgos!$A$7:$M$84,,MATCH(E$7,Riesgos!$A$6:$M$6,0)),0),MATCH(A$7,Riesgos!$A$6:$M$6,0)),"")</f>
        <v/>
      </c>
      <c r="B214" s="135" t="str">
        <f>IFERROR(INDEX(Riesgos!$A$7:$M$84,MATCH(E214,INDEX(Riesgos!$A$7:$M$84,,MATCH(E$7,Riesgos!$A$6:$M$6,0)),0),MATCH(B$7,Riesgos!$A$6:$M$6,0)),"")</f>
        <v/>
      </c>
      <c r="C214" s="135"/>
      <c r="D214" s="136" t="str">
        <f>IFERROR(INDEX(Riesgos!$A$7:$M$84,MATCH(E214,INDEX(Riesgos!$A$7:$M$84,,MATCH(E$7,Riesgos!$A$6:$M$6,0)),0),MATCH(D$7,Riesgos!$A$6:$M$6,0)),"")</f>
        <v/>
      </c>
      <c r="E214" s="137"/>
      <c r="F214" s="137"/>
      <c r="G214" s="138" t="str">
        <f t="shared" si="4"/>
        <v/>
      </c>
      <c r="H214" s="139"/>
      <c r="I214" s="153" t="str">
        <f>IF(A213=A214,IFERROR(IF(AND(#REF!="Probabilidad",#REF!="Probabilidad"),(#REF!-(+#REF!*#REF!)),IF(#REF!="Probabilidad",(#REF!-(+#REF!*#REF!)),IF(#REF!="Impacto",#REF!,""))),""),IFERROR(IF(#REF!="Probabilidad",(#REF!-(+#REF!*#REF!)),IF(#REF!="Impacto",#REF!,"")),""))</f>
        <v/>
      </c>
      <c r="J214" s="154" t="str">
        <f>IFERROR(IF(I214="","",IF(I214&lt;='Listas y tablas'!$L$3,"Muy Baja",IF(I214&lt;='Listas y tablas'!$L$4,"Baja",IF(I214&lt;='Listas y tablas'!$L$5,"Media",IF(I214&lt;='Listas y tablas'!$L$6,"Alta","Muy Alta"))))),"")</f>
        <v/>
      </c>
      <c r="K214" s="155"/>
      <c r="L214" s="156"/>
      <c r="M214" s="150"/>
      <c r="N214" s="151"/>
      <c r="O214" s="151"/>
      <c r="P214" s="152"/>
      <c r="Q214" s="162"/>
      <c r="R214" s="151"/>
      <c r="S214" s="151"/>
      <c r="T214" s="151"/>
      <c r="U214" s="151"/>
      <c r="V214" s="165"/>
      <c r="W214" s="150"/>
      <c r="X214" s="151"/>
      <c r="Y214" s="151"/>
      <c r="Z214" s="151"/>
      <c r="AA214" s="151"/>
      <c r="AB214" s="151"/>
      <c r="AC214" s="163"/>
      <c r="AD214" s="151"/>
      <c r="AE214" s="152"/>
      <c r="AF214" s="173"/>
      <c r="AG214" s="185"/>
      <c r="AH214" s="185"/>
      <c r="AI214" s="186"/>
      <c r="AJ214" s="181"/>
      <c r="AK214" s="181"/>
      <c r="AL214" s="183"/>
      <c r="AM214" s="173"/>
      <c r="AN214" s="187"/>
      <c r="AO214" s="195"/>
      <c r="AP214" s="193"/>
      <c r="AQ214" s="193"/>
      <c r="AR214" s="193"/>
      <c r="AS214" s="193"/>
      <c r="AT214" s="193"/>
      <c r="AU214" s="193"/>
      <c r="AV214" s="194"/>
      <c r="AW214" s="193"/>
      <c r="AX214" s="207"/>
      <c r="AY214" s="208"/>
      <c r="AZ214" s="209"/>
      <c r="BA214" s="209"/>
      <c r="BB214" s="209"/>
      <c r="BC214" s="206"/>
      <c r="BD214" s="206"/>
      <c r="BE214" s="213"/>
      <c r="BF214" s="217"/>
      <c r="BG214" s="209"/>
      <c r="BH214" s="218"/>
      <c r="BI214" s="215"/>
      <c r="BJ214" s="215"/>
      <c r="BK214" s="215"/>
      <c r="BL214" s="215"/>
      <c r="BM214" s="215"/>
      <c r="BN214" s="215"/>
      <c r="BO214" s="216"/>
      <c r="BP214" s="215"/>
      <c r="BQ214" s="228"/>
      <c r="BR214" s="229"/>
      <c r="BS214" s="230"/>
      <c r="BT214" s="230"/>
      <c r="BU214" s="230"/>
      <c r="BV214" s="227"/>
      <c r="BW214" s="227"/>
      <c r="BX214" s="234"/>
      <c r="BY214" s="229"/>
      <c r="BZ214" s="230"/>
      <c r="CA214" s="235"/>
    </row>
    <row r="215" spans="1:79" ht="151.5" customHeight="1">
      <c r="A215" s="134" t="str">
        <f>IFERROR(INDEX(Riesgos!$A$7:$M$84,MATCH(E215,INDEX(Riesgos!$A$7:$M$84,,MATCH(E$7,Riesgos!$A$6:$M$6,0)),0),MATCH(A$7,Riesgos!$A$6:$M$6,0)),"")</f>
        <v/>
      </c>
      <c r="B215" s="135" t="str">
        <f>IFERROR(INDEX(Riesgos!$A$7:$M$84,MATCH(E215,INDEX(Riesgos!$A$7:$M$84,,MATCH(E$7,Riesgos!$A$6:$M$6,0)),0),MATCH(B$7,Riesgos!$A$6:$M$6,0)),"")</f>
        <v/>
      </c>
      <c r="C215" s="135"/>
      <c r="D215" s="136" t="str">
        <f>IFERROR(INDEX(Riesgos!$A$7:$M$84,MATCH(E215,INDEX(Riesgos!$A$7:$M$84,,MATCH(E$7,Riesgos!$A$6:$M$6,0)),0),MATCH(D$7,Riesgos!$A$6:$M$6,0)),"")</f>
        <v/>
      </c>
      <c r="E215" s="137"/>
      <c r="F215" s="137"/>
      <c r="G215" s="138" t="str">
        <f t="shared" si="4"/>
        <v/>
      </c>
      <c r="H215" s="139"/>
      <c r="I215" s="153" t="str">
        <f>IF(A214=A215,IFERROR(IF(AND(#REF!="Probabilidad",#REF!="Probabilidad"),(#REF!-(+#REF!*#REF!)),IF(#REF!="Probabilidad",(#REF!-(+#REF!*#REF!)),IF(#REF!="Impacto",#REF!,""))),""),IFERROR(IF(#REF!="Probabilidad",(#REF!-(+#REF!*#REF!)),IF(#REF!="Impacto",#REF!,"")),""))</f>
        <v/>
      </c>
      <c r="J215" s="154" t="str">
        <f>IFERROR(IF(I215="","",IF(I215&lt;='Listas y tablas'!$L$3,"Muy Baja",IF(I215&lt;='Listas y tablas'!$L$4,"Baja",IF(I215&lt;='Listas y tablas'!$L$5,"Media",IF(I215&lt;='Listas y tablas'!$L$6,"Alta","Muy Alta"))))),"")</f>
        <v/>
      </c>
      <c r="K215" s="155"/>
      <c r="L215" s="156"/>
      <c r="M215" s="150"/>
      <c r="N215" s="151"/>
      <c r="O215" s="151"/>
      <c r="P215" s="152"/>
      <c r="Q215" s="162"/>
      <c r="R215" s="151"/>
      <c r="S215" s="151"/>
      <c r="T215" s="151"/>
      <c r="U215" s="151"/>
      <c r="V215" s="165"/>
      <c r="W215" s="150"/>
      <c r="X215" s="151"/>
      <c r="Y215" s="151"/>
      <c r="Z215" s="151"/>
      <c r="AA215" s="151"/>
      <c r="AB215" s="151"/>
      <c r="AC215" s="163"/>
      <c r="AD215" s="151"/>
      <c r="AE215" s="152"/>
      <c r="AF215" s="173"/>
      <c r="AG215" s="185"/>
      <c r="AH215" s="185"/>
      <c r="AI215" s="186"/>
      <c r="AJ215" s="181"/>
      <c r="AK215" s="181"/>
      <c r="AL215" s="183"/>
      <c r="AM215" s="173"/>
      <c r="AN215" s="187"/>
      <c r="AO215" s="195"/>
      <c r="AP215" s="193"/>
      <c r="AQ215" s="193"/>
      <c r="AR215" s="193"/>
      <c r="AS215" s="193"/>
      <c r="AT215" s="193"/>
      <c r="AU215" s="193"/>
      <c r="AV215" s="194"/>
      <c r="AW215" s="193"/>
      <c r="AX215" s="207"/>
      <c r="AY215" s="208"/>
      <c r="AZ215" s="209"/>
      <c r="BA215" s="209"/>
      <c r="BB215" s="209"/>
      <c r="BC215" s="206"/>
      <c r="BD215" s="206"/>
      <c r="BE215" s="213"/>
      <c r="BF215" s="217"/>
      <c r="BG215" s="209"/>
      <c r="BH215" s="218"/>
      <c r="BI215" s="215"/>
      <c r="BJ215" s="215"/>
      <c r="BK215" s="215"/>
      <c r="BL215" s="215"/>
      <c r="BM215" s="215"/>
      <c r="BN215" s="215"/>
      <c r="BO215" s="216"/>
      <c r="BP215" s="215"/>
      <c r="BQ215" s="228"/>
      <c r="BR215" s="229"/>
      <c r="BS215" s="230"/>
      <c r="BT215" s="230"/>
      <c r="BU215" s="230"/>
      <c r="BV215" s="227"/>
      <c r="BW215" s="227"/>
      <c r="BX215" s="234"/>
      <c r="BY215" s="229"/>
      <c r="BZ215" s="230"/>
      <c r="CA215" s="235"/>
    </row>
    <row r="216" spans="1:79" ht="151.5" customHeight="1">
      <c r="A216" s="134" t="str">
        <f>IFERROR(INDEX(Riesgos!$A$7:$M$84,MATCH(E216,INDEX(Riesgos!$A$7:$M$84,,MATCH(E$7,Riesgos!$A$6:$M$6,0)),0),MATCH(A$7,Riesgos!$A$6:$M$6,0)),"")</f>
        <v/>
      </c>
      <c r="B216" s="135" t="str">
        <f>IFERROR(INDEX(Riesgos!$A$7:$M$84,MATCH(E216,INDEX(Riesgos!$A$7:$M$84,,MATCH(E$7,Riesgos!$A$6:$M$6,0)),0),MATCH(B$7,Riesgos!$A$6:$M$6,0)),"")</f>
        <v/>
      </c>
      <c r="C216" s="135"/>
      <c r="D216" s="136" t="str">
        <f>IFERROR(INDEX(Riesgos!$A$7:$M$84,MATCH(E216,INDEX(Riesgos!$A$7:$M$84,,MATCH(E$7,Riesgos!$A$6:$M$6,0)),0),MATCH(D$7,Riesgos!$A$6:$M$6,0)),"")</f>
        <v/>
      </c>
      <c r="E216" s="137"/>
      <c r="F216" s="137"/>
      <c r="G216" s="138" t="str">
        <f t="shared" si="4"/>
        <v/>
      </c>
      <c r="H216" s="139"/>
      <c r="I216" s="153" t="str">
        <f>IF(A215=A216,IFERROR(IF(AND(#REF!="Probabilidad",#REF!="Probabilidad"),(#REF!-(+#REF!*#REF!)),IF(#REF!="Probabilidad",(#REF!-(+#REF!*#REF!)),IF(#REF!="Impacto",#REF!,""))),""),IFERROR(IF(#REF!="Probabilidad",(#REF!-(+#REF!*#REF!)),IF(#REF!="Impacto",#REF!,"")),""))</f>
        <v/>
      </c>
      <c r="J216" s="154" t="str">
        <f>IFERROR(IF(I216="","",IF(I216&lt;='Listas y tablas'!$L$3,"Muy Baja",IF(I216&lt;='Listas y tablas'!$L$4,"Baja",IF(I216&lt;='Listas y tablas'!$L$5,"Media",IF(I216&lt;='Listas y tablas'!$L$6,"Alta","Muy Alta"))))),"")</f>
        <v/>
      </c>
      <c r="K216" s="155"/>
      <c r="L216" s="156"/>
      <c r="M216" s="150"/>
      <c r="N216" s="151"/>
      <c r="O216" s="151"/>
      <c r="P216" s="152"/>
      <c r="Q216" s="162"/>
      <c r="R216" s="151"/>
      <c r="S216" s="151"/>
      <c r="T216" s="151"/>
      <c r="U216" s="151"/>
      <c r="V216" s="165"/>
      <c r="W216" s="150"/>
      <c r="X216" s="151"/>
      <c r="Y216" s="151"/>
      <c r="Z216" s="151"/>
      <c r="AA216" s="151"/>
      <c r="AB216" s="151"/>
      <c r="AC216" s="163"/>
      <c r="AD216" s="151"/>
      <c r="AE216" s="152"/>
      <c r="AF216" s="173"/>
      <c r="AG216" s="185"/>
      <c r="AH216" s="185"/>
      <c r="AI216" s="186"/>
      <c r="AJ216" s="181"/>
      <c r="AK216" s="181"/>
      <c r="AL216" s="183"/>
      <c r="AM216" s="173"/>
      <c r="AN216" s="187"/>
      <c r="AO216" s="195"/>
      <c r="AP216" s="193"/>
      <c r="AQ216" s="193"/>
      <c r="AR216" s="193"/>
      <c r="AS216" s="193"/>
      <c r="AT216" s="193"/>
      <c r="AU216" s="193"/>
      <c r="AV216" s="194"/>
      <c r="AW216" s="193"/>
      <c r="AX216" s="207"/>
      <c r="AY216" s="208"/>
      <c r="AZ216" s="209"/>
      <c r="BA216" s="209"/>
      <c r="BB216" s="209"/>
      <c r="BC216" s="206"/>
      <c r="BD216" s="206"/>
      <c r="BE216" s="213"/>
      <c r="BF216" s="217"/>
      <c r="BG216" s="209"/>
      <c r="BH216" s="218"/>
      <c r="BI216" s="215"/>
      <c r="BJ216" s="215"/>
      <c r="BK216" s="215"/>
      <c r="BL216" s="215"/>
      <c r="BM216" s="215"/>
      <c r="BN216" s="215"/>
      <c r="BO216" s="216"/>
      <c r="BP216" s="215"/>
      <c r="BQ216" s="228"/>
      <c r="BR216" s="229"/>
      <c r="BS216" s="230"/>
      <c r="BT216" s="230"/>
      <c r="BU216" s="230"/>
      <c r="BV216" s="227"/>
      <c r="BW216" s="227"/>
      <c r="BX216" s="234"/>
      <c r="BY216" s="229"/>
      <c r="BZ216" s="230"/>
      <c r="CA216" s="235"/>
    </row>
    <row r="217" spans="1:79" ht="151.5" customHeight="1">
      <c r="A217" s="134" t="str">
        <f>IFERROR(INDEX(Riesgos!$A$7:$M$84,MATCH(E217,INDEX(Riesgos!$A$7:$M$84,,MATCH(E$7,Riesgos!$A$6:$M$6,0)),0),MATCH(A$7,Riesgos!$A$6:$M$6,0)),"")</f>
        <v/>
      </c>
      <c r="B217" s="135" t="str">
        <f>IFERROR(INDEX(Riesgos!$A$7:$M$84,MATCH(E217,INDEX(Riesgos!$A$7:$M$84,,MATCH(E$7,Riesgos!$A$6:$M$6,0)),0),MATCH(B$7,Riesgos!$A$6:$M$6,0)),"")</f>
        <v/>
      </c>
      <c r="C217" s="135"/>
      <c r="D217" s="136" t="str">
        <f>IFERROR(INDEX(Riesgos!$A$7:$M$84,MATCH(E217,INDEX(Riesgos!$A$7:$M$84,,MATCH(E$7,Riesgos!$A$6:$M$6,0)),0),MATCH(D$7,Riesgos!$A$6:$M$6,0)),"")</f>
        <v/>
      </c>
      <c r="E217" s="137"/>
      <c r="F217" s="137"/>
      <c r="G217" s="138" t="str">
        <f t="shared" si="4"/>
        <v/>
      </c>
      <c r="H217" s="139"/>
      <c r="I217" s="153" t="str">
        <f>IF(A216=A217,IFERROR(IF(AND(#REF!="Probabilidad",#REF!="Probabilidad"),(#REF!-(+#REF!*#REF!)),IF(#REF!="Probabilidad",(#REF!-(+#REF!*#REF!)),IF(#REF!="Impacto",#REF!,""))),""),IFERROR(IF(#REF!="Probabilidad",(#REF!-(+#REF!*#REF!)),IF(#REF!="Impacto",#REF!,"")),""))</f>
        <v/>
      </c>
      <c r="J217" s="154" t="str">
        <f>IFERROR(IF(I217="","",IF(I217&lt;='Listas y tablas'!$L$3,"Muy Baja",IF(I217&lt;='Listas y tablas'!$L$4,"Baja",IF(I217&lt;='Listas y tablas'!$L$5,"Media",IF(I217&lt;='Listas y tablas'!$L$6,"Alta","Muy Alta"))))),"")</f>
        <v/>
      </c>
      <c r="K217" s="155"/>
      <c r="L217" s="156"/>
      <c r="M217" s="150"/>
      <c r="N217" s="151"/>
      <c r="O217" s="151"/>
      <c r="P217" s="152"/>
      <c r="Q217" s="162"/>
      <c r="R217" s="151"/>
      <c r="S217" s="151"/>
      <c r="T217" s="151"/>
      <c r="U217" s="151"/>
      <c r="V217" s="165"/>
      <c r="W217" s="150"/>
      <c r="X217" s="151"/>
      <c r="Y217" s="151"/>
      <c r="Z217" s="151"/>
      <c r="AA217" s="151"/>
      <c r="AB217" s="151"/>
      <c r="AC217" s="163"/>
      <c r="AD217" s="151"/>
      <c r="AE217" s="152"/>
      <c r="AF217" s="173"/>
      <c r="AG217" s="185"/>
      <c r="AH217" s="185"/>
      <c r="AI217" s="186"/>
      <c r="AJ217" s="181"/>
      <c r="AK217" s="181"/>
      <c r="AL217" s="183"/>
      <c r="AM217" s="173"/>
      <c r="AN217" s="187"/>
      <c r="AO217" s="195"/>
      <c r="AP217" s="193"/>
      <c r="AQ217" s="193"/>
      <c r="AR217" s="193"/>
      <c r="AS217" s="193"/>
      <c r="AT217" s="193"/>
      <c r="AU217" s="193"/>
      <c r="AV217" s="194"/>
      <c r="AW217" s="193"/>
      <c r="AX217" s="207"/>
      <c r="AY217" s="208"/>
      <c r="AZ217" s="209"/>
      <c r="BA217" s="209"/>
      <c r="BB217" s="209"/>
      <c r="BC217" s="206"/>
      <c r="BD217" s="206"/>
      <c r="BE217" s="213"/>
      <c r="BF217" s="217"/>
      <c r="BG217" s="209"/>
      <c r="BH217" s="218"/>
      <c r="BI217" s="215"/>
      <c r="BJ217" s="215"/>
      <c r="BK217" s="215"/>
      <c r="BL217" s="215"/>
      <c r="BM217" s="215"/>
      <c r="BN217" s="215"/>
      <c r="BO217" s="216"/>
      <c r="BP217" s="215"/>
      <c r="BQ217" s="228"/>
      <c r="BR217" s="229"/>
      <c r="BS217" s="230"/>
      <c r="BT217" s="230"/>
      <c r="BU217" s="230"/>
      <c r="BV217" s="227"/>
      <c r="BW217" s="227"/>
      <c r="BX217" s="234"/>
      <c r="BY217" s="229"/>
      <c r="BZ217" s="230"/>
      <c r="CA217" s="235"/>
    </row>
    <row r="218" spans="1:79" ht="151.5" customHeight="1">
      <c r="A218" s="134" t="str">
        <f>IFERROR(INDEX(Riesgos!$A$7:$M$84,MATCH(E218,INDEX(Riesgos!$A$7:$M$84,,MATCH(E$7,Riesgos!$A$6:$M$6,0)),0),MATCH(A$7,Riesgos!$A$6:$M$6,0)),"")</f>
        <v/>
      </c>
      <c r="B218" s="135" t="str">
        <f>IFERROR(INDEX(Riesgos!$A$7:$M$84,MATCH(E218,INDEX(Riesgos!$A$7:$M$84,,MATCH(E$7,Riesgos!$A$6:$M$6,0)),0),MATCH(B$7,Riesgos!$A$6:$M$6,0)),"")</f>
        <v/>
      </c>
      <c r="C218" s="135"/>
      <c r="D218" s="136" t="str">
        <f>IFERROR(INDEX(Riesgos!$A$7:$M$84,MATCH(E218,INDEX(Riesgos!$A$7:$M$84,,MATCH(E$7,Riesgos!$A$6:$M$6,0)),0),MATCH(D$7,Riesgos!$A$6:$M$6,0)),"")</f>
        <v/>
      </c>
      <c r="E218" s="137"/>
      <c r="F218" s="137"/>
      <c r="G218" s="138" t="str">
        <f t="shared" si="4"/>
        <v/>
      </c>
      <c r="H218" s="139"/>
      <c r="I218" s="153" t="str">
        <f>IF(A217=A218,IFERROR(IF(AND(#REF!="Probabilidad",#REF!="Probabilidad"),(#REF!-(+#REF!*#REF!)),IF(#REF!="Probabilidad",(#REF!-(+#REF!*#REF!)),IF(#REF!="Impacto",#REF!,""))),""),IFERROR(IF(#REF!="Probabilidad",(#REF!-(+#REF!*#REF!)),IF(#REF!="Impacto",#REF!,"")),""))</f>
        <v/>
      </c>
      <c r="J218" s="154" t="str">
        <f>IFERROR(IF(I218="","",IF(I218&lt;='Listas y tablas'!$L$3,"Muy Baja",IF(I218&lt;='Listas y tablas'!$L$4,"Baja",IF(I218&lt;='Listas y tablas'!$L$5,"Media",IF(I218&lt;='Listas y tablas'!$L$6,"Alta","Muy Alta"))))),"")</f>
        <v/>
      </c>
      <c r="K218" s="155"/>
      <c r="L218" s="156"/>
      <c r="M218" s="150"/>
      <c r="N218" s="151"/>
      <c r="O218" s="151"/>
      <c r="P218" s="152"/>
      <c r="Q218" s="162"/>
      <c r="R218" s="151"/>
      <c r="S218" s="151"/>
      <c r="T218" s="151"/>
      <c r="U218" s="151"/>
      <c r="V218" s="165"/>
      <c r="W218" s="150"/>
      <c r="X218" s="151"/>
      <c r="Y218" s="151"/>
      <c r="Z218" s="151"/>
      <c r="AA218" s="151"/>
      <c r="AB218" s="151"/>
      <c r="AC218" s="163"/>
      <c r="AD218" s="151"/>
      <c r="AE218" s="152"/>
      <c r="AF218" s="173"/>
      <c r="AG218" s="185"/>
      <c r="AH218" s="185"/>
      <c r="AI218" s="186"/>
      <c r="AJ218" s="181"/>
      <c r="AK218" s="181"/>
      <c r="AL218" s="183"/>
      <c r="AM218" s="173"/>
      <c r="AN218" s="187"/>
      <c r="AO218" s="195"/>
      <c r="AP218" s="193"/>
      <c r="AQ218" s="193"/>
      <c r="AR218" s="193"/>
      <c r="AS218" s="193"/>
      <c r="AT218" s="193"/>
      <c r="AU218" s="193"/>
      <c r="AV218" s="194"/>
      <c r="AW218" s="193"/>
      <c r="AX218" s="207"/>
      <c r="AY218" s="208"/>
      <c r="AZ218" s="209"/>
      <c r="BA218" s="209"/>
      <c r="BB218" s="209"/>
      <c r="BC218" s="206"/>
      <c r="BD218" s="206"/>
      <c r="BE218" s="213"/>
      <c r="BF218" s="217"/>
      <c r="BG218" s="209"/>
      <c r="BH218" s="218"/>
      <c r="BI218" s="215"/>
      <c r="BJ218" s="215"/>
      <c r="BK218" s="215"/>
      <c r="BL218" s="215"/>
      <c r="BM218" s="215"/>
      <c r="BN218" s="215"/>
      <c r="BO218" s="216"/>
      <c r="BP218" s="215"/>
      <c r="BQ218" s="228"/>
      <c r="BR218" s="229"/>
      <c r="BS218" s="230"/>
      <c r="BT218" s="230"/>
      <c r="BU218" s="230"/>
      <c r="BV218" s="227"/>
      <c r="BW218" s="227"/>
      <c r="BX218" s="234"/>
      <c r="BY218" s="229"/>
      <c r="BZ218" s="230"/>
      <c r="CA218" s="235"/>
    </row>
    <row r="219" spans="1:79" ht="151.5" customHeight="1">
      <c r="A219" s="134" t="str">
        <f>IFERROR(INDEX(Riesgos!$A$7:$M$84,MATCH(E219,INDEX(Riesgos!$A$7:$M$84,,MATCH(E$7,Riesgos!$A$6:$M$6,0)),0),MATCH(A$7,Riesgos!$A$6:$M$6,0)),"")</f>
        <v/>
      </c>
      <c r="B219" s="135" t="str">
        <f>IFERROR(INDEX(Riesgos!$A$7:$M$84,MATCH(E219,INDEX(Riesgos!$A$7:$M$84,,MATCH(E$7,Riesgos!$A$6:$M$6,0)),0),MATCH(B$7,Riesgos!$A$6:$M$6,0)),"")</f>
        <v/>
      </c>
      <c r="C219" s="135"/>
      <c r="D219" s="136" t="str">
        <f>IFERROR(INDEX(Riesgos!$A$7:$M$84,MATCH(E219,INDEX(Riesgos!$A$7:$M$84,,MATCH(E$7,Riesgos!$A$6:$M$6,0)),0),MATCH(D$7,Riesgos!$A$6:$M$6,0)),"")</f>
        <v/>
      </c>
      <c r="E219" s="137"/>
      <c r="F219" s="137"/>
      <c r="G219" s="138" t="str">
        <f t="shared" si="4"/>
        <v/>
      </c>
      <c r="H219" s="139"/>
      <c r="I219" s="153" t="str">
        <f>IF(A218=A219,IFERROR(IF(AND(#REF!="Probabilidad",#REF!="Probabilidad"),(#REF!-(+#REF!*#REF!)),IF(#REF!="Probabilidad",(#REF!-(+#REF!*#REF!)),IF(#REF!="Impacto",#REF!,""))),""),IFERROR(IF(#REF!="Probabilidad",(#REF!-(+#REF!*#REF!)),IF(#REF!="Impacto",#REF!,"")),""))</f>
        <v/>
      </c>
      <c r="J219" s="154" t="str">
        <f>IFERROR(IF(I219="","",IF(I219&lt;='Listas y tablas'!$L$3,"Muy Baja",IF(I219&lt;='Listas y tablas'!$L$4,"Baja",IF(I219&lt;='Listas y tablas'!$L$5,"Media",IF(I219&lt;='Listas y tablas'!$L$6,"Alta","Muy Alta"))))),"")</f>
        <v/>
      </c>
      <c r="K219" s="155"/>
      <c r="L219" s="156"/>
      <c r="M219" s="150"/>
      <c r="N219" s="151"/>
      <c r="O219" s="151"/>
      <c r="P219" s="152"/>
      <c r="Q219" s="162"/>
      <c r="R219" s="151"/>
      <c r="S219" s="151"/>
      <c r="T219" s="151"/>
      <c r="U219" s="151"/>
      <c r="V219" s="165"/>
      <c r="W219" s="150"/>
      <c r="X219" s="151"/>
      <c r="Y219" s="151"/>
      <c r="Z219" s="151"/>
      <c r="AA219" s="151"/>
      <c r="AB219" s="151"/>
      <c r="AC219" s="163"/>
      <c r="AD219" s="151"/>
      <c r="AE219" s="152"/>
      <c r="AF219" s="173"/>
      <c r="AG219" s="185"/>
      <c r="AH219" s="185"/>
      <c r="AI219" s="186"/>
      <c r="AJ219" s="181"/>
      <c r="AK219" s="181"/>
      <c r="AL219" s="183"/>
      <c r="AM219" s="173"/>
      <c r="AN219" s="187"/>
      <c r="AO219" s="195"/>
      <c r="AP219" s="193"/>
      <c r="AQ219" s="193"/>
      <c r="AR219" s="193"/>
      <c r="AS219" s="193"/>
      <c r="AT219" s="193"/>
      <c r="AU219" s="193"/>
      <c r="AV219" s="194"/>
      <c r="AW219" s="193"/>
      <c r="AX219" s="207"/>
      <c r="AY219" s="208"/>
      <c r="AZ219" s="209"/>
      <c r="BA219" s="209"/>
      <c r="BB219" s="209"/>
      <c r="BC219" s="206"/>
      <c r="BD219" s="206"/>
      <c r="BE219" s="213"/>
      <c r="BF219" s="217"/>
      <c r="BG219" s="209"/>
      <c r="BH219" s="218"/>
      <c r="BI219" s="215"/>
      <c r="BJ219" s="215"/>
      <c r="BK219" s="215"/>
      <c r="BL219" s="215"/>
      <c r="BM219" s="215"/>
      <c r="BN219" s="215"/>
      <c r="BO219" s="216"/>
      <c r="BP219" s="215"/>
      <c r="BQ219" s="228"/>
      <c r="BR219" s="229"/>
      <c r="BS219" s="230"/>
      <c r="BT219" s="230"/>
      <c r="BU219" s="230"/>
      <c r="BV219" s="227"/>
      <c r="BW219" s="227"/>
      <c r="BX219" s="234"/>
      <c r="BY219" s="229"/>
      <c r="BZ219" s="230"/>
      <c r="CA219" s="235"/>
    </row>
    <row r="220" spans="1:79" ht="151.5" customHeight="1">
      <c r="A220" s="134" t="str">
        <f>IFERROR(INDEX(Riesgos!$A$7:$M$84,MATCH(E220,INDEX(Riesgos!$A$7:$M$84,,MATCH(E$7,Riesgos!$A$6:$M$6,0)),0),MATCH(A$7,Riesgos!$A$6:$M$6,0)),"")</f>
        <v/>
      </c>
      <c r="B220" s="135" t="str">
        <f>IFERROR(INDEX(Riesgos!$A$7:$M$84,MATCH(E220,INDEX(Riesgos!$A$7:$M$84,,MATCH(E$7,Riesgos!$A$6:$M$6,0)),0),MATCH(B$7,Riesgos!$A$6:$M$6,0)),"")</f>
        <v/>
      </c>
      <c r="C220" s="135"/>
      <c r="D220" s="136" t="str">
        <f>IFERROR(INDEX(Riesgos!$A$7:$M$84,MATCH(E220,INDEX(Riesgos!$A$7:$M$84,,MATCH(E$7,Riesgos!$A$6:$M$6,0)),0),MATCH(D$7,Riesgos!$A$6:$M$6,0)),"")</f>
        <v/>
      </c>
      <c r="E220" s="137"/>
      <c r="F220" s="137"/>
      <c r="G220" s="138" t="str">
        <f t="shared" si="4"/>
        <v/>
      </c>
      <c r="H220" s="139"/>
      <c r="I220" s="153" t="str">
        <f>IF(A219=A220,IFERROR(IF(AND(#REF!="Probabilidad",#REF!="Probabilidad"),(#REF!-(+#REF!*#REF!)),IF(#REF!="Probabilidad",(#REF!-(+#REF!*#REF!)),IF(#REF!="Impacto",#REF!,""))),""),IFERROR(IF(#REF!="Probabilidad",(#REF!-(+#REF!*#REF!)),IF(#REF!="Impacto",#REF!,"")),""))</f>
        <v/>
      </c>
      <c r="J220" s="154" t="str">
        <f>IFERROR(IF(I220="","",IF(I220&lt;='Listas y tablas'!$L$3,"Muy Baja",IF(I220&lt;='Listas y tablas'!$L$4,"Baja",IF(I220&lt;='Listas y tablas'!$L$5,"Media",IF(I220&lt;='Listas y tablas'!$L$6,"Alta","Muy Alta"))))),"")</f>
        <v/>
      </c>
      <c r="K220" s="155"/>
      <c r="L220" s="156"/>
      <c r="M220" s="150"/>
      <c r="N220" s="151"/>
      <c r="O220" s="151"/>
      <c r="P220" s="152"/>
      <c r="Q220" s="162"/>
      <c r="R220" s="151"/>
      <c r="S220" s="151"/>
      <c r="T220" s="151"/>
      <c r="U220" s="151"/>
      <c r="V220" s="165"/>
      <c r="W220" s="150"/>
      <c r="X220" s="151"/>
      <c r="Y220" s="151"/>
      <c r="Z220" s="151"/>
      <c r="AA220" s="151"/>
      <c r="AB220" s="151"/>
      <c r="AC220" s="163"/>
      <c r="AD220" s="151"/>
      <c r="AE220" s="152"/>
      <c r="AF220" s="173"/>
      <c r="AG220" s="185"/>
      <c r="AH220" s="185"/>
      <c r="AI220" s="186"/>
      <c r="AJ220" s="181"/>
      <c r="AK220" s="181"/>
      <c r="AL220" s="183"/>
      <c r="AM220" s="173"/>
      <c r="AN220" s="187"/>
      <c r="AO220" s="195"/>
      <c r="AP220" s="193"/>
      <c r="AQ220" s="193"/>
      <c r="AR220" s="193"/>
      <c r="AS220" s="193"/>
      <c r="AT220" s="193"/>
      <c r="AU220" s="193"/>
      <c r="AV220" s="194"/>
      <c r="AW220" s="193"/>
      <c r="AX220" s="207"/>
      <c r="AY220" s="208"/>
      <c r="AZ220" s="209"/>
      <c r="BA220" s="209"/>
      <c r="BB220" s="209"/>
      <c r="BC220" s="206"/>
      <c r="BD220" s="206"/>
      <c r="BE220" s="213"/>
      <c r="BF220" s="217"/>
      <c r="BG220" s="209"/>
      <c r="BH220" s="218"/>
      <c r="BI220" s="215"/>
      <c r="BJ220" s="215"/>
      <c r="BK220" s="215"/>
      <c r="BL220" s="215"/>
      <c r="BM220" s="215"/>
      <c r="BN220" s="215"/>
      <c r="BO220" s="216"/>
      <c r="BP220" s="215"/>
      <c r="BQ220" s="228"/>
      <c r="BR220" s="229"/>
      <c r="BS220" s="230"/>
      <c r="BT220" s="230"/>
      <c r="BU220" s="230"/>
      <c r="BV220" s="227"/>
      <c r="BW220" s="227"/>
      <c r="BX220" s="234"/>
      <c r="BY220" s="229"/>
      <c r="BZ220" s="230"/>
      <c r="CA220" s="235"/>
    </row>
    <row r="221" spans="1:79" ht="151.5" customHeight="1">
      <c r="A221" s="134" t="str">
        <f>IFERROR(INDEX(Riesgos!$A$7:$M$84,MATCH(E221,INDEX(Riesgos!$A$7:$M$84,,MATCH(E$7,Riesgos!$A$6:$M$6,0)),0),MATCH(A$7,Riesgos!$A$6:$M$6,0)),"")</f>
        <v/>
      </c>
      <c r="B221" s="135" t="str">
        <f>IFERROR(INDEX(Riesgos!$A$7:$M$84,MATCH(E221,INDEX(Riesgos!$A$7:$M$84,,MATCH(E$7,Riesgos!$A$6:$M$6,0)),0),MATCH(B$7,Riesgos!$A$6:$M$6,0)),"")</f>
        <v/>
      </c>
      <c r="C221" s="135"/>
      <c r="D221" s="136" t="str">
        <f>IFERROR(INDEX(Riesgos!$A$7:$M$84,MATCH(E221,INDEX(Riesgos!$A$7:$M$84,,MATCH(E$7,Riesgos!$A$6:$M$6,0)),0),MATCH(D$7,Riesgos!$A$6:$M$6,0)),"")</f>
        <v/>
      </c>
      <c r="E221" s="137"/>
      <c r="F221" s="137"/>
      <c r="G221" s="138" t="str">
        <f t="shared" si="4"/>
        <v/>
      </c>
      <c r="H221" s="139"/>
      <c r="I221" s="153" t="str">
        <f>IF(A220=A221,IFERROR(IF(AND(#REF!="Probabilidad",#REF!="Probabilidad"),(#REF!-(+#REF!*#REF!)),IF(#REF!="Probabilidad",(#REF!-(+#REF!*#REF!)),IF(#REF!="Impacto",#REF!,""))),""),IFERROR(IF(#REF!="Probabilidad",(#REF!-(+#REF!*#REF!)),IF(#REF!="Impacto",#REF!,"")),""))</f>
        <v/>
      </c>
      <c r="J221" s="154" t="str">
        <f>IFERROR(IF(I221="","",IF(I221&lt;='Listas y tablas'!$L$3,"Muy Baja",IF(I221&lt;='Listas y tablas'!$L$4,"Baja",IF(I221&lt;='Listas y tablas'!$L$5,"Media",IF(I221&lt;='Listas y tablas'!$L$6,"Alta","Muy Alta"))))),"")</f>
        <v/>
      </c>
      <c r="K221" s="155"/>
      <c r="L221" s="156"/>
      <c r="M221" s="150"/>
      <c r="N221" s="151"/>
      <c r="O221" s="151"/>
      <c r="P221" s="152"/>
      <c r="Q221" s="162"/>
      <c r="R221" s="151"/>
      <c r="S221" s="151"/>
      <c r="T221" s="151"/>
      <c r="U221" s="151"/>
      <c r="V221" s="165"/>
      <c r="W221" s="150"/>
      <c r="X221" s="151"/>
      <c r="Y221" s="151"/>
      <c r="Z221" s="151"/>
      <c r="AA221" s="151"/>
      <c r="AB221" s="151"/>
      <c r="AC221" s="163"/>
      <c r="AD221" s="151"/>
      <c r="AE221" s="152"/>
      <c r="AF221" s="173"/>
      <c r="AG221" s="185"/>
      <c r="AH221" s="185"/>
      <c r="AI221" s="186"/>
      <c r="AJ221" s="181"/>
      <c r="AK221" s="181"/>
      <c r="AL221" s="183"/>
      <c r="AM221" s="173"/>
      <c r="AN221" s="187"/>
      <c r="AO221" s="195"/>
      <c r="AP221" s="193"/>
      <c r="AQ221" s="193"/>
      <c r="AR221" s="193"/>
      <c r="AS221" s="193"/>
      <c r="AT221" s="193"/>
      <c r="AU221" s="193"/>
      <c r="AV221" s="194"/>
      <c r="AW221" s="193"/>
      <c r="AX221" s="207"/>
      <c r="AY221" s="208"/>
      <c r="AZ221" s="209"/>
      <c r="BA221" s="209"/>
      <c r="BB221" s="209"/>
      <c r="BC221" s="206"/>
      <c r="BD221" s="206"/>
      <c r="BE221" s="213"/>
      <c r="BF221" s="217"/>
      <c r="BG221" s="209"/>
      <c r="BH221" s="218"/>
      <c r="BI221" s="215"/>
      <c r="BJ221" s="215"/>
      <c r="BK221" s="215"/>
      <c r="BL221" s="215"/>
      <c r="BM221" s="215"/>
      <c r="BN221" s="215"/>
      <c r="BO221" s="216"/>
      <c r="BP221" s="215"/>
      <c r="BQ221" s="228"/>
      <c r="BR221" s="229"/>
      <c r="BS221" s="230"/>
      <c r="BT221" s="230"/>
      <c r="BU221" s="230"/>
      <c r="BV221" s="227"/>
      <c r="BW221" s="227"/>
      <c r="BX221" s="234"/>
      <c r="BY221" s="229"/>
      <c r="BZ221" s="230"/>
      <c r="CA221" s="235"/>
    </row>
    <row r="222" spans="1:79" ht="151.5" customHeight="1">
      <c r="A222" s="134" t="str">
        <f>IFERROR(INDEX(Riesgos!$A$7:$M$84,MATCH(E222,INDEX(Riesgos!$A$7:$M$84,,MATCH(E$7,Riesgos!$A$6:$M$6,0)),0),MATCH(A$7,Riesgos!$A$6:$M$6,0)),"")</f>
        <v/>
      </c>
      <c r="B222" s="135" t="str">
        <f>IFERROR(INDEX(Riesgos!$A$7:$M$84,MATCH(E222,INDEX(Riesgos!$A$7:$M$84,,MATCH(E$7,Riesgos!$A$6:$M$6,0)),0),MATCH(B$7,Riesgos!$A$6:$M$6,0)),"")</f>
        <v/>
      </c>
      <c r="C222" s="135"/>
      <c r="D222" s="136" t="str">
        <f>IFERROR(INDEX(Riesgos!$A$7:$M$84,MATCH(E222,INDEX(Riesgos!$A$7:$M$84,,MATCH(E$7,Riesgos!$A$6:$M$6,0)),0),MATCH(D$7,Riesgos!$A$6:$M$6,0)),"")</f>
        <v/>
      </c>
      <c r="E222" s="137"/>
      <c r="F222" s="137"/>
      <c r="G222" s="138" t="str">
        <f t="shared" si="4"/>
        <v/>
      </c>
      <c r="H222" s="139"/>
      <c r="I222" s="153" t="str">
        <f>IF(A221=A222,IFERROR(IF(AND(#REF!="Probabilidad",#REF!="Probabilidad"),(#REF!-(+#REF!*#REF!)),IF(#REF!="Probabilidad",(#REF!-(+#REF!*#REF!)),IF(#REF!="Impacto",#REF!,""))),""),IFERROR(IF(#REF!="Probabilidad",(#REF!-(+#REF!*#REF!)),IF(#REF!="Impacto",#REF!,"")),""))</f>
        <v/>
      </c>
      <c r="J222" s="154" t="str">
        <f>IFERROR(IF(I222="","",IF(I222&lt;='Listas y tablas'!$L$3,"Muy Baja",IF(I222&lt;='Listas y tablas'!$L$4,"Baja",IF(I222&lt;='Listas y tablas'!$L$5,"Media",IF(I222&lt;='Listas y tablas'!$L$6,"Alta","Muy Alta"))))),"")</f>
        <v/>
      </c>
      <c r="K222" s="155"/>
      <c r="L222" s="156"/>
      <c r="M222" s="150"/>
      <c r="N222" s="151"/>
      <c r="O222" s="151"/>
      <c r="P222" s="152"/>
      <c r="Q222" s="162"/>
      <c r="R222" s="151"/>
      <c r="S222" s="151"/>
      <c r="T222" s="151"/>
      <c r="U222" s="151"/>
      <c r="V222" s="165"/>
      <c r="W222" s="150"/>
      <c r="X222" s="151"/>
      <c r="Y222" s="151"/>
      <c r="Z222" s="151"/>
      <c r="AA222" s="151"/>
      <c r="AB222" s="151"/>
      <c r="AC222" s="163"/>
      <c r="AD222" s="151"/>
      <c r="AE222" s="152"/>
      <c r="AF222" s="173"/>
      <c r="AG222" s="185"/>
      <c r="AH222" s="185"/>
      <c r="AI222" s="186"/>
      <c r="AJ222" s="181"/>
      <c r="AK222" s="181"/>
      <c r="AL222" s="183"/>
      <c r="AM222" s="173"/>
      <c r="AN222" s="187"/>
      <c r="AO222" s="195"/>
      <c r="AP222" s="193"/>
      <c r="AQ222" s="193"/>
      <c r="AR222" s="193"/>
      <c r="AS222" s="193"/>
      <c r="AT222" s="193"/>
      <c r="AU222" s="193"/>
      <c r="AV222" s="194"/>
      <c r="AW222" s="193"/>
      <c r="AX222" s="207"/>
      <c r="AY222" s="208"/>
      <c r="AZ222" s="209"/>
      <c r="BA222" s="209"/>
      <c r="BB222" s="209"/>
      <c r="BC222" s="206"/>
      <c r="BD222" s="206"/>
      <c r="BE222" s="213"/>
      <c r="BF222" s="217"/>
      <c r="BG222" s="209"/>
      <c r="BH222" s="218"/>
      <c r="BI222" s="215"/>
      <c r="BJ222" s="215"/>
      <c r="BK222" s="215"/>
      <c r="BL222" s="215"/>
      <c r="BM222" s="215"/>
      <c r="BN222" s="215"/>
      <c r="BO222" s="216"/>
      <c r="BP222" s="215"/>
      <c r="BQ222" s="228"/>
      <c r="BR222" s="229"/>
      <c r="BS222" s="230"/>
      <c r="BT222" s="230"/>
      <c r="BU222" s="230"/>
      <c r="BV222" s="227"/>
      <c r="BW222" s="227"/>
      <c r="BX222" s="234"/>
      <c r="BY222" s="229"/>
      <c r="BZ222" s="230"/>
      <c r="CA222" s="235"/>
    </row>
    <row r="223" spans="1:79" ht="151.5" customHeight="1">
      <c r="A223" s="134" t="str">
        <f>IFERROR(INDEX(Riesgos!$A$7:$M$84,MATCH(E223,INDEX(Riesgos!$A$7:$M$84,,MATCH(E$7,Riesgos!$A$6:$M$6,0)),0),MATCH(A$7,Riesgos!$A$6:$M$6,0)),"")</f>
        <v/>
      </c>
      <c r="B223" s="135" t="str">
        <f>IFERROR(INDEX(Riesgos!$A$7:$M$84,MATCH(E223,INDEX(Riesgos!$A$7:$M$84,,MATCH(E$7,Riesgos!$A$6:$M$6,0)),0),MATCH(B$7,Riesgos!$A$6:$M$6,0)),"")</f>
        <v/>
      </c>
      <c r="C223" s="135"/>
      <c r="D223" s="136" t="str">
        <f>IFERROR(INDEX(Riesgos!$A$7:$M$84,MATCH(E223,INDEX(Riesgos!$A$7:$M$84,,MATCH(E$7,Riesgos!$A$6:$M$6,0)),0),MATCH(D$7,Riesgos!$A$6:$M$6,0)),"")</f>
        <v/>
      </c>
      <c r="E223" s="137"/>
      <c r="F223" s="137"/>
      <c r="G223" s="138" t="str">
        <f t="shared" si="4"/>
        <v/>
      </c>
      <c r="H223" s="139"/>
      <c r="I223" s="153" t="str">
        <f>IF(A222=A223,IFERROR(IF(AND(#REF!="Probabilidad",#REF!="Probabilidad"),(#REF!-(+#REF!*#REF!)),IF(#REF!="Probabilidad",(#REF!-(+#REF!*#REF!)),IF(#REF!="Impacto",#REF!,""))),""),IFERROR(IF(#REF!="Probabilidad",(#REF!-(+#REF!*#REF!)),IF(#REF!="Impacto",#REF!,"")),""))</f>
        <v/>
      </c>
      <c r="J223" s="154" t="str">
        <f>IFERROR(IF(I223="","",IF(I223&lt;='Listas y tablas'!$L$3,"Muy Baja",IF(I223&lt;='Listas y tablas'!$L$4,"Baja",IF(I223&lt;='Listas y tablas'!$L$5,"Media",IF(I223&lt;='Listas y tablas'!$L$6,"Alta","Muy Alta"))))),"")</f>
        <v/>
      </c>
      <c r="K223" s="155"/>
      <c r="L223" s="156"/>
      <c r="M223" s="150"/>
      <c r="N223" s="151"/>
      <c r="O223" s="151"/>
      <c r="P223" s="152"/>
      <c r="Q223" s="162"/>
      <c r="R223" s="151"/>
      <c r="S223" s="151"/>
      <c r="T223" s="151"/>
      <c r="U223" s="151"/>
      <c r="V223" s="165"/>
      <c r="W223" s="150"/>
      <c r="X223" s="151"/>
      <c r="Y223" s="151"/>
      <c r="Z223" s="151"/>
      <c r="AA223" s="151"/>
      <c r="AB223" s="151"/>
      <c r="AC223" s="163"/>
      <c r="AD223" s="151"/>
      <c r="AE223" s="152"/>
      <c r="AF223" s="173"/>
      <c r="AG223" s="185"/>
      <c r="AH223" s="185"/>
      <c r="AI223" s="186"/>
      <c r="AJ223" s="181"/>
      <c r="AK223" s="181"/>
      <c r="AL223" s="183"/>
      <c r="AM223" s="173"/>
      <c r="AN223" s="187"/>
      <c r="AO223" s="195"/>
      <c r="AP223" s="193"/>
      <c r="AQ223" s="193"/>
      <c r="AR223" s="193"/>
      <c r="AS223" s="193"/>
      <c r="AT223" s="193"/>
      <c r="AU223" s="193"/>
      <c r="AV223" s="194"/>
      <c r="AW223" s="193"/>
      <c r="AX223" s="207"/>
      <c r="AY223" s="208"/>
      <c r="AZ223" s="209"/>
      <c r="BA223" s="209"/>
      <c r="BB223" s="209"/>
      <c r="BC223" s="206"/>
      <c r="BD223" s="206"/>
      <c r="BE223" s="213"/>
      <c r="BF223" s="217"/>
      <c r="BG223" s="209"/>
      <c r="BH223" s="218"/>
      <c r="BI223" s="215"/>
      <c r="BJ223" s="215"/>
      <c r="BK223" s="215"/>
      <c r="BL223" s="215"/>
      <c r="BM223" s="215"/>
      <c r="BN223" s="215"/>
      <c r="BO223" s="216"/>
      <c r="BP223" s="215"/>
      <c r="BQ223" s="228"/>
      <c r="BR223" s="229"/>
      <c r="BS223" s="230"/>
      <c r="BT223" s="230"/>
      <c r="BU223" s="230"/>
      <c r="BV223" s="227"/>
      <c r="BW223" s="227"/>
      <c r="BX223" s="234"/>
      <c r="BY223" s="229"/>
      <c r="BZ223" s="230"/>
      <c r="CA223" s="235"/>
    </row>
    <row r="224" spans="1:79" ht="151.5" customHeight="1">
      <c r="A224" s="134" t="str">
        <f>IFERROR(INDEX(Riesgos!$A$7:$M$84,MATCH(E224,INDEX(Riesgos!$A$7:$M$84,,MATCH(E$7,Riesgos!$A$6:$M$6,0)),0),MATCH(A$7,Riesgos!$A$6:$M$6,0)),"")</f>
        <v/>
      </c>
      <c r="B224" s="135" t="str">
        <f>IFERROR(INDEX(Riesgos!$A$7:$M$84,MATCH(E224,INDEX(Riesgos!$A$7:$M$84,,MATCH(E$7,Riesgos!$A$6:$M$6,0)),0),MATCH(B$7,Riesgos!$A$6:$M$6,0)),"")</f>
        <v/>
      </c>
      <c r="C224" s="135"/>
      <c r="D224" s="136" t="str">
        <f>IFERROR(INDEX(Riesgos!$A$7:$M$84,MATCH(E224,INDEX(Riesgos!$A$7:$M$84,,MATCH(E$7,Riesgos!$A$6:$M$6,0)),0),MATCH(D$7,Riesgos!$A$6:$M$6,0)),"")</f>
        <v/>
      </c>
      <c r="E224" s="137"/>
      <c r="F224" s="137"/>
      <c r="G224" s="138" t="str">
        <f t="shared" si="4"/>
        <v/>
      </c>
      <c r="H224" s="139"/>
      <c r="I224" s="153" t="str">
        <f>IF(A223=A224,IFERROR(IF(AND(#REF!="Probabilidad",#REF!="Probabilidad"),(#REF!-(+#REF!*#REF!)),IF(#REF!="Probabilidad",(#REF!-(+#REF!*#REF!)),IF(#REF!="Impacto",#REF!,""))),""),IFERROR(IF(#REF!="Probabilidad",(#REF!-(+#REF!*#REF!)),IF(#REF!="Impacto",#REF!,"")),""))</f>
        <v/>
      </c>
      <c r="J224" s="154" t="str">
        <f>IFERROR(IF(I224="","",IF(I224&lt;='Listas y tablas'!$L$3,"Muy Baja",IF(I224&lt;='Listas y tablas'!$L$4,"Baja",IF(I224&lt;='Listas y tablas'!$L$5,"Media",IF(I224&lt;='Listas y tablas'!$L$6,"Alta","Muy Alta"))))),"")</f>
        <v/>
      </c>
      <c r="K224" s="155"/>
      <c r="L224" s="156"/>
      <c r="M224" s="150"/>
      <c r="N224" s="151"/>
      <c r="O224" s="151"/>
      <c r="P224" s="152"/>
      <c r="Q224" s="162"/>
      <c r="R224" s="151"/>
      <c r="S224" s="151"/>
      <c r="T224" s="151"/>
      <c r="U224" s="151"/>
      <c r="V224" s="165"/>
      <c r="W224" s="150"/>
      <c r="X224" s="151"/>
      <c r="Y224" s="151"/>
      <c r="Z224" s="151"/>
      <c r="AA224" s="151"/>
      <c r="AB224" s="151"/>
      <c r="AC224" s="163"/>
      <c r="AD224" s="151"/>
      <c r="AE224" s="152"/>
      <c r="AF224" s="173"/>
      <c r="AG224" s="185"/>
      <c r="AH224" s="185"/>
      <c r="AI224" s="186"/>
      <c r="AJ224" s="181"/>
      <c r="AK224" s="181"/>
      <c r="AL224" s="183"/>
      <c r="AM224" s="173"/>
      <c r="AN224" s="187"/>
      <c r="AO224" s="195"/>
      <c r="AP224" s="193"/>
      <c r="AQ224" s="193"/>
      <c r="AR224" s="193"/>
      <c r="AS224" s="193"/>
      <c r="AT224" s="193"/>
      <c r="AU224" s="193"/>
      <c r="AV224" s="194"/>
      <c r="AW224" s="193"/>
      <c r="AX224" s="207"/>
      <c r="AY224" s="208"/>
      <c r="AZ224" s="209"/>
      <c r="BA224" s="209"/>
      <c r="BB224" s="209"/>
      <c r="BC224" s="206"/>
      <c r="BD224" s="206"/>
      <c r="BE224" s="213"/>
      <c r="BF224" s="217"/>
      <c r="BG224" s="209"/>
      <c r="BH224" s="218"/>
      <c r="BI224" s="215"/>
      <c r="BJ224" s="215"/>
      <c r="BK224" s="215"/>
      <c r="BL224" s="215"/>
      <c r="BM224" s="215"/>
      <c r="BN224" s="215"/>
      <c r="BO224" s="216"/>
      <c r="BP224" s="215"/>
      <c r="BQ224" s="228"/>
      <c r="BR224" s="229"/>
      <c r="BS224" s="230"/>
      <c r="BT224" s="230"/>
      <c r="BU224" s="230"/>
      <c r="BV224" s="227"/>
      <c r="BW224" s="227"/>
      <c r="BX224" s="234"/>
      <c r="BY224" s="229"/>
      <c r="BZ224" s="230"/>
      <c r="CA224" s="235"/>
    </row>
    <row r="225" spans="1:79" ht="151.5" customHeight="1">
      <c r="A225" s="134" t="str">
        <f>IFERROR(INDEX(Riesgos!$A$7:$M$84,MATCH(E225,INDEX(Riesgos!$A$7:$M$84,,MATCH(E$7,Riesgos!$A$6:$M$6,0)),0),MATCH(A$7,Riesgos!$A$6:$M$6,0)),"")</f>
        <v/>
      </c>
      <c r="B225" s="135" t="str">
        <f>IFERROR(INDEX(Riesgos!$A$7:$M$84,MATCH(E225,INDEX(Riesgos!$A$7:$M$84,,MATCH(E$7,Riesgos!$A$6:$M$6,0)),0),MATCH(B$7,Riesgos!$A$6:$M$6,0)),"")</f>
        <v/>
      </c>
      <c r="C225" s="135"/>
      <c r="D225" s="136" t="str">
        <f>IFERROR(INDEX(Riesgos!$A$7:$M$84,MATCH(E225,INDEX(Riesgos!$A$7:$M$84,,MATCH(E$7,Riesgos!$A$6:$M$6,0)),0),MATCH(D$7,Riesgos!$A$6:$M$6,0)),"")</f>
        <v/>
      </c>
      <c r="E225" s="137"/>
      <c r="F225" s="137"/>
      <c r="G225" s="138" t="str">
        <f t="shared" si="4"/>
        <v/>
      </c>
      <c r="H225" s="139"/>
      <c r="I225" s="153" t="str">
        <f>IF(A224=A225,IFERROR(IF(AND(#REF!="Probabilidad",#REF!="Probabilidad"),(#REF!-(+#REF!*#REF!)),IF(#REF!="Probabilidad",(#REF!-(+#REF!*#REF!)),IF(#REF!="Impacto",#REF!,""))),""),IFERROR(IF(#REF!="Probabilidad",(#REF!-(+#REF!*#REF!)),IF(#REF!="Impacto",#REF!,"")),""))</f>
        <v/>
      </c>
      <c r="J225" s="154" t="str">
        <f>IFERROR(IF(I225="","",IF(I225&lt;='Listas y tablas'!$L$3,"Muy Baja",IF(I225&lt;='Listas y tablas'!$L$4,"Baja",IF(I225&lt;='Listas y tablas'!$L$5,"Media",IF(I225&lt;='Listas y tablas'!$L$6,"Alta","Muy Alta"))))),"")</f>
        <v/>
      </c>
      <c r="K225" s="155"/>
      <c r="L225" s="156"/>
      <c r="M225" s="150"/>
      <c r="N225" s="151"/>
      <c r="O225" s="151"/>
      <c r="P225" s="152"/>
      <c r="Q225" s="162"/>
      <c r="R225" s="151"/>
      <c r="S225" s="151"/>
      <c r="T225" s="151"/>
      <c r="U225" s="151"/>
      <c r="V225" s="165"/>
      <c r="W225" s="150"/>
      <c r="X225" s="151"/>
      <c r="Y225" s="151"/>
      <c r="Z225" s="151"/>
      <c r="AA225" s="151"/>
      <c r="AB225" s="151"/>
      <c r="AC225" s="163"/>
      <c r="AD225" s="151"/>
      <c r="AE225" s="152"/>
      <c r="AF225" s="173"/>
      <c r="AG225" s="185"/>
      <c r="AH225" s="185"/>
      <c r="AI225" s="186"/>
      <c r="AJ225" s="181"/>
      <c r="AK225" s="181"/>
      <c r="AL225" s="183"/>
      <c r="AM225" s="173"/>
      <c r="AN225" s="187"/>
      <c r="AO225" s="195"/>
      <c r="AP225" s="193"/>
      <c r="AQ225" s="193"/>
      <c r="AR225" s="193"/>
      <c r="AS225" s="193"/>
      <c r="AT225" s="193"/>
      <c r="AU225" s="193"/>
      <c r="AV225" s="194"/>
      <c r="AW225" s="193"/>
      <c r="AX225" s="207"/>
      <c r="AY225" s="208"/>
      <c r="AZ225" s="209"/>
      <c r="BA225" s="209"/>
      <c r="BB225" s="209"/>
      <c r="BC225" s="206"/>
      <c r="BD225" s="206"/>
      <c r="BE225" s="213"/>
      <c r="BF225" s="217"/>
      <c r="BG225" s="209"/>
      <c r="BH225" s="218"/>
      <c r="BI225" s="215"/>
      <c r="BJ225" s="215"/>
      <c r="BK225" s="215"/>
      <c r="BL225" s="215"/>
      <c r="BM225" s="215"/>
      <c r="BN225" s="215"/>
      <c r="BO225" s="216"/>
      <c r="BP225" s="215"/>
      <c r="BQ225" s="228"/>
      <c r="BR225" s="229"/>
      <c r="BS225" s="230"/>
      <c r="BT225" s="230"/>
      <c r="BU225" s="230"/>
      <c r="BV225" s="227"/>
      <c r="BW225" s="227"/>
      <c r="BX225" s="234"/>
      <c r="BY225" s="229"/>
      <c r="BZ225" s="230"/>
      <c r="CA225" s="235"/>
    </row>
    <row r="226" spans="1:79" ht="151.5" customHeight="1">
      <c r="A226" s="134" t="str">
        <f>IFERROR(INDEX(Riesgos!$A$7:$M$84,MATCH(E226,INDEX(Riesgos!$A$7:$M$84,,MATCH(E$7,Riesgos!$A$6:$M$6,0)),0),MATCH(A$7,Riesgos!$A$6:$M$6,0)),"")</f>
        <v/>
      </c>
      <c r="B226" s="135" t="str">
        <f>IFERROR(INDEX(Riesgos!$A$7:$M$84,MATCH(E226,INDEX(Riesgos!$A$7:$M$84,,MATCH(E$7,Riesgos!$A$6:$M$6,0)),0),MATCH(B$7,Riesgos!$A$6:$M$6,0)),"")</f>
        <v/>
      </c>
      <c r="C226" s="135"/>
      <c r="D226" s="136" t="str">
        <f>IFERROR(INDEX(Riesgos!$A$7:$M$84,MATCH(E226,INDEX(Riesgos!$A$7:$M$84,,MATCH(E$7,Riesgos!$A$6:$M$6,0)),0),MATCH(D$7,Riesgos!$A$6:$M$6,0)),"")</f>
        <v/>
      </c>
      <c r="E226" s="137"/>
      <c r="F226" s="137"/>
      <c r="G226" s="138" t="str">
        <f t="shared" si="4"/>
        <v/>
      </c>
      <c r="H226" s="139"/>
      <c r="I226" s="153" t="str">
        <f>IF(A225=A226,IFERROR(IF(AND(#REF!="Probabilidad",#REF!="Probabilidad"),(#REF!-(+#REF!*#REF!)),IF(#REF!="Probabilidad",(#REF!-(+#REF!*#REF!)),IF(#REF!="Impacto",#REF!,""))),""),IFERROR(IF(#REF!="Probabilidad",(#REF!-(+#REF!*#REF!)),IF(#REF!="Impacto",#REF!,"")),""))</f>
        <v/>
      </c>
      <c r="J226" s="154" t="str">
        <f>IFERROR(IF(I226="","",IF(I226&lt;='Listas y tablas'!$L$3,"Muy Baja",IF(I226&lt;='Listas y tablas'!$L$4,"Baja",IF(I226&lt;='Listas y tablas'!$L$5,"Media",IF(I226&lt;='Listas y tablas'!$L$6,"Alta","Muy Alta"))))),"")</f>
        <v/>
      </c>
      <c r="K226" s="155"/>
      <c r="L226" s="156"/>
      <c r="M226" s="150"/>
      <c r="N226" s="151"/>
      <c r="O226" s="151"/>
      <c r="P226" s="152"/>
      <c r="Q226" s="162"/>
      <c r="R226" s="151"/>
      <c r="S226" s="151"/>
      <c r="T226" s="151"/>
      <c r="U226" s="151"/>
      <c r="V226" s="165"/>
      <c r="W226" s="150"/>
      <c r="X226" s="151"/>
      <c r="Y226" s="151"/>
      <c r="Z226" s="151"/>
      <c r="AA226" s="151"/>
      <c r="AB226" s="151"/>
      <c r="AC226" s="163"/>
      <c r="AD226" s="151"/>
      <c r="AE226" s="152"/>
      <c r="AF226" s="173"/>
      <c r="AG226" s="185"/>
      <c r="AH226" s="185"/>
      <c r="AI226" s="186"/>
      <c r="AJ226" s="181"/>
      <c r="AK226" s="181"/>
      <c r="AL226" s="183"/>
      <c r="AM226" s="173"/>
      <c r="AN226" s="187"/>
      <c r="AO226" s="195"/>
      <c r="AP226" s="193"/>
      <c r="AQ226" s="193"/>
      <c r="AR226" s="193"/>
      <c r="AS226" s="193"/>
      <c r="AT226" s="193"/>
      <c r="AU226" s="193"/>
      <c r="AV226" s="194"/>
      <c r="AW226" s="193"/>
      <c r="AX226" s="207"/>
      <c r="AY226" s="208"/>
      <c r="AZ226" s="209"/>
      <c r="BA226" s="209"/>
      <c r="BB226" s="209"/>
      <c r="BC226" s="206"/>
      <c r="BD226" s="206"/>
      <c r="BE226" s="213"/>
      <c r="BF226" s="217"/>
      <c r="BG226" s="209"/>
      <c r="BH226" s="218"/>
      <c r="BI226" s="215"/>
      <c r="BJ226" s="215"/>
      <c r="BK226" s="215"/>
      <c r="BL226" s="215"/>
      <c r="BM226" s="215"/>
      <c r="BN226" s="215"/>
      <c r="BO226" s="216"/>
      <c r="BP226" s="215"/>
      <c r="BQ226" s="228"/>
      <c r="BR226" s="229"/>
      <c r="BS226" s="230"/>
      <c r="BT226" s="230"/>
      <c r="BU226" s="230"/>
      <c r="BV226" s="227"/>
      <c r="BW226" s="227"/>
      <c r="BX226" s="234"/>
      <c r="BY226" s="229"/>
      <c r="BZ226" s="230"/>
      <c r="CA226" s="235"/>
    </row>
    <row r="227" spans="1:79" ht="151.5" customHeight="1">
      <c r="A227" s="134" t="str">
        <f>IFERROR(INDEX(Riesgos!$A$7:$M$84,MATCH(E227,INDEX(Riesgos!$A$7:$M$84,,MATCH(E$7,Riesgos!$A$6:$M$6,0)),0),MATCH(A$7,Riesgos!$A$6:$M$6,0)),"")</f>
        <v/>
      </c>
      <c r="B227" s="135" t="str">
        <f>IFERROR(INDEX(Riesgos!$A$7:$M$84,MATCH(E227,INDEX(Riesgos!$A$7:$M$84,,MATCH(E$7,Riesgos!$A$6:$M$6,0)),0),MATCH(B$7,Riesgos!$A$6:$M$6,0)),"")</f>
        <v/>
      </c>
      <c r="C227" s="135"/>
      <c r="D227" s="136" t="str">
        <f>IFERROR(INDEX(Riesgos!$A$7:$M$84,MATCH(E227,INDEX(Riesgos!$A$7:$M$84,,MATCH(E$7,Riesgos!$A$6:$M$6,0)),0),MATCH(D$7,Riesgos!$A$6:$M$6,0)),"")</f>
        <v/>
      </c>
      <c r="E227" s="137"/>
      <c r="F227" s="137"/>
      <c r="G227" s="138" t="str">
        <f t="shared" si="4"/>
        <v/>
      </c>
      <c r="H227" s="139"/>
      <c r="I227" s="153" t="str">
        <f>IF(A226=A227,IFERROR(IF(AND(#REF!="Probabilidad",#REF!="Probabilidad"),(#REF!-(+#REF!*#REF!)),IF(#REF!="Probabilidad",(#REF!-(+#REF!*#REF!)),IF(#REF!="Impacto",#REF!,""))),""),IFERROR(IF(#REF!="Probabilidad",(#REF!-(+#REF!*#REF!)),IF(#REF!="Impacto",#REF!,"")),""))</f>
        <v/>
      </c>
      <c r="J227" s="154" t="str">
        <f>IFERROR(IF(I227="","",IF(I227&lt;='Listas y tablas'!$L$3,"Muy Baja",IF(I227&lt;='Listas y tablas'!$L$4,"Baja",IF(I227&lt;='Listas y tablas'!$L$5,"Media",IF(I227&lt;='Listas y tablas'!$L$6,"Alta","Muy Alta"))))),"")</f>
        <v/>
      </c>
      <c r="K227" s="155"/>
      <c r="L227" s="156"/>
      <c r="M227" s="150"/>
      <c r="N227" s="151"/>
      <c r="O227" s="151"/>
      <c r="P227" s="152"/>
      <c r="Q227" s="162"/>
      <c r="R227" s="151"/>
      <c r="S227" s="151"/>
      <c r="T227" s="151"/>
      <c r="U227" s="151"/>
      <c r="V227" s="165"/>
      <c r="W227" s="150"/>
      <c r="X227" s="151"/>
      <c r="Y227" s="151"/>
      <c r="Z227" s="151"/>
      <c r="AA227" s="151"/>
      <c r="AB227" s="151"/>
      <c r="AC227" s="163"/>
      <c r="AD227" s="151"/>
      <c r="AE227" s="152"/>
      <c r="AF227" s="173"/>
      <c r="AG227" s="185"/>
      <c r="AH227" s="185"/>
      <c r="AI227" s="186"/>
      <c r="AJ227" s="181"/>
      <c r="AK227" s="181"/>
      <c r="AL227" s="183"/>
      <c r="AM227" s="173"/>
      <c r="AN227" s="187"/>
      <c r="AO227" s="195"/>
      <c r="AP227" s="193"/>
      <c r="AQ227" s="193"/>
      <c r="AR227" s="193"/>
      <c r="AS227" s="193"/>
      <c r="AT227" s="193"/>
      <c r="AU227" s="193"/>
      <c r="AV227" s="194"/>
      <c r="AW227" s="193"/>
      <c r="AX227" s="207"/>
      <c r="AY227" s="208"/>
      <c r="AZ227" s="209"/>
      <c r="BA227" s="209"/>
      <c r="BB227" s="209"/>
      <c r="BC227" s="206"/>
      <c r="BD227" s="206"/>
      <c r="BE227" s="213"/>
      <c r="BF227" s="217"/>
      <c r="BG227" s="209"/>
      <c r="BH227" s="218"/>
      <c r="BI227" s="215"/>
      <c r="BJ227" s="215"/>
      <c r="BK227" s="215"/>
      <c r="BL227" s="215"/>
      <c r="BM227" s="215"/>
      <c r="BN227" s="215"/>
      <c r="BO227" s="216"/>
      <c r="BP227" s="215"/>
      <c r="BQ227" s="228"/>
      <c r="BR227" s="229"/>
      <c r="BS227" s="230"/>
      <c r="BT227" s="230"/>
      <c r="BU227" s="230"/>
      <c r="BV227" s="227"/>
      <c r="BW227" s="227"/>
      <c r="BX227" s="234"/>
      <c r="BY227" s="229"/>
      <c r="BZ227" s="230"/>
      <c r="CA227" s="235"/>
    </row>
    <row r="228" spans="1:79" ht="151.5" customHeight="1">
      <c r="A228" s="134" t="str">
        <f>IFERROR(INDEX(Riesgos!$A$7:$M$84,MATCH(E228,INDEX(Riesgos!$A$7:$M$84,,MATCH(E$7,Riesgos!$A$6:$M$6,0)),0),MATCH(A$7,Riesgos!$A$6:$M$6,0)),"")</f>
        <v/>
      </c>
      <c r="B228" s="135" t="str">
        <f>IFERROR(INDEX(Riesgos!$A$7:$M$84,MATCH(E228,INDEX(Riesgos!$A$7:$M$84,,MATCH(E$7,Riesgos!$A$6:$M$6,0)),0),MATCH(B$7,Riesgos!$A$6:$M$6,0)),"")</f>
        <v/>
      </c>
      <c r="C228" s="135"/>
      <c r="D228" s="136" t="str">
        <f>IFERROR(INDEX(Riesgos!$A$7:$M$84,MATCH(E228,INDEX(Riesgos!$A$7:$M$84,,MATCH(E$7,Riesgos!$A$6:$M$6,0)),0),MATCH(D$7,Riesgos!$A$6:$M$6,0)),"")</f>
        <v/>
      </c>
      <c r="E228" s="137"/>
      <c r="F228" s="137"/>
      <c r="G228" s="138" t="str">
        <f t="shared" si="4"/>
        <v/>
      </c>
      <c r="H228" s="139"/>
      <c r="I228" s="153" t="str">
        <f>IF(A227=A228,IFERROR(IF(AND(#REF!="Probabilidad",#REF!="Probabilidad"),(#REF!-(+#REF!*#REF!)),IF(#REF!="Probabilidad",(#REF!-(+#REF!*#REF!)),IF(#REF!="Impacto",#REF!,""))),""),IFERROR(IF(#REF!="Probabilidad",(#REF!-(+#REF!*#REF!)),IF(#REF!="Impacto",#REF!,"")),""))</f>
        <v/>
      </c>
      <c r="J228" s="154" t="str">
        <f>IFERROR(IF(I228="","",IF(I228&lt;='Listas y tablas'!$L$3,"Muy Baja",IF(I228&lt;='Listas y tablas'!$L$4,"Baja",IF(I228&lt;='Listas y tablas'!$L$5,"Media",IF(I228&lt;='Listas y tablas'!$L$6,"Alta","Muy Alta"))))),"")</f>
        <v/>
      </c>
      <c r="K228" s="155"/>
      <c r="L228" s="156"/>
      <c r="M228" s="150"/>
      <c r="N228" s="151"/>
      <c r="O228" s="151"/>
      <c r="P228" s="152"/>
      <c r="Q228" s="162"/>
      <c r="R228" s="151"/>
      <c r="S228" s="151"/>
      <c r="T228" s="151"/>
      <c r="U228" s="151"/>
      <c r="V228" s="165"/>
      <c r="W228" s="150"/>
      <c r="X228" s="151"/>
      <c r="Y228" s="151"/>
      <c r="Z228" s="151"/>
      <c r="AA228" s="151"/>
      <c r="AB228" s="151"/>
      <c r="AC228" s="163"/>
      <c r="AD228" s="151"/>
      <c r="AE228" s="152"/>
      <c r="AF228" s="173"/>
      <c r="AG228" s="185"/>
      <c r="AH228" s="185"/>
      <c r="AI228" s="186"/>
      <c r="AJ228" s="181"/>
      <c r="AK228" s="181"/>
      <c r="AL228" s="183"/>
      <c r="AM228" s="173"/>
      <c r="AN228" s="187"/>
      <c r="AO228" s="195"/>
      <c r="AP228" s="193"/>
      <c r="AQ228" s="193"/>
      <c r="AR228" s="193"/>
      <c r="AS228" s="193"/>
      <c r="AT228" s="193"/>
      <c r="AU228" s="193"/>
      <c r="AV228" s="194"/>
      <c r="AW228" s="193"/>
      <c r="AX228" s="207"/>
      <c r="AY228" s="208"/>
      <c r="AZ228" s="209"/>
      <c r="BA228" s="209"/>
      <c r="BB228" s="209"/>
      <c r="BC228" s="206"/>
      <c r="BD228" s="206"/>
      <c r="BE228" s="213"/>
      <c r="BF228" s="217"/>
      <c r="BG228" s="209"/>
      <c r="BH228" s="218"/>
      <c r="BI228" s="215"/>
      <c r="BJ228" s="215"/>
      <c r="BK228" s="215"/>
      <c r="BL228" s="215"/>
      <c r="BM228" s="215"/>
      <c r="BN228" s="215"/>
      <c r="BO228" s="216"/>
      <c r="BP228" s="215"/>
      <c r="BQ228" s="228"/>
      <c r="BR228" s="229"/>
      <c r="BS228" s="230"/>
      <c r="BT228" s="230"/>
      <c r="BU228" s="230"/>
      <c r="BV228" s="227"/>
      <c r="BW228" s="227"/>
      <c r="BX228" s="234"/>
      <c r="BY228" s="229"/>
      <c r="BZ228" s="230"/>
      <c r="CA228" s="235"/>
    </row>
    <row r="229" spans="1:79" ht="151.5" customHeight="1">
      <c r="A229" s="134" t="str">
        <f>IFERROR(INDEX(Riesgos!$A$7:$M$84,MATCH(E229,INDEX(Riesgos!$A$7:$M$84,,MATCH(E$7,Riesgos!$A$6:$M$6,0)),0),MATCH(A$7,Riesgos!$A$6:$M$6,0)),"")</f>
        <v/>
      </c>
      <c r="B229" s="135" t="str">
        <f>IFERROR(INDEX(Riesgos!$A$7:$M$84,MATCH(E229,INDEX(Riesgos!$A$7:$M$84,,MATCH(E$7,Riesgos!$A$6:$M$6,0)),0),MATCH(B$7,Riesgos!$A$6:$M$6,0)),"")</f>
        <v/>
      </c>
      <c r="C229" s="135"/>
      <c r="D229" s="136" t="str">
        <f>IFERROR(INDEX(Riesgos!$A$7:$M$84,MATCH(E229,INDEX(Riesgos!$A$7:$M$84,,MATCH(E$7,Riesgos!$A$6:$M$6,0)),0),MATCH(D$7,Riesgos!$A$6:$M$6,0)),"")</f>
        <v/>
      </c>
      <c r="E229" s="137"/>
      <c r="F229" s="137"/>
      <c r="G229" s="138" t="str">
        <f t="shared" si="4"/>
        <v/>
      </c>
      <c r="H229" s="139"/>
      <c r="I229" s="153" t="str">
        <f>IF(A228=A229,IFERROR(IF(AND(#REF!="Probabilidad",#REF!="Probabilidad"),(#REF!-(+#REF!*#REF!)),IF(#REF!="Probabilidad",(#REF!-(+#REF!*#REF!)),IF(#REF!="Impacto",#REF!,""))),""),IFERROR(IF(#REF!="Probabilidad",(#REF!-(+#REF!*#REF!)),IF(#REF!="Impacto",#REF!,"")),""))</f>
        <v/>
      </c>
      <c r="J229" s="154" t="str">
        <f>IFERROR(IF(I229="","",IF(I229&lt;='Listas y tablas'!$L$3,"Muy Baja",IF(I229&lt;='Listas y tablas'!$L$4,"Baja",IF(I229&lt;='Listas y tablas'!$L$5,"Media",IF(I229&lt;='Listas y tablas'!$L$6,"Alta","Muy Alta"))))),"")</f>
        <v/>
      </c>
      <c r="K229" s="155"/>
      <c r="L229" s="156"/>
      <c r="M229" s="150"/>
      <c r="N229" s="151"/>
      <c r="O229" s="151"/>
      <c r="P229" s="152"/>
      <c r="Q229" s="162"/>
      <c r="R229" s="151"/>
      <c r="S229" s="151"/>
      <c r="T229" s="151"/>
      <c r="U229" s="151"/>
      <c r="V229" s="165"/>
      <c r="W229" s="150"/>
      <c r="X229" s="151"/>
      <c r="Y229" s="151"/>
      <c r="Z229" s="151"/>
      <c r="AA229" s="151"/>
      <c r="AB229" s="151"/>
      <c r="AC229" s="163"/>
      <c r="AD229" s="151"/>
      <c r="AE229" s="152"/>
      <c r="AF229" s="173"/>
      <c r="AG229" s="185"/>
      <c r="AH229" s="185"/>
      <c r="AI229" s="186"/>
      <c r="AJ229" s="181"/>
      <c r="AK229" s="181"/>
      <c r="AL229" s="183"/>
      <c r="AM229" s="173"/>
      <c r="AN229" s="187"/>
      <c r="AO229" s="195"/>
      <c r="AP229" s="193"/>
      <c r="AQ229" s="193"/>
      <c r="AR229" s="193"/>
      <c r="AS229" s="193"/>
      <c r="AT229" s="193"/>
      <c r="AU229" s="193"/>
      <c r="AV229" s="194"/>
      <c r="AW229" s="193"/>
      <c r="AX229" s="207"/>
      <c r="AY229" s="208"/>
      <c r="AZ229" s="209"/>
      <c r="BA229" s="209"/>
      <c r="BB229" s="209"/>
      <c r="BC229" s="206"/>
      <c r="BD229" s="206"/>
      <c r="BE229" s="213"/>
      <c r="BF229" s="217"/>
      <c r="BG229" s="209"/>
      <c r="BH229" s="218"/>
      <c r="BI229" s="215"/>
      <c r="BJ229" s="215"/>
      <c r="BK229" s="215"/>
      <c r="BL229" s="215"/>
      <c r="BM229" s="215"/>
      <c r="BN229" s="215"/>
      <c r="BO229" s="216"/>
      <c r="BP229" s="215"/>
      <c r="BQ229" s="228"/>
      <c r="BR229" s="229"/>
      <c r="BS229" s="230"/>
      <c r="BT229" s="230"/>
      <c r="BU229" s="230"/>
      <c r="BV229" s="227"/>
      <c r="BW229" s="227"/>
      <c r="BX229" s="234"/>
      <c r="BY229" s="229"/>
      <c r="BZ229" s="230"/>
      <c r="CA229" s="235"/>
    </row>
    <row r="230" spans="1:79" ht="151.5" customHeight="1">
      <c r="A230" s="134" t="str">
        <f>IFERROR(INDEX(Riesgos!$A$7:$M$84,MATCH(E230,INDEX(Riesgos!$A$7:$M$84,,MATCH(E$7,Riesgos!$A$6:$M$6,0)),0),MATCH(A$7,Riesgos!$A$6:$M$6,0)),"")</f>
        <v/>
      </c>
      <c r="B230" s="135" t="str">
        <f>IFERROR(INDEX(Riesgos!$A$7:$M$84,MATCH(E230,INDEX(Riesgos!$A$7:$M$84,,MATCH(E$7,Riesgos!$A$6:$M$6,0)),0),MATCH(B$7,Riesgos!$A$6:$M$6,0)),"")</f>
        <v/>
      </c>
      <c r="C230" s="135"/>
      <c r="D230" s="136" t="str">
        <f>IFERROR(INDEX(Riesgos!$A$7:$M$84,MATCH(E230,INDEX(Riesgos!$A$7:$M$84,,MATCH(E$7,Riesgos!$A$6:$M$6,0)),0),MATCH(D$7,Riesgos!$A$6:$M$6,0)),"")</f>
        <v/>
      </c>
      <c r="E230" s="137"/>
      <c r="F230" s="137"/>
      <c r="G230" s="138" t="str">
        <f t="shared" si="4"/>
        <v/>
      </c>
      <c r="H230" s="139"/>
      <c r="I230" s="153" t="str">
        <f>IF(A229=A230,IFERROR(IF(AND(#REF!="Probabilidad",#REF!="Probabilidad"),(#REF!-(+#REF!*#REF!)),IF(#REF!="Probabilidad",(#REF!-(+#REF!*#REF!)),IF(#REF!="Impacto",#REF!,""))),""),IFERROR(IF(#REF!="Probabilidad",(#REF!-(+#REF!*#REF!)),IF(#REF!="Impacto",#REF!,"")),""))</f>
        <v/>
      </c>
      <c r="J230" s="154" t="str">
        <f>IFERROR(IF(I230="","",IF(I230&lt;='Listas y tablas'!$L$3,"Muy Baja",IF(I230&lt;='Listas y tablas'!$L$4,"Baja",IF(I230&lt;='Listas y tablas'!$L$5,"Media",IF(I230&lt;='Listas y tablas'!$L$6,"Alta","Muy Alta"))))),"")</f>
        <v/>
      </c>
      <c r="K230" s="155"/>
      <c r="L230" s="156"/>
      <c r="M230" s="150"/>
      <c r="N230" s="151"/>
      <c r="O230" s="151"/>
      <c r="P230" s="152"/>
      <c r="Q230" s="162"/>
      <c r="R230" s="151"/>
      <c r="S230" s="151"/>
      <c r="T230" s="151"/>
      <c r="U230" s="151"/>
      <c r="V230" s="165"/>
      <c r="W230" s="150"/>
      <c r="X230" s="151"/>
      <c r="Y230" s="151"/>
      <c r="Z230" s="151"/>
      <c r="AA230" s="151"/>
      <c r="AB230" s="151"/>
      <c r="AC230" s="163"/>
      <c r="AD230" s="151"/>
      <c r="AE230" s="152"/>
      <c r="AF230" s="173"/>
      <c r="AG230" s="185"/>
      <c r="AH230" s="185"/>
      <c r="AI230" s="186"/>
      <c r="AJ230" s="181"/>
      <c r="AK230" s="181"/>
      <c r="AL230" s="183"/>
      <c r="AM230" s="173"/>
      <c r="AN230" s="187"/>
      <c r="AO230" s="195"/>
      <c r="AP230" s="193"/>
      <c r="AQ230" s="193"/>
      <c r="AR230" s="193"/>
      <c r="AS230" s="193"/>
      <c r="AT230" s="193"/>
      <c r="AU230" s="193"/>
      <c r="AV230" s="194"/>
      <c r="AW230" s="193"/>
      <c r="AX230" s="207"/>
      <c r="AY230" s="208"/>
      <c r="AZ230" s="209"/>
      <c r="BA230" s="209"/>
      <c r="BB230" s="209"/>
      <c r="BC230" s="206"/>
      <c r="BD230" s="206"/>
      <c r="BE230" s="213"/>
      <c r="BF230" s="217"/>
      <c r="BG230" s="209"/>
      <c r="BH230" s="218"/>
      <c r="BI230" s="215"/>
      <c r="BJ230" s="215"/>
      <c r="BK230" s="215"/>
      <c r="BL230" s="215"/>
      <c r="BM230" s="215"/>
      <c r="BN230" s="215"/>
      <c r="BO230" s="216"/>
      <c r="BP230" s="215"/>
      <c r="BQ230" s="228"/>
      <c r="BR230" s="229"/>
      <c r="BS230" s="230"/>
      <c r="BT230" s="230"/>
      <c r="BU230" s="230"/>
      <c r="BV230" s="227"/>
      <c r="BW230" s="227"/>
      <c r="BX230" s="234"/>
      <c r="BY230" s="229"/>
      <c r="BZ230" s="230"/>
      <c r="CA230" s="235"/>
    </row>
    <row r="231" spans="1:79" ht="151.5" customHeight="1">
      <c r="A231" s="134" t="str">
        <f>IFERROR(INDEX(Riesgos!$A$7:$M$84,MATCH(E231,INDEX(Riesgos!$A$7:$M$84,,MATCH(E$7,Riesgos!$A$6:$M$6,0)),0),MATCH(A$7,Riesgos!$A$6:$M$6,0)),"")</f>
        <v/>
      </c>
      <c r="B231" s="135" t="str">
        <f>IFERROR(INDEX(Riesgos!$A$7:$M$84,MATCH(E231,INDEX(Riesgos!$A$7:$M$84,,MATCH(E$7,Riesgos!$A$6:$M$6,0)),0),MATCH(B$7,Riesgos!$A$6:$M$6,0)),"")</f>
        <v/>
      </c>
      <c r="C231" s="135"/>
      <c r="D231" s="136" t="str">
        <f>IFERROR(INDEX(Riesgos!$A$7:$M$84,MATCH(E231,INDEX(Riesgos!$A$7:$M$84,,MATCH(E$7,Riesgos!$A$6:$M$6,0)),0),MATCH(D$7,Riesgos!$A$6:$M$6,0)),"")</f>
        <v/>
      </c>
      <c r="E231" s="137"/>
      <c r="F231" s="137"/>
      <c r="G231" s="138" t="str">
        <f t="shared" si="4"/>
        <v/>
      </c>
      <c r="H231" s="139"/>
      <c r="I231" s="153" t="str">
        <f>IF(A230=A231,IFERROR(IF(AND(#REF!="Probabilidad",#REF!="Probabilidad"),(#REF!-(+#REF!*#REF!)),IF(#REF!="Probabilidad",(#REF!-(+#REF!*#REF!)),IF(#REF!="Impacto",#REF!,""))),""),IFERROR(IF(#REF!="Probabilidad",(#REF!-(+#REF!*#REF!)),IF(#REF!="Impacto",#REF!,"")),""))</f>
        <v/>
      </c>
      <c r="J231" s="154" t="str">
        <f>IFERROR(IF(I231="","",IF(I231&lt;='Listas y tablas'!$L$3,"Muy Baja",IF(I231&lt;='Listas y tablas'!$L$4,"Baja",IF(I231&lt;='Listas y tablas'!$L$5,"Media",IF(I231&lt;='Listas y tablas'!$L$6,"Alta","Muy Alta"))))),"")</f>
        <v/>
      </c>
      <c r="K231" s="155"/>
      <c r="L231" s="156"/>
      <c r="M231" s="150"/>
      <c r="N231" s="151"/>
      <c r="O231" s="151"/>
      <c r="P231" s="152"/>
      <c r="Q231" s="162"/>
      <c r="R231" s="151"/>
      <c r="S231" s="151"/>
      <c r="T231" s="151"/>
      <c r="U231" s="151"/>
      <c r="V231" s="165"/>
      <c r="W231" s="150"/>
      <c r="X231" s="151"/>
      <c r="Y231" s="151"/>
      <c r="Z231" s="151"/>
      <c r="AA231" s="151"/>
      <c r="AB231" s="151"/>
      <c r="AC231" s="163"/>
      <c r="AD231" s="151"/>
      <c r="AE231" s="152"/>
      <c r="AF231" s="173"/>
      <c r="AG231" s="185"/>
      <c r="AH231" s="185"/>
      <c r="AI231" s="186"/>
      <c r="AJ231" s="181"/>
      <c r="AK231" s="181"/>
      <c r="AL231" s="183"/>
      <c r="AM231" s="173"/>
      <c r="AN231" s="187"/>
      <c r="AO231" s="195"/>
      <c r="AP231" s="193"/>
      <c r="AQ231" s="193"/>
      <c r="AR231" s="193"/>
      <c r="AS231" s="193"/>
      <c r="AT231" s="193"/>
      <c r="AU231" s="193"/>
      <c r="AV231" s="194"/>
      <c r="AW231" s="193"/>
      <c r="AX231" s="207"/>
      <c r="AY231" s="208"/>
      <c r="AZ231" s="209"/>
      <c r="BA231" s="209"/>
      <c r="BB231" s="209"/>
      <c r="BC231" s="206"/>
      <c r="BD231" s="206"/>
      <c r="BE231" s="213"/>
      <c r="BF231" s="217"/>
      <c r="BG231" s="209"/>
      <c r="BH231" s="218"/>
      <c r="BI231" s="215"/>
      <c r="BJ231" s="215"/>
      <c r="BK231" s="215"/>
      <c r="BL231" s="215"/>
      <c r="BM231" s="215"/>
      <c r="BN231" s="215"/>
      <c r="BO231" s="216"/>
      <c r="BP231" s="215"/>
      <c r="BQ231" s="228"/>
      <c r="BR231" s="229"/>
      <c r="BS231" s="230"/>
      <c r="BT231" s="230"/>
      <c r="BU231" s="230"/>
      <c r="BV231" s="227"/>
      <c r="BW231" s="227"/>
      <c r="BX231" s="234"/>
      <c r="BY231" s="229"/>
      <c r="BZ231" s="230"/>
      <c r="CA231" s="235"/>
    </row>
    <row r="232" spans="1:79" ht="151.5" customHeight="1">
      <c r="A232" s="134" t="str">
        <f>IFERROR(INDEX(Riesgos!$A$7:$M$84,MATCH(E232,INDEX(Riesgos!$A$7:$M$84,,MATCH(E$7,Riesgos!$A$6:$M$6,0)),0),MATCH(A$7,Riesgos!$A$6:$M$6,0)),"")</f>
        <v/>
      </c>
      <c r="B232" s="135" t="str">
        <f>IFERROR(INDEX(Riesgos!$A$7:$M$84,MATCH(E232,INDEX(Riesgos!$A$7:$M$84,,MATCH(E$7,Riesgos!$A$6:$M$6,0)),0),MATCH(B$7,Riesgos!$A$6:$M$6,0)),"")</f>
        <v/>
      </c>
      <c r="C232" s="135"/>
      <c r="D232" s="136" t="str">
        <f>IFERROR(INDEX(Riesgos!$A$7:$M$84,MATCH(E232,INDEX(Riesgos!$A$7:$M$84,,MATCH(E$7,Riesgos!$A$6:$M$6,0)),0),MATCH(D$7,Riesgos!$A$6:$M$6,0)),"")</f>
        <v/>
      </c>
      <c r="E232" s="137"/>
      <c r="F232" s="137"/>
      <c r="G232" s="138" t="str">
        <f t="shared" si="4"/>
        <v/>
      </c>
      <c r="H232" s="139"/>
      <c r="I232" s="153" t="str">
        <f>IF(A231=A232,IFERROR(IF(AND(#REF!="Probabilidad",#REF!="Probabilidad"),(#REF!-(+#REF!*#REF!)),IF(#REF!="Probabilidad",(#REF!-(+#REF!*#REF!)),IF(#REF!="Impacto",#REF!,""))),""),IFERROR(IF(#REF!="Probabilidad",(#REF!-(+#REF!*#REF!)),IF(#REF!="Impacto",#REF!,"")),""))</f>
        <v/>
      </c>
      <c r="J232" s="154" t="str">
        <f>IFERROR(IF(I232="","",IF(I232&lt;='Listas y tablas'!$L$3,"Muy Baja",IF(I232&lt;='Listas y tablas'!$L$4,"Baja",IF(I232&lt;='Listas y tablas'!$L$5,"Media",IF(I232&lt;='Listas y tablas'!$L$6,"Alta","Muy Alta"))))),"")</f>
        <v/>
      </c>
      <c r="K232" s="155"/>
      <c r="L232" s="156"/>
      <c r="M232" s="150"/>
      <c r="N232" s="151"/>
      <c r="O232" s="151"/>
      <c r="P232" s="152"/>
      <c r="Q232" s="162"/>
      <c r="R232" s="151"/>
      <c r="S232" s="151"/>
      <c r="T232" s="151"/>
      <c r="U232" s="151"/>
      <c r="V232" s="165"/>
      <c r="W232" s="150"/>
      <c r="X232" s="151"/>
      <c r="Y232" s="151"/>
      <c r="Z232" s="151"/>
      <c r="AA232" s="151"/>
      <c r="AB232" s="151"/>
      <c r="AC232" s="163"/>
      <c r="AD232" s="151"/>
      <c r="AE232" s="152"/>
      <c r="AF232" s="173"/>
      <c r="AG232" s="185"/>
      <c r="AH232" s="185"/>
      <c r="AI232" s="186"/>
      <c r="AJ232" s="181"/>
      <c r="AK232" s="181"/>
      <c r="AL232" s="183"/>
      <c r="AM232" s="173"/>
      <c r="AN232" s="187"/>
      <c r="AO232" s="195"/>
      <c r="AP232" s="193"/>
      <c r="AQ232" s="193"/>
      <c r="AR232" s="193"/>
      <c r="AS232" s="193"/>
      <c r="AT232" s="193"/>
      <c r="AU232" s="193"/>
      <c r="AV232" s="194"/>
      <c r="AW232" s="193"/>
      <c r="AX232" s="207"/>
      <c r="AY232" s="208"/>
      <c r="AZ232" s="209"/>
      <c r="BA232" s="209"/>
      <c r="BB232" s="209"/>
      <c r="BC232" s="206"/>
      <c r="BD232" s="206"/>
      <c r="BE232" s="213"/>
      <c r="BF232" s="217"/>
      <c r="BG232" s="209"/>
      <c r="BH232" s="218"/>
      <c r="BI232" s="215"/>
      <c r="BJ232" s="215"/>
      <c r="BK232" s="215"/>
      <c r="BL232" s="215"/>
      <c r="BM232" s="215"/>
      <c r="BN232" s="215"/>
      <c r="BO232" s="216"/>
      <c r="BP232" s="215"/>
      <c r="BQ232" s="228"/>
      <c r="BR232" s="229"/>
      <c r="BS232" s="230"/>
      <c r="BT232" s="230"/>
      <c r="BU232" s="230"/>
      <c r="BV232" s="227"/>
      <c r="BW232" s="227"/>
      <c r="BX232" s="234"/>
      <c r="BY232" s="229"/>
      <c r="BZ232" s="230"/>
      <c r="CA232" s="235"/>
    </row>
    <row r="233" spans="1:79" ht="151.5" customHeight="1">
      <c r="A233" s="134" t="str">
        <f>IFERROR(INDEX(Riesgos!$A$7:$M$84,MATCH(E233,INDEX(Riesgos!$A$7:$M$84,,MATCH(E$7,Riesgos!$A$6:$M$6,0)),0),MATCH(A$7,Riesgos!$A$6:$M$6,0)),"")</f>
        <v/>
      </c>
      <c r="B233" s="135" t="str">
        <f>IFERROR(INDEX(Riesgos!$A$7:$M$84,MATCH(E233,INDEX(Riesgos!$A$7:$M$84,,MATCH(E$7,Riesgos!$A$6:$M$6,0)),0),MATCH(B$7,Riesgos!$A$6:$M$6,0)),"")</f>
        <v/>
      </c>
      <c r="C233" s="135"/>
      <c r="D233" s="136" t="str">
        <f>IFERROR(INDEX(Riesgos!$A$7:$M$84,MATCH(E233,INDEX(Riesgos!$A$7:$M$84,,MATCH(E$7,Riesgos!$A$6:$M$6,0)),0),MATCH(D$7,Riesgos!$A$6:$M$6,0)),"")</f>
        <v/>
      </c>
      <c r="E233" s="137"/>
      <c r="F233" s="137"/>
      <c r="G233" s="138" t="str">
        <f t="shared" si="4"/>
        <v/>
      </c>
      <c r="H233" s="139"/>
      <c r="I233" s="153" t="str">
        <f>IF(A232=A233,IFERROR(IF(AND(#REF!="Probabilidad",#REF!="Probabilidad"),(#REF!-(+#REF!*#REF!)),IF(#REF!="Probabilidad",(#REF!-(+#REF!*#REF!)),IF(#REF!="Impacto",#REF!,""))),""),IFERROR(IF(#REF!="Probabilidad",(#REF!-(+#REF!*#REF!)),IF(#REF!="Impacto",#REF!,"")),""))</f>
        <v/>
      </c>
      <c r="J233" s="154" t="str">
        <f>IFERROR(IF(I233="","",IF(I233&lt;='Listas y tablas'!$L$3,"Muy Baja",IF(I233&lt;='Listas y tablas'!$L$4,"Baja",IF(I233&lt;='Listas y tablas'!$L$5,"Media",IF(I233&lt;='Listas y tablas'!$L$6,"Alta","Muy Alta"))))),"")</f>
        <v/>
      </c>
      <c r="K233" s="155"/>
      <c r="L233" s="156"/>
      <c r="M233" s="150"/>
      <c r="N233" s="151"/>
      <c r="O233" s="151"/>
      <c r="P233" s="152"/>
      <c r="Q233" s="162"/>
      <c r="R233" s="151"/>
      <c r="S233" s="151"/>
      <c r="T233" s="151"/>
      <c r="U233" s="151"/>
      <c r="V233" s="165"/>
      <c r="W233" s="150"/>
      <c r="X233" s="151"/>
      <c r="Y233" s="151"/>
      <c r="Z233" s="151"/>
      <c r="AA233" s="151"/>
      <c r="AB233" s="151"/>
      <c r="AC233" s="163"/>
      <c r="AD233" s="151"/>
      <c r="AE233" s="152"/>
      <c r="AF233" s="173"/>
      <c r="AG233" s="185"/>
      <c r="AH233" s="185"/>
      <c r="AI233" s="186"/>
      <c r="AJ233" s="181"/>
      <c r="AK233" s="181"/>
      <c r="AL233" s="183"/>
      <c r="AM233" s="173"/>
      <c r="AN233" s="187"/>
      <c r="AO233" s="195"/>
      <c r="AP233" s="193"/>
      <c r="AQ233" s="193"/>
      <c r="AR233" s="193"/>
      <c r="AS233" s="193"/>
      <c r="AT233" s="193"/>
      <c r="AU233" s="193"/>
      <c r="AV233" s="194"/>
      <c r="AW233" s="193"/>
      <c r="AX233" s="207"/>
      <c r="AY233" s="208"/>
      <c r="AZ233" s="209"/>
      <c r="BA233" s="209"/>
      <c r="BB233" s="209"/>
      <c r="BC233" s="206"/>
      <c r="BD233" s="206"/>
      <c r="BE233" s="213"/>
      <c r="BF233" s="217"/>
      <c r="BG233" s="209"/>
      <c r="BH233" s="218"/>
      <c r="BI233" s="215"/>
      <c r="BJ233" s="215"/>
      <c r="BK233" s="215"/>
      <c r="BL233" s="215"/>
      <c r="BM233" s="215"/>
      <c r="BN233" s="215"/>
      <c r="BO233" s="216"/>
      <c r="BP233" s="215"/>
      <c r="BQ233" s="228"/>
      <c r="BR233" s="229"/>
      <c r="BS233" s="230"/>
      <c r="BT233" s="230"/>
      <c r="BU233" s="230"/>
      <c r="BV233" s="227"/>
      <c r="BW233" s="227"/>
      <c r="BX233" s="234"/>
      <c r="BY233" s="229"/>
      <c r="BZ233" s="230"/>
      <c r="CA233" s="235"/>
    </row>
    <row r="234" spans="1:79" ht="151.5" customHeight="1">
      <c r="A234" s="134" t="str">
        <f>IFERROR(INDEX(Riesgos!$A$7:$M$84,MATCH(E234,INDEX(Riesgos!$A$7:$M$84,,MATCH(E$7,Riesgos!$A$6:$M$6,0)),0),MATCH(A$7,Riesgos!$A$6:$M$6,0)),"")</f>
        <v/>
      </c>
      <c r="B234" s="135" t="str">
        <f>IFERROR(INDEX(Riesgos!$A$7:$M$84,MATCH(E234,INDEX(Riesgos!$A$7:$M$84,,MATCH(E$7,Riesgos!$A$6:$M$6,0)),0),MATCH(B$7,Riesgos!$A$6:$M$6,0)),"")</f>
        <v/>
      </c>
      <c r="C234" s="135"/>
      <c r="D234" s="136" t="str">
        <f>IFERROR(INDEX(Riesgos!$A$7:$M$84,MATCH(E234,INDEX(Riesgos!$A$7:$M$84,,MATCH(E$7,Riesgos!$A$6:$M$6,0)),0),MATCH(D$7,Riesgos!$A$6:$M$6,0)),"")</f>
        <v/>
      </c>
      <c r="E234" s="137"/>
      <c r="F234" s="137"/>
      <c r="G234" s="138" t="str">
        <f t="shared" si="4"/>
        <v/>
      </c>
      <c r="H234" s="139"/>
      <c r="I234" s="153" t="str">
        <f>IF(A233=A234,IFERROR(IF(AND(#REF!="Probabilidad",#REF!="Probabilidad"),(#REF!-(+#REF!*#REF!)),IF(#REF!="Probabilidad",(#REF!-(+#REF!*#REF!)),IF(#REF!="Impacto",#REF!,""))),""),IFERROR(IF(#REF!="Probabilidad",(#REF!-(+#REF!*#REF!)),IF(#REF!="Impacto",#REF!,"")),""))</f>
        <v/>
      </c>
      <c r="J234" s="154" t="str">
        <f>IFERROR(IF(I234="","",IF(I234&lt;='Listas y tablas'!$L$3,"Muy Baja",IF(I234&lt;='Listas y tablas'!$L$4,"Baja",IF(I234&lt;='Listas y tablas'!$L$5,"Media",IF(I234&lt;='Listas y tablas'!$L$6,"Alta","Muy Alta"))))),"")</f>
        <v/>
      </c>
      <c r="K234" s="155"/>
      <c r="L234" s="156"/>
      <c r="M234" s="150"/>
      <c r="N234" s="151"/>
      <c r="O234" s="151"/>
      <c r="P234" s="152"/>
      <c r="Q234" s="162"/>
      <c r="R234" s="151"/>
      <c r="S234" s="151"/>
      <c r="T234" s="151"/>
      <c r="U234" s="151"/>
      <c r="V234" s="165"/>
      <c r="W234" s="150"/>
      <c r="X234" s="151"/>
      <c r="Y234" s="151"/>
      <c r="Z234" s="151"/>
      <c r="AA234" s="151"/>
      <c r="AB234" s="151"/>
      <c r="AC234" s="163"/>
      <c r="AD234" s="151"/>
      <c r="AE234" s="152"/>
      <c r="AF234" s="173"/>
      <c r="AG234" s="185"/>
      <c r="AH234" s="185"/>
      <c r="AI234" s="186"/>
      <c r="AJ234" s="181"/>
      <c r="AK234" s="181"/>
      <c r="AL234" s="183"/>
      <c r="AM234" s="173"/>
      <c r="AN234" s="187"/>
      <c r="AO234" s="195"/>
      <c r="AP234" s="193"/>
      <c r="AQ234" s="193"/>
      <c r="AR234" s="193"/>
      <c r="AS234" s="193"/>
      <c r="AT234" s="193"/>
      <c r="AU234" s="193"/>
      <c r="AV234" s="194"/>
      <c r="AW234" s="193"/>
      <c r="AX234" s="207"/>
      <c r="AY234" s="208"/>
      <c r="AZ234" s="209"/>
      <c r="BA234" s="209"/>
      <c r="BB234" s="209"/>
      <c r="BC234" s="206"/>
      <c r="BD234" s="206"/>
      <c r="BE234" s="213"/>
      <c r="BF234" s="217"/>
      <c r="BG234" s="209"/>
      <c r="BH234" s="218"/>
      <c r="BI234" s="215"/>
      <c r="BJ234" s="215"/>
      <c r="BK234" s="215"/>
      <c r="BL234" s="215"/>
      <c r="BM234" s="215"/>
      <c r="BN234" s="215"/>
      <c r="BO234" s="216"/>
      <c r="BP234" s="215"/>
      <c r="BQ234" s="228"/>
      <c r="BR234" s="229"/>
      <c r="BS234" s="230"/>
      <c r="BT234" s="230"/>
      <c r="BU234" s="230"/>
      <c r="BV234" s="227"/>
      <c r="BW234" s="227"/>
      <c r="BX234" s="234"/>
      <c r="BY234" s="229"/>
      <c r="BZ234" s="230"/>
      <c r="CA234" s="235"/>
    </row>
    <row r="235" spans="1:79" ht="151.5" customHeight="1">
      <c r="A235" s="134" t="str">
        <f>IFERROR(INDEX(Riesgos!$A$7:$M$84,MATCH(E235,INDEX(Riesgos!$A$7:$M$84,,MATCH(E$7,Riesgos!$A$6:$M$6,0)),0),MATCH(A$7,Riesgos!$A$6:$M$6,0)),"")</f>
        <v/>
      </c>
      <c r="B235" s="135" t="str">
        <f>IFERROR(INDEX(Riesgos!$A$7:$M$84,MATCH(E235,INDEX(Riesgos!$A$7:$M$84,,MATCH(E$7,Riesgos!$A$6:$M$6,0)),0),MATCH(B$7,Riesgos!$A$6:$M$6,0)),"")</f>
        <v/>
      </c>
      <c r="C235" s="135"/>
      <c r="D235" s="136" t="str">
        <f>IFERROR(INDEX(Riesgos!$A$7:$M$84,MATCH(E235,INDEX(Riesgos!$A$7:$M$84,,MATCH(E$7,Riesgos!$A$6:$M$6,0)),0),MATCH(D$7,Riesgos!$A$6:$M$6,0)),"")</f>
        <v/>
      </c>
      <c r="E235" s="137"/>
      <c r="F235" s="137"/>
      <c r="G235" s="138" t="str">
        <f t="shared" si="4"/>
        <v/>
      </c>
      <c r="H235" s="139"/>
      <c r="I235" s="153" t="str">
        <f>IF(A234=A235,IFERROR(IF(AND(#REF!="Probabilidad",#REF!="Probabilidad"),(#REF!-(+#REF!*#REF!)),IF(#REF!="Probabilidad",(#REF!-(+#REF!*#REF!)),IF(#REF!="Impacto",#REF!,""))),""),IFERROR(IF(#REF!="Probabilidad",(#REF!-(+#REF!*#REF!)),IF(#REF!="Impacto",#REF!,"")),""))</f>
        <v/>
      </c>
      <c r="J235" s="154" t="str">
        <f>IFERROR(IF(I235="","",IF(I235&lt;='Listas y tablas'!$L$3,"Muy Baja",IF(I235&lt;='Listas y tablas'!$L$4,"Baja",IF(I235&lt;='Listas y tablas'!$L$5,"Media",IF(I235&lt;='Listas y tablas'!$L$6,"Alta","Muy Alta"))))),"")</f>
        <v/>
      </c>
      <c r="K235" s="155"/>
      <c r="L235" s="156"/>
      <c r="M235" s="150"/>
      <c r="N235" s="151"/>
      <c r="O235" s="151"/>
      <c r="P235" s="152"/>
      <c r="Q235" s="162"/>
      <c r="R235" s="151"/>
      <c r="S235" s="151"/>
      <c r="T235" s="151"/>
      <c r="U235" s="151"/>
      <c r="V235" s="165"/>
      <c r="W235" s="150"/>
      <c r="X235" s="151"/>
      <c r="Y235" s="151"/>
      <c r="Z235" s="151"/>
      <c r="AA235" s="151"/>
      <c r="AB235" s="151"/>
      <c r="AC235" s="163"/>
      <c r="AD235" s="151"/>
      <c r="AE235" s="152"/>
      <c r="AF235" s="173"/>
      <c r="AG235" s="185"/>
      <c r="AH235" s="185"/>
      <c r="AI235" s="186"/>
      <c r="AJ235" s="181"/>
      <c r="AK235" s="181"/>
      <c r="AL235" s="183"/>
      <c r="AM235" s="173"/>
      <c r="AN235" s="187"/>
      <c r="AO235" s="195"/>
      <c r="AP235" s="193"/>
      <c r="AQ235" s="193"/>
      <c r="AR235" s="193"/>
      <c r="AS235" s="193"/>
      <c r="AT235" s="193"/>
      <c r="AU235" s="193"/>
      <c r="AV235" s="194"/>
      <c r="AW235" s="193"/>
      <c r="AX235" s="207"/>
      <c r="AY235" s="208"/>
      <c r="AZ235" s="209"/>
      <c r="BA235" s="209"/>
      <c r="BB235" s="209"/>
      <c r="BC235" s="206"/>
      <c r="BD235" s="206"/>
      <c r="BE235" s="213"/>
      <c r="BF235" s="217"/>
      <c r="BG235" s="209"/>
      <c r="BH235" s="218"/>
      <c r="BI235" s="215"/>
      <c r="BJ235" s="215"/>
      <c r="BK235" s="215"/>
      <c r="BL235" s="215"/>
      <c r="BM235" s="215"/>
      <c r="BN235" s="215"/>
      <c r="BO235" s="216"/>
      <c r="BP235" s="215"/>
      <c r="BQ235" s="228"/>
      <c r="BR235" s="229"/>
      <c r="BS235" s="230"/>
      <c r="BT235" s="230"/>
      <c r="BU235" s="230"/>
      <c r="BV235" s="227"/>
      <c r="BW235" s="227"/>
      <c r="BX235" s="234"/>
      <c r="BY235" s="229"/>
      <c r="BZ235" s="230"/>
      <c r="CA235" s="235"/>
    </row>
    <row r="236" spans="1:79" ht="151.5" customHeight="1">
      <c r="A236" s="134" t="str">
        <f>IFERROR(INDEX(Riesgos!$A$7:$M$84,MATCH(E236,INDEX(Riesgos!$A$7:$M$84,,MATCH(E$7,Riesgos!$A$6:$M$6,0)),0),MATCH(A$7,Riesgos!$A$6:$M$6,0)),"")</f>
        <v/>
      </c>
      <c r="B236" s="135" t="str">
        <f>IFERROR(INDEX(Riesgos!$A$7:$M$84,MATCH(E236,INDEX(Riesgos!$A$7:$M$84,,MATCH(E$7,Riesgos!$A$6:$M$6,0)),0),MATCH(B$7,Riesgos!$A$6:$M$6,0)),"")</f>
        <v/>
      </c>
      <c r="C236" s="135"/>
      <c r="D236" s="136" t="str">
        <f>IFERROR(INDEX(Riesgos!$A$7:$M$84,MATCH(E236,INDEX(Riesgos!$A$7:$M$84,,MATCH(E$7,Riesgos!$A$6:$M$6,0)),0),MATCH(D$7,Riesgos!$A$6:$M$6,0)),"")</f>
        <v/>
      </c>
      <c r="E236" s="137"/>
      <c r="F236" s="137"/>
      <c r="G236" s="138" t="str">
        <f t="shared" si="4"/>
        <v/>
      </c>
      <c r="H236" s="139"/>
      <c r="I236" s="153" t="str">
        <f>IF(A235=A236,IFERROR(IF(AND(#REF!="Probabilidad",#REF!="Probabilidad"),(#REF!-(+#REF!*#REF!)),IF(#REF!="Probabilidad",(#REF!-(+#REF!*#REF!)),IF(#REF!="Impacto",#REF!,""))),""),IFERROR(IF(#REF!="Probabilidad",(#REF!-(+#REF!*#REF!)),IF(#REF!="Impacto",#REF!,"")),""))</f>
        <v/>
      </c>
      <c r="J236" s="154" t="str">
        <f>IFERROR(IF(I236="","",IF(I236&lt;='Listas y tablas'!$L$3,"Muy Baja",IF(I236&lt;='Listas y tablas'!$L$4,"Baja",IF(I236&lt;='Listas y tablas'!$L$5,"Media",IF(I236&lt;='Listas y tablas'!$L$6,"Alta","Muy Alta"))))),"")</f>
        <v/>
      </c>
      <c r="K236" s="155"/>
      <c r="L236" s="156"/>
      <c r="M236" s="150"/>
      <c r="N236" s="151"/>
      <c r="O236" s="151"/>
      <c r="P236" s="152"/>
      <c r="Q236" s="162"/>
      <c r="R236" s="151"/>
      <c r="S236" s="151"/>
      <c r="T236" s="151"/>
      <c r="U236" s="151"/>
      <c r="V236" s="165"/>
      <c r="W236" s="150"/>
      <c r="X236" s="151"/>
      <c r="Y236" s="151"/>
      <c r="Z236" s="151"/>
      <c r="AA236" s="151"/>
      <c r="AB236" s="151"/>
      <c r="AC236" s="163"/>
      <c r="AD236" s="151"/>
      <c r="AE236" s="152"/>
      <c r="AF236" s="173"/>
      <c r="AG236" s="185"/>
      <c r="AH236" s="185"/>
      <c r="AI236" s="186"/>
      <c r="AJ236" s="181"/>
      <c r="AK236" s="181"/>
      <c r="AL236" s="183"/>
      <c r="AM236" s="173"/>
      <c r="AN236" s="187"/>
      <c r="AO236" s="195"/>
      <c r="AP236" s="193"/>
      <c r="AQ236" s="193"/>
      <c r="AR236" s="193"/>
      <c r="AS236" s="193"/>
      <c r="AT236" s="193"/>
      <c r="AU236" s="193"/>
      <c r="AV236" s="194"/>
      <c r="AW236" s="193"/>
      <c r="AX236" s="207"/>
      <c r="AY236" s="208"/>
      <c r="AZ236" s="209"/>
      <c r="BA236" s="209"/>
      <c r="BB236" s="209"/>
      <c r="BC236" s="206"/>
      <c r="BD236" s="206"/>
      <c r="BE236" s="213"/>
      <c r="BF236" s="217"/>
      <c r="BG236" s="209"/>
      <c r="BH236" s="218"/>
      <c r="BI236" s="215"/>
      <c r="BJ236" s="215"/>
      <c r="BK236" s="215"/>
      <c r="BL236" s="215"/>
      <c r="BM236" s="215"/>
      <c r="BN236" s="215"/>
      <c r="BO236" s="216"/>
      <c r="BP236" s="215"/>
      <c r="BQ236" s="228"/>
      <c r="BR236" s="229"/>
      <c r="BS236" s="230"/>
      <c r="BT236" s="230"/>
      <c r="BU236" s="230"/>
      <c r="BV236" s="227"/>
      <c r="BW236" s="227"/>
      <c r="BX236" s="234"/>
      <c r="BY236" s="229"/>
      <c r="BZ236" s="230"/>
      <c r="CA236" s="235"/>
    </row>
    <row r="237" spans="1:79" ht="151.5" customHeight="1">
      <c r="A237" s="134" t="str">
        <f>IFERROR(INDEX(Riesgos!$A$7:$M$84,MATCH(E237,INDEX(Riesgos!$A$7:$M$84,,MATCH(E$7,Riesgos!$A$6:$M$6,0)),0),MATCH(A$7,Riesgos!$A$6:$M$6,0)),"")</f>
        <v/>
      </c>
      <c r="B237" s="135" t="str">
        <f>IFERROR(INDEX(Riesgos!$A$7:$M$84,MATCH(E237,INDEX(Riesgos!$A$7:$M$84,,MATCH(E$7,Riesgos!$A$6:$M$6,0)),0),MATCH(B$7,Riesgos!$A$6:$M$6,0)),"")</f>
        <v/>
      </c>
      <c r="C237" s="135"/>
      <c r="D237" s="136" t="str">
        <f>IFERROR(INDEX(Riesgos!$A$7:$M$84,MATCH(E237,INDEX(Riesgos!$A$7:$M$84,,MATCH(E$7,Riesgos!$A$6:$M$6,0)),0),MATCH(D$7,Riesgos!$A$6:$M$6,0)),"")</f>
        <v/>
      </c>
      <c r="E237" s="137"/>
      <c r="F237" s="137"/>
      <c r="G237" s="138" t="str">
        <f t="shared" si="4"/>
        <v/>
      </c>
      <c r="H237" s="139"/>
      <c r="I237" s="153" t="str">
        <f>IF(A236=A237,IFERROR(IF(AND(#REF!="Probabilidad",#REF!="Probabilidad"),(#REF!-(+#REF!*#REF!)),IF(#REF!="Probabilidad",(#REF!-(+#REF!*#REF!)),IF(#REF!="Impacto",#REF!,""))),""),IFERROR(IF(#REF!="Probabilidad",(#REF!-(+#REF!*#REF!)),IF(#REF!="Impacto",#REF!,"")),""))</f>
        <v/>
      </c>
      <c r="J237" s="154" t="str">
        <f>IFERROR(IF(I237="","",IF(I237&lt;='Listas y tablas'!$L$3,"Muy Baja",IF(I237&lt;='Listas y tablas'!$L$4,"Baja",IF(I237&lt;='Listas y tablas'!$L$5,"Media",IF(I237&lt;='Listas y tablas'!$L$6,"Alta","Muy Alta"))))),"")</f>
        <v/>
      </c>
      <c r="K237" s="155"/>
      <c r="L237" s="156"/>
      <c r="M237" s="150"/>
      <c r="N237" s="151"/>
      <c r="O237" s="151"/>
      <c r="P237" s="152"/>
      <c r="Q237" s="162"/>
      <c r="R237" s="151"/>
      <c r="S237" s="151"/>
      <c r="T237" s="151"/>
      <c r="U237" s="151"/>
      <c r="V237" s="165"/>
      <c r="W237" s="150"/>
      <c r="X237" s="151"/>
      <c r="Y237" s="151"/>
      <c r="Z237" s="151"/>
      <c r="AA237" s="151"/>
      <c r="AB237" s="151"/>
      <c r="AC237" s="163"/>
      <c r="AD237" s="151"/>
      <c r="AE237" s="152"/>
      <c r="AF237" s="173"/>
      <c r="AG237" s="185"/>
      <c r="AH237" s="185"/>
      <c r="AI237" s="186"/>
      <c r="AJ237" s="181"/>
      <c r="AK237" s="181"/>
      <c r="AL237" s="183"/>
      <c r="AM237" s="173"/>
      <c r="AN237" s="187"/>
      <c r="AO237" s="195"/>
      <c r="AP237" s="193"/>
      <c r="AQ237" s="193"/>
      <c r="AR237" s="193"/>
      <c r="AS237" s="193"/>
      <c r="AT237" s="193"/>
      <c r="AU237" s="193"/>
      <c r="AV237" s="194"/>
      <c r="AW237" s="193"/>
      <c r="AX237" s="207"/>
      <c r="AY237" s="208"/>
      <c r="AZ237" s="209"/>
      <c r="BA237" s="209"/>
      <c r="BB237" s="209"/>
      <c r="BC237" s="206"/>
      <c r="BD237" s="206"/>
      <c r="BE237" s="213"/>
      <c r="BF237" s="217"/>
      <c r="BG237" s="209"/>
      <c r="BH237" s="218"/>
      <c r="BI237" s="215"/>
      <c r="BJ237" s="215"/>
      <c r="BK237" s="215"/>
      <c r="BL237" s="215"/>
      <c r="BM237" s="215"/>
      <c r="BN237" s="215"/>
      <c r="BO237" s="216"/>
      <c r="BP237" s="215"/>
      <c r="BQ237" s="228"/>
      <c r="BR237" s="229"/>
      <c r="BS237" s="230"/>
      <c r="BT237" s="230"/>
      <c r="BU237" s="230"/>
      <c r="BV237" s="227"/>
      <c r="BW237" s="227"/>
      <c r="BX237" s="234"/>
      <c r="BY237" s="229"/>
      <c r="BZ237" s="230"/>
      <c r="CA237" s="235"/>
    </row>
    <row r="238" spans="1:79" ht="151.5" customHeight="1">
      <c r="A238" s="134" t="str">
        <f>IFERROR(INDEX(Riesgos!$A$7:$M$84,MATCH(E238,INDEX(Riesgos!$A$7:$M$84,,MATCH(E$7,Riesgos!$A$6:$M$6,0)),0),MATCH(A$7,Riesgos!$A$6:$M$6,0)),"")</f>
        <v/>
      </c>
      <c r="B238" s="135" t="str">
        <f>IFERROR(INDEX(Riesgos!$A$7:$M$84,MATCH(E238,INDEX(Riesgos!$A$7:$M$84,,MATCH(E$7,Riesgos!$A$6:$M$6,0)),0),MATCH(B$7,Riesgos!$A$6:$M$6,0)),"")</f>
        <v/>
      </c>
      <c r="C238" s="135"/>
      <c r="D238" s="136" t="str">
        <f>IFERROR(INDEX(Riesgos!$A$7:$M$84,MATCH(E238,INDEX(Riesgos!$A$7:$M$84,,MATCH(E$7,Riesgos!$A$6:$M$6,0)),0),MATCH(D$7,Riesgos!$A$6:$M$6,0)),"")</f>
        <v/>
      </c>
      <c r="E238" s="137"/>
      <c r="F238" s="137"/>
      <c r="G238" s="138" t="str">
        <f t="shared" si="4"/>
        <v/>
      </c>
      <c r="H238" s="139"/>
      <c r="I238" s="153" t="str">
        <f>IF(A237=A238,IFERROR(IF(AND(#REF!="Probabilidad",#REF!="Probabilidad"),(#REF!-(+#REF!*#REF!)),IF(#REF!="Probabilidad",(#REF!-(+#REF!*#REF!)),IF(#REF!="Impacto",#REF!,""))),""),IFERROR(IF(#REF!="Probabilidad",(#REF!-(+#REF!*#REF!)),IF(#REF!="Impacto",#REF!,"")),""))</f>
        <v/>
      </c>
      <c r="J238" s="154" t="str">
        <f>IFERROR(IF(I238="","",IF(I238&lt;='Listas y tablas'!$L$3,"Muy Baja",IF(I238&lt;='Listas y tablas'!$L$4,"Baja",IF(I238&lt;='Listas y tablas'!$L$5,"Media",IF(I238&lt;='Listas y tablas'!$L$6,"Alta","Muy Alta"))))),"")</f>
        <v/>
      </c>
      <c r="K238" s="155"/>
      <c r="L238" s="156"/>
      <c r="M238" s="150"/>
      <c r="N238" s="151"/>
      <c r="O238" s="151"/>
      <c r="P238" s="152"/>
      <c r="Q238" s="162"/>
      <c r="R238" s="151"/>
      <c r="S238" s="151"/>
      <c r="T238" s="151"/>
      <c r="U238" s="151"/>
      <c r="V238" s="165"/>
      <c r="W238" s="150"/>
      <c r="X238" s="151"/>
      <c r="Y238" s="151"/>
      <c r="Z238" s="151"/>
      <c r="AA238" s="151"/>
      <c r="AB238" s="151"/>
      <c r="AC238" s="163"/>
      <c r="AD238" s="151"/>
      <c r="AE238" s="152"/>
      <c r="AF238" s="173"/>
      <c r="AG238" s="185"/>
      <c r="AH238" s="185"/>
      <c r="AI238" s="186"/>
      <c r="AJ238" s="181"/>
      <c r="AK238" s="181"/>
      <c r="AL238" s="183"/>
      <c r="AM238" s="173"/>
      <c r="AN238" s="187"/>
      <c r="AO238" s="195"/>
      <c r="AP238" s="193"/>
      <c r="AQ238" s="193"/>
      <c r="AR238" s="193"/>
      <c r="AS238" s="193"/>
      <c r="AT238" s="193"/>
      <c r="AU238" s="193"/>
      <c r="AV238" s="194"/>
      <c r="AW238" s="193"/>
      <c r="AX238" s="207"/>
      <c r="AY238" s="208"/>
      <c r="AZ238" s="209"/>
      <c r="BA238" s="209"/>
      <c r="BB238" s="209"/>
      <c r="BC238" s="206"/>
      <c r="BD238" s="206"/>
      <c r="BE238" s="213"/>
      <c r="BF238" s="217"/>
      <c r="BG238" s="209"/>
      <c r="BH238" s="218"/>
      <c r="BI238" s="215"/>
      <c r="BJ238" s="215"/>
      <c r="BK238" s="215"/>
      <c r="BL238" s="215"/>
      <c r="BM238" s="215"/>
      <c r="BN238" s="215"/>
      <c r="BO238" s="216"/>
      <c r="BP238" s="215"/>
      <c r="BQ238" s="228"/>
      <c r="BR238" s="229"/>
      <c r="BS238" s="230"/>
      <c r="BT238" s="230"/>
      <c r="BU238" s="230"/>
      <c r="BV238" s="227"/>
      <c r="BW238" s="227"/>
      <c r="BX238" s="234"/>
      <c r="BY238" s="229"/>
      <c r="BZ238" s="230"/>
      <c r="CA238" s="235"/>
    </row>
    <row r="239" spans="1:79" ht="151.5" customHeight="1">
      <c r="A239" s="134" t="str">
        <f>IFERROR(INDEX(Riesgos!$A$7:$M$84,MATCH(E239,INDEX(Riesgos!$A$7:$M$84,,MATCH(E$7,Riesgos!$A$6:$M$6,0)),0),MATCH(A$7,Riesgos!$A$6:$M$6,0)),"")</f>
        <v/>
      </c>
      <c r="B239" s="135" t="str">
        <f>IFERROR(INDEX(Riesgos!$A$7:$M$84,MATCH(E239,INDEX(Riesgos!$A$7:$M$84,,MATCH(E$7,Riesgos!$A$6:$M$6,0)),0),MATCH(B$7,Riesgos!$A$6:$M$6,0)),"")</f>
        <v/>
      </c>
      <c r="C239" s="135"/>
      <c r="D239" s="136" t="str">
        <f>IFERROR(INDEX(Riesgos!$A$7:$M$84,MATCH(E239,INDEX(Riesgos!$A$7:$M$84,,MATCH(E$7,Riesgos!$A$6:$M$6,0)),0),MATCH(D$7,Riesgos!$A$6:$M$6,0)),"")</f>
        <v/>
      </c>
      <c r="E239" s="137"/>
      <c r="F239" s="137"/>
      <c r="G239" s="138" t="str">
        <f t="shared" si="4"/>
        <v/>
      </c>
      <c r="H239" s="139"/>
      <c r="I239" s="153" t="str">
        <f>IF(A238=A239,IFERROR(IF(AND(#REF!="Probabilidad",#REF!="Probabilidad"),(#REF!-(+#REF!*#REF!)),IF(#REF!="Probabilidad",(#REF!-(+#REF!*#REF!)),IF(#REF!="Impacto",#REF!,""))),""),IFERROR(IF(#REF!="Probabilidad",(#REF!-(+#REF!*#REF!)),IF(#REF!="Impacto",#REF!,"")),""))</f>
        <v/>
      </c>
      <c r="J239" s="154" t="str">
        <f>IFERROR(IF(I239="","",IF(I239&lt;='Listas y tablas'!$L$3,"Muy Baja",IF(I239&lt;='Listas y tablas'!$L$4,"Baja",IF(I239&lt;='Listas y tablas'!$L$5,"Media",IF(I239&lt;='Listas y tablas'!$L$6,"Alta","Muy Alta"))))),"")</f>
        <v/>
      </c>
      <c r="K239" s="155"/>
      <c r="L239" s="156"/>
      <c r="M239" s="150"/>
      <c r="N239" s="151"/>
      <c r="O239" s="151"/>
      <c r="P239" s="152"/>
      <c r="Q239" s="162"/>
      <c r="R239" s="151"/>
      <c r="S239" s="151"/>
      <c r="T239" s="151"/>
      <c r="U239" s="151"/>
      <c r="V239" s="165"/>
      <c r="W239" s="150"/>
      <c r="X239" s="151"/>
      <c r="Y239" s="151"/>
      <c r="Z239" s="151"/>
      <c r="AA239" s="151"/>
      <c r="AB239" s="151"/>
      <c r="AC239" s="163"/>
      <c r="AD239" s="151"/>
      <c r="AE239" s="152"/>
      <c r="AF239" s="173"/>
      <c r="AG239" s="185"/>
      <c r="AH239" s="185"/>
      <c r="AI239" s="186"/>
      <c r="AJ239" s="181"/>
      <c r="AK239" s="181"/>
      <c r="AL239" s="183"/>
      <c r="AM239" s="173"/>
      <c r="AN239" s="187"/>
      <c r="AO239" s="195"/>
      <c r="AP239" s="193"/>
      <c r="AQ239" s="193"/>
      <c r="AR239" s="193"/>
      <c r="AS239" s="193"/>
      <c r="AT239" s="193"/>
      <c r="AU239" s="193"/>
      <c r="AV239" s="194"/>
      <c r="AW239" s="193"/>
      <c r="AX239" s="207"/>
      <c r="AY239" s="208"/>
      <c r="AZ239" s="209"/>
      <c r="BA239" s="209"/>
      <c r="BB239" s="209"/>
      <c r="BC239" s="206"/>
      <c r="BD239" s="206"/>
      <c r="BE239" s="213"/>
      <c r="BF239" s="217"/>
      <c r="BG239" s="209"/>
      <c r="BH239" s="218"/>
      <c r="BI239" s="215"/>
      <c r="BJ239" s="215"/>
      <c r="BK239" s="215"/>
      <c r="BL239" s="215"/>
      <c r="BM239" s="215"/>
      <c r="BN239" s="215"/>
      <c r="BO239" s="216"/>
      <c r="BP239" s="215"/>
      <c r="BQ239" s="228"/>
      <c r="BR239" s="229"/>
      <c r="BS239" s="230"/>
      <c r="BT239" s="230"/>
      <c r="BU239" s="230"/>
      <c r="BV239" s="227"/>
      <c r="BW239" s="227"/>
      <c r="BX239" s="234"/>
      <c r="BY239" s="229"/>
      <c r="BZ239" s="230"/>
      <c r="CA239" s="235"/>
    </row>
    <row r="240" spans="1:79" ht="151.5" customHeight="1">
      <c r="A240" s="134" t="str">
        <f>IFERROR(INDEX(Riesgos!$A$7:$M$84,MATCH(E240,INDEX(Riesgos!$A$7:$M$84,,MATCH(E$7,Riesgos!$A$6:$M$6,0)),0),MATCH(A$7,Riesgos!$A$6:$M$6,0)),"")</f>
        <v/>
      </c>
      <c r="B240" s="135" t="str">
        <f>IFERROR(INDEX(Riesgos!$A$7:$M$84,MATCH(E240,INDEX(Riesgos!$A$7:$M$84,,MATCH(E$7,Riesgos!$A$6:$M$6,0)),0),MATCH(B$7,Riesgos!$A$6:$M$6,0)),"")</f>
        <v/>
      </c>
      <c r="C240" s="135"/>
      <c r="D240" s="136" t="str">
        <f>IFERROR(INDEX(Riesgos!$A$7:$M$84,MATCH(E240,INDEX(Riesgos!$A$7:$M$84,,MATCH(E$7,Riesgos!$A$6:$M$6,0)),0),MATCH(D$7,Riesgos!$A$6:$M$6,0)),"")</f>
        <v/>
      </c>
      <c r="E240" s="137"/>
      <c r="F240" s="137"/>
      <c r="G240" s="138" t="str">
        <f t="shared" si="4"/>
        <v/>
      </c>
      <c r="H240" s="139"/>
      <c r="I240" s="153" t="str">
        <f>IF(A239=A240,IFERROR(IF(AND(#REF!="Probabilidad",#REF!="Probabilidad"),(#REF!-(+#REF!*#REF!)),IF(#REF!="Probabilidad",(#REF!-(+#REF!*#REF!)),IF(#REF!="Impacto",#REF!,""))),""),IFERROR(IF(#REF!="Probabilidad",(#REF!-(+#REF!*#REF!)),IF(#REF!="Impacto",#REF!,"")),""))</f>
        <v/>
      </c>
      <c r="J240" s="154" t="str">
        <f>IFERROR(IF(I240="","",IF(I240&lt;='Listas y tablas'!$L$3,"Muy Baja",IF(I240&lt;='Listas y tablas'!$L$4,"Baja",IF(I240&lt;='Listas y tablas'!$L$5,"Media",IF(I240&lt;='Listas y tablas'!$L$6,"Alta","Muy Alta"))))),"")</f>
        <v/>
      </c>
      <c r="K240" s="155"/>
      <c r="L240" s="156"/>
      <c r="M240" s="150"/>
      <c r="N240" s="151"/>
      <c r="O240" s="151"/>
      <c r="P240" s="152"/>
      <c r="Q240" s="162"/>
      <c r="R240" s="151"/>
      <c r="S240" s="151"/>
      <c r="T240" s="151"/>
      <c r="U240" s="151"/>
      <c r="V240" s="165"/>
      <c r="W240" s="150"/>
      <c r="X240" s="151"/>
      <c r="Y240" s="151"/>
      <c r="Z240" s="151"/>
      <c r="AA240" s="151"/>
      <c r="AB240" s="151"/>
      <c r="AC240" s="163"/>
      <c r="AD240" s="151"/>
      <c r="AE240" s="152"/>
      <c r="AF240" s="173"/>
      <c r="AG240" s="185"/>
      <c r="AH240" s="185"/>
      <c r="AI240" s="186"/>
      <c r="AJ240" s="181"/>
      <c r="AK240" s="181"/>
      <c r="AL240" s="183"/>
      <c r="AM240" s="173"/>
      <c r="AN240" s="187"/>
      <c r="AO240" s="195"/>
      <c r="AP240" s="193"/>
      <c r="AQ240" s="193"/>
      <c r="AR240" s="193"/>
      <c r="AS240" s="193"/>
      <c r="AT240" s="193"/>
      <c r="AU240" s="193"/>
      <c r="AV240" s="194"/>
      <c r="AW240" s="193"/>
      <c r="AX240" s="207"/>
      <c r="AY240" s="208"/>
      <c r="AZ240" s="209"/>
      <c r="BA240" s="209"/>
      <c r="BB240" s="209"/>
      <c r="BC240" s="206"/>
      <c r="BD240" s="206"/>
      <c r="BE240" s="213"/>
      <c r="BF240" s="217"/>
      <c r="BG240" s="209"/>
      <c r="BH240" s="218"/>
      <c r="BI240" s="215"/>
      <c r="BJ240" s="215"/>
      <c r="BK240" s="215"/>
      <c r="BL240" s="215"/>
      <c r="BM240" s="215"/>
      <c r="BN240" s="215"/>
      <c r="BO240" s="216"/>
      <c r="BP240" s="215"/>
      <c r="BQ240" s="228"/>
      <c r="BR240" s="229"/>
      <c r="BS240" s="230"/>
      <c r="BT240" s="230"/>
      <c r="BU240" s="230"/>
      <c r="BV240" s="227"/>
      <c r="BW240" s="227"/>
      <c r="BX240" s="234"/>
      <c r="BY240" s="229"/>
      <c r="BZ240" s="230"/>
      <c r="CA240" s="235"/>
    </row>
    <row r="241" spans="1:79" ht="151.5" customHeight="1">
      <c r="A241" s="134" t="str">
        <f>IFERROR(INDEX(Riesgos!$A$7:$M$84,MATCH(E241,INDEX(Riesgos!$A$7:$M$84,,MATCH(E$7,Riesgos!$A$6:$M$6,0)),0),MATCH(A$7,Riesgos!$A$6:$M$6,0)),"")</f>
        <v/>
      </c>
      <c r="B241" s="135" t="str">
        <f>IFERROR(INDEX(Riesgos!$A$7:$M$84,MATCH(E241,INDEX(Riesgos!$A$7:$M$84,,MATCH(E$7,Riesgos!$A$6:$M$6,0)),0),MATCH(B$7,Riesgos!$A$6:$M$6,0)),"")</f>
        <v/>
      </c>
      <c r="C241" s="135"/>
      <c r="D241" s="136" t="str">
        <f>IFERROR(INDEX(Riesgos!$A$7:$M$84,MATCH(E241,INDEX(Riesgos!$A$7:$M$84,,MATCH(E$7,Riesgos!$A$6:$M$6,0)),0),MATCH(D$7,Riesgos!$A$6:$M$6,0)),"")</f>
        <v/>
      </c>
      <c r="E241" s="137"/>
      <c r="F241" s="137"/>
      <c r="G241" s="138" t="str">
        <f t="shared" si="4"/>
        <v/>
      </c>
      <c r="H241" s="139"/>
      <c r="I241" s="153" t="str">
        <f>IF(A240=A241,IFERROR(IF(AND(#REF!="Probabilidad",#REF!="Probabilidad"),(#REF!-(+#REF!*#REF!)),IF(#REF!="Probabilidad",(#REF!-(+#REF!*#REF!)),IF(#REF!="Impacto",#REF!,""))),""),IFERROR(IF(#REF!="Probabilidad",(#REF!-(+#REF!*#REF!)),IF(#REF!="Impacto",#REF!,"")),""))</f>
        <v/>
      </c>
      <c r="J241" s="154" t="str">
        <f>IFERROR(IF(I241="","",IF(I241&lt;='Listas y tablas'!$L$3,"Muy Baja",IF(I241&lt;='Listas y tablas'!$L$4,"Baja",IF(I241&lt;='Listas y tablas'!$L$5,"Media",IF(I241&lt;='Listas y tablas'!$L$6,"Alta","Muy Alta"))))),"")</f>
        <v/>
      </c>
      <c r="K241" s="155"/>
      <c r="L241" s="156"/>
      <c r="M241" s="150"/>
      <c r="N241" s="151"/>
      <c r="O241" s="151"/>
      <c r="P241" s="152"/>
      <c r="Q241" s="162"/>
      <c r="R241" s="151"/>
      <c r="S241" s="151"/>
      <c r="T241" s="151"/>
      <c r="U241" s="151"/>
      <c r="V241" s="165"/>
      <c r="W241" s="150"/>
      <c r="X241" s="151"/>
      <c r="Y241" s="151"/>
      <c r="Z241" s="151"/>
      <c r="AA241" s="151"/>
      <c r="AB241" s="151"/>
      <c r="AC241" s="163"/>
      <c r="AD241" s="151"/>
      <c r="AE241" s="152"/>
      <c r="AF241" s="173"/>
      <c r="AG241" s="185"/>
      <c r="AH241" s="185"/>
      <c r="AI241" s="186"/>
      <c r="AJ241" s="181"/>
      <c r="AK241" s="181"/>
      <c r="AL241" s="183"/>
      <c r="AM241" s="173"/>
      <c r="AN241" s="187"/>
      <c r="AO241" s="195"/>
      <c r="AP241" s="193"/>
      <c r="AQ241" s="193"/>
      <c r="AR241" s="193"/>
      <c r="AS241" s="193"/>
      <c r="AT241" s="193"/>
      <c r="AU241" s="193"/>
      <c r="AV241" s="194"/>
      <c r="AW241" s="193"/>
      <c r="AX241" s="207"/>
      <c r="AY241" s="208"/>
      <c r="AZ241" s="209"/>
      <c r="BA241" s="209"/>
      <c r="BB241" s="209"/>
      <c r="BC241" s="206"/>
      <c r="BD241" s="206"/>
      <c r="BE241" s="213"/>
      <c r="BF241" s="217"/>
      <c r="BG241" s="209"/>
      <c r="BH241" s="218"/>
      <c r="BI241" s="215"/>
      <c r="BJ241" s="215"/>
      <c r="BK241" s="215"/>
      <c r="BL241" s="215"/>
      <c r="BM241" s="215"/>
      <c r="BN241" s="215"/>
      <c r="BO241" s="216"/>
      <c r="BP241" s="215"/>
      <c r="BQ241" s="228"/>
      <c r="BR241" s="229"/>
      <c r="BS241" s="230"/>
      <c r="BT241" s="230"/>
      <c r="BU241" s="230"/>
      <c r="BV241" s="227"/>
      <c r="BW241" s="227"/>
      <c r="BX241" s="234"/>
      <c r="BY241" s="229"/>
      <c r="BZ241" s="230"/>
      <c r="CA241" s="235"/>
    </row>
    <row r="242" spans="1:79" ht="151.5" customHeight="1">
      <c r="A242" s="134" t="str">
        <f>IFERROR(INDEX(Riesgos!$A$7:$M$84,MATCH(E242,INDEX(Riesgos!$A$7:$M$84,,MATCH(E$7,Riesgos!$A$6:$M$6,0)),0),MATCH(A$7,Riesgos!$A$6:$M$6,0)),"")</f>
        <v/>
      </c>
      <c r="B242" s="135" t="str">
        <f>IFERROR(INDEX(Riesgos!$A$7:$M$84,MATCH(E242,INDEX(Riesgos!$A$7:$M$84,,MATCH(E$7,Riesgos!$A$6:$M$6,0)),0),MATCH(B$7,Riesgos!$A$6:$M$6,0)),"")</f>
        <v/>
      </c>
      <c r="C242" s="135"/>
      <c r="D242" s="136" t="str">
        <f>IFERROR(INDEX(Riesgos!$A$7:$M$84,MATCH(E242,INDEX(Riesgos!$A$7:$M$84,,MATCH(E$7,Riesgos!$A$6:$M$6,0)),0),MATCH(D$7,Riesgos!$A$6:$M$6,0)),"")</f>
        <v/>
      </c>
      <c r="E242" s="137"/>
      <c r="F242" s="137"/>
      <c r="G242" s="138" t="str">
        <f t="shared" si="4"/>
        <v/>
      </c>
      <c r="H242" s="139"/>
      <c r="I242" s="153" t="str">
        <f>IF(A241=A242,IFERROR(IF(AND(#REF!="Probabilidad",#REF!="Probabilidad"),(#REF!-(+#REF!*#REF!)),IF(#REF!="Probabilidad",(#REF!-(+#REF!*#REF!)),IF(#REF!="Impacto",#REF!,""))),""),IFERROR(IF(#REF!="Probabilidad",(#REF!-(+#REF!*#REF!)),IF(#REF!="Impacto",#REF!,"")),""))</f>
        <v/>
      </c>
      <c r="J242" s="154" t="str">
        <f>IFERROR(IF(I242="","",IF(I242&lt;='Listas y tablas'!$L$3,"Muy Baja",IF(I242&lt;='Listas y tablas'!$L$4,"Baja",IF(I242&lt;='Listas y tablas'!$L$5,"Media",IF(I242&lt;='Listas y tablas'!$L$6,"Alta","Muy Alta"))))),"")</f>
        <v/>
      </c>
      <c r="K242" s="155"/>
      <c r="L242" s="156"/>
      <c r="M242" s="150"/>
      <c r="N242" s="151"/>
      <c r="O242" s="151"/>
      <c r="P242" s="152"/>
      <c r="Q242" s="162"/>
      <c r="R242" s="151"/>
      <c r="S242" s="151"/>
      <c r="T242" s="151"/>
      <c r="U242" s="151"/>
      <c r="V242" s="165"/>
      <c r="W242" s="150"/>
      <c r="X242" s="151"/>
      <c r="Y242" s="151"/>
      <c r="Z242" s="151"/>
      <c r="AA242" s="151"/>
      <c r="AB242" s="151"/>
      <c r="AC242" s="163"/>
      <c r="AD242" s="151"/>
      <c r="AE242" s="152"/>
      <c r="AF242" s="173"/>
      <c r="AG242" s="185"/>
      <c r="AH242" s="185"/>
      <c r="AI242" s="186"/>
      <c r="AJ242" s="181"/>
      <c r="AK242" s="181"/>
      <c r="AL242" s="183"/>
      <c r="AM242" s="173"/>
      <c r="AN242" s="187"/>
      <c r="AO242" s="195"/>
      <c r="AP242" s="193"/>
      <c r="AQ242" s="193"/>
      <c r="AR242" s="193"/>
      <c r="AS242" s="193"/>
      <c r="AT242" s="193"/>
      <c r="AU242" s="193"/>
      <c r="AV242" s="194"/>
      <c r="AW242" s="193"/>
      <c r="AX242" s="207"/>
      <c r="AY242" s="208"/>
      <c r="AZ242" s="209"/>
      <c r="BA242" s="209"/>
      <c r="BB242" s="209"/>
      <c r="BC242" s="206"/>
      <c r="BD242" s="206"/>
      <c r="BE242" s="213"/>
      <c r="BF242" s="217"/>
      <c r="BG242" s="209"/>
      <c r="BH242" s="218"/>
      <c r="BI242" s="215"/>
      <c r="BJ242" s="215"/>
      <c r="BK242" s="215"/>
      <c r="BL242" s="215"/>
      <c r="BM242" s="215"/>
      <c r="BN242" s="215"/>
      <c r="BO242" s="216"/>
      <c r="BP242" s="215"/>
      <c r="BQ242" s="228"/>
      <c r="BR242" s="229"/>
      <c r="BS242" s="230"/>
      <c r="BT242" s="230"/>
      <c r="BU242" s="230"/>
      <c r="BV242" s="227"/>
      <c r="BW242" s="227"/>
      <c r="BX242" s="234"/>
      <c r="BY242" s="229"/>
      <c r="BZ242" s="230"/>
      <c r="CA242" s="235"/>
    </row>
    <row r="243" spans="1:79" ht="151.5" customHeight="1">
      <c r="A243" s="134" t="str">
        <f>IFERROR(INDEX(Riesgos!$A$7:$M$84,MATCH(E243,INDEX(Riesgos!$A$7:$M$84,,MATCH(E$7,Riesgos!$A$6:$M$6,0)),0),MATCH(A$7,Riesgos!$A$6:$M$6,0)),"")</f>
        <v/>
      </c>
      <c r="B243" s="135" t="str">
        <f>IFERROR(INDEX(Riesgos!$A$7:$M$84,MATCH(E243,INDEX(Riesgos!$A$7:$M$84,,MATCH(E$7,Riesgos!$A$6:$M$6,0)),0),MATCH(B$7,Riesgos!$A$6:$M$6,0)),"")</f>
        <v/>
      </c>
      <c r="C243" s="135"/>
      <c r="D243" s="136" t="str">
        <f>IFERROR(INDEX(Riesgos!$A$7:$M$84,MATCH(E243,INDEX(Riesgos!$A$7:$M$84,,MATCH(E$7,Riesgos!$A$6:$M$6,0)),0),MATCH(D$7,Riesgos!$A$6:$M$6,0)),"")</f>
        <v/>
      </c>
      <c r="E243" s="137"/>
      <c r="F243" s="137"/>
      <c r="G243" s="138" t="str">
        <f t="shared" si="4"/>
        <v/>
      </c>
      <c r="H243" s="139"/>
      <c r="I243" s="153" t="str">
        <f>IF(A242=A243,IFERROR(IF(AND(#REF!="Probabilidad",#REF!="Probabilidad"),(#REF!-(+#REF!*#REF!)),IF(#REF!="Probabilidad",(#REF!-(+#REF!*#REF!)),IF(#REF!="Impacto",#REF!,""))),""),IFERROR(IF(#REF!="Probabilidad",(#REF!-(+#REF!*#REF!)),IF(#REF!="Impacto",#REF!,"")),""))</f>
        <v/>
      </c>
      <c r="J243" s="154" t="str">
        <f>IFERROR(IF(I243="","",IF(I243&lt;='Listas y tablas'!$L$3,"Muy Baja",IF(I243&lt;='Listas y tablas'!$L$4,"Baja",IF(I243&lt;='Listas y tablas'!$L$5,"Media",IF(I243&lt;='Listas y tablas'!$L$6,"Alta","Muy Alta"))))),"")</f>
        <v/>
      </c>
      <c r="K243" s="155"/>
      <c r="L243" s="156"/>
      <c r="M243" s="150"/>
      <c r="N243" s="151"/>
      <c r="O243" s="151"/>
      <c r="P243" s="152"/>
      <c r="Q243" s="162"/>
      <c r="R243" s="151"/>
      <c r="S243" s="151"/>
      <c r="T243" s="151"/>
      <c r="U243" s="151"/>
      <c r="V243" s="165"/>
      <c r="W243" s="150"/>
      <c r="X243" s="151"/>
      <c r="Y243" s="151"/>
      <c r="Z243" s="151"/>
      <c r="AA243" s="151"/>
      <c r="AB243" s="151"/>
      <c r="AC243" s="163"/>
      <c r="AD243" s="151"/>
      <c r="AE243" s="152"/>
      <c r="AF243" s="173"/>
      <c r="AG243" s="185"/>
      <c r="AH243" s="185"/>
      <c r="AI243" s="186"/>
      <c r="AJ243" s="181"/>
      <c r="AK243" s="181"/>
      <c r="AL243" s="183"/>
      <c r="AM243" s="173"/>
      <c r="AN243" s="187"/>
      <c r="AO243" s="195"/>
      <c r="AP243" s="193"/>
      <c r="AQ243" s="193"/>
      <c r="AR243" s="193"/>
      <c r="AS243" s="193"/>
      <c r="AT243" s="193"/>
      <c r="AU243" s="193"/>
      <c r="AV243" s="194"/>
      <c r="AW243" s="193"/>
      <c r="AX243" s="207"/>
      <c r="AY243" s="208"/>
      <c r="AZ243" s="209"/>
      <c r="BA243" s="209"/>
      <c r="BB243" s="209"/>
      <c r="BC243" s="206"/>
      <c r="BD243" s="206"/>
      <c r="BE243" s="213"/>
      <c r="BF243" s="217"/>
      <c r="BG243" s="209"/>
      <c r="BH243" s="218"/>
      <c r="BI243" s="215"/>
      <c r="BJ243" s="215"/>
      <c r="BK243" s="215"/>
      <c r="BL243" s="215"/>
      <c r="BM243" s="215"/>
      <c r="BN243" s="215"/>
      <c r="BO243" s="216"/>
      <c r="BP243" s="215"/>
      <c r="BQ243" s="228"/>
      <c r="BR243" s="229"/>
      <c r="BS243" s="230"/>
      <c r="BT243" s="230"/>
      <c r="BU243" s="230"/>
      <c r="BV243" s="227"/>
      <c r="BW243" s="227"/>
      <c r="BX243" s="234"/>
      <c r="BY243" s="229"/>
      <c r="BZ243" s="230"/>
      <c r="CA243" s="235"/>
    </row>
    <row r="244" spans="1:79" ht="151.5" customHeight="1">
      <c r="A244" s="134" t="str">
        <f>IFERROR(INDEX(Riesgos!$A$7:$M$84,MATCH(E244,INDEX(Riesgos!$A$7:$M$84,,MATCH(E$7,Riesgos!$A$6:$M$6,0)),0),MATCH(A$7,Riesgos!$A$6:$M$6,0)),"")</f>
        <v/>
      </c>
      <c r="B244" s="135" t="str">
        <f>IFERROR(INDEX(Riesgos!$A$7:$M$84,MATCH(E244,INDEX(Riesgos!$A$7:$M$84,,MATCH(E$7,Riesgos!$A$6:$M$6,0)),0),MATCH(B$7,Riesgos!$A$6:$M$6,0)),"")</f>
        <v/>
      </c>
      <c r="C244" s="135"/>
      <c r="D244" s="136" t="str">
        <f>IFERROR(INDEX(Riesgos!$A$7:$M$84,MATCH(E244,INDEX(Riesgos!$A$7:$M$84,,MATCH(E$7,Riesgos!$A$6:$M$6,0)),0),MATCH(D$7,Riesgos!$A$6:$M$6,0)),"")</f>
        <v/>
      </c>
      <c r="E244" s="137"/>
      <c r="F244" s="137"/>
      <c r="G244" s="138" t="str">
        <f t="shared" si="4"/>
        <v/>
      </c>
      <c r="H244" s="139"/>
      <c r="I244" s="153" t="str">
        <f>IF(A243=A244,IFERROR(IF(AND(#REF!="Probabilidad",#REF!="Probabilidad"),(#REF!-(+#REF!*#REF!)),IF(#REF!="Probabilidad",(#REF!-(+#REF!*#REF!)),IF(#REF!="Impacto",#REF!,""))),""),IFERROR(IF(#REF!="Probabilidad",(#REF!-(+#REF!*#REF!)),IF(#REF!="Impacto",#REF!,"")),""))</f>
        <v/>
      </c>
      <c r="J244" s="154" t="str">
        <f>IFERROR(IF(I244="","",IF(I244&lt;='Listas y tablas'!$L$3,"Muy Baja",IF(I244&lt;='Listas y tablas'!$L$4,"Baja",IF(I244&lt;='Listas y tablas'!$L$5,"Media",IF(I244&lt;='Listas y tablas'!$L$6,"Alta","Muy Alta"))))),"")</f>
        <v/>
      </c>
      <c r="K244" s="155"/>
      <c r="L244" s="156"/>
      <c r="M244" s="150"/>
      <c r="N244" s="151"/>
      <c r="O244" s="151"/>
      <c r="P244" s="152"/>
      <c r="Q244" s="162"/>
      <c r="R244" s="151"/>
      <c r="S244" s="151"/>
      <c r="T244" s="151"/>
      <c r="U244" s="151"/>
      <c r="V244" s="165"/>
      <c r="W244" s="150"/>
      <c r="X244" s="151"/>
      <c r="Y244" s="151"/>
      <c r="Z244" s="151"/>
      <c r="AA244" s="151"/>
      <c r="AB244" s="151"/>
      <c r="AC244" s="163"/>
      <c r="AD244" s="151"/>
      <c r="AE244" s="152"/>
      <c r="AF244" s="173"/>
      <c r="AG244" s="185"/>
      <c r="AH244" s="185"/>
      <c r="AI244" s="186"/>
      <c r="AJ244" s="181"/>
      <c r="AK244" s="181"/>
      <c r="AL244" s="183"/>
      <c r="AM244" s="173"/>
      <c r="AN244" s="187"/>
      <c r="AO244" s="195"/>
      <c r="AP244" s="193"/>
      <c r="AQ244" s="193"/>
      <c r="AR244" s="193"/>
      <c r="AS244" s="193"/>
      <c r="AT244" s="193"/>
      <c r="AU244" s="193"/>
      <c r="AV244" s="194"/>
      <c r="AW244" s="193"/>
      <c r="AX244" s="207"/>
      <c r="AY244" s="208"/>
      <c r="AZ244" s="209"/>
      <c r="BA244" s="209"/>
      <c r="BB244" s="209"/>
      <c r="BC244" s="206"/>
      <c r="BD244" s="206"/>
      <c r="BE244" s="213"/>
      <c r="BF244" s="217"/>
      <c r="BG244" s="209"/>
      <c r="BH244" s="218"/>
      <c r="BI244" s="215"/>
      <c r="BJ244" s="215"/>
      <c r="BK244" s="215"/>
      <c r="BL244" s="215"/>
      <c r="BM244" s="215"/>
      <c r="BN244" s="215"/>
      <c r="BO244" s="216"/>
      <c r="BP244" s="215"/>
      <c r="BQ244" s="228"/>
      <c r="BR244" s="229"/>
      <c r="BS244" s="230"/>
      <c r="BT244" s="230"/>
      <c r="BU244" s="230"/>
      <c r="BV244" s="227"/>
      <c r="BW244" s="227"/>
      <c r="BX244" s="234"/>
      <c r="BY244" s="229"/>
      <c r="BZ244" s="230"/>
      <c r="CA244" s="235"/>
    </row>
    <row r="245" spans="1:79" ht="151.5" customHeight="1">
      <c r="A245" s="134" t="str">
        <f>IFERROR(INDEX(Riesgos!$A$7:$M$84,MATCH(E245,INDEX(Riesgos!$A$7:$M$84,,MATCH(E$7,Riesgos!$A$6:$M$6,0)),0),MATCH(A$7,Riesgos!$A$6:$M$6,0)),"")</f>
        <v/>
      </c>
      <c r="B245" s="135" t="str">
        <f>IFERROR(INDEX(Riesgos!$A$7:$M$84,MATCH(E245,INDEX(Riesgos!$A$7:$M$84,,MATCH(E$7,Riesgos!$A$6:$M$6,0)),0),MATCH(B$7,Riesgos!$A$6:$M$6,0)),"")</f>
        <v/>
      </c>
      <c r="C245" s="135"/>
      <c r="D245" s="136" t="str">
        <f>IFERROR(INDEX(Riesgos!$A$7:$M$84,MATCH(E245,INDEX(Riesgos!$A$7:$M$84,,MATCH(E$7,Riesgos!$A$6:$M$6,0)),0),MATCH(D$7,Riesgos!$A$6:$M$6,0)),"")</f>
        <v/>
      </c>
      <c r="E245" s="137"/>
      <c r="F245" s="137"/>
      <c r="G245" s="138" t="str">
        <f t="shared" si="4"/>
        <v/>
      </c>
      <c r="H245" s="139"/>
      <c r="I245" s="153" t="str">
        <f>IF(A244=A245,IFERROR(IF(AND(#REF!="Probabilidad",#REF!="Probabilidad"),(#REF!-(+#REF!*#REF!)),IF(#REF!="Probabilidad",(#REF!-(+#REF!*#REF!)),IF(#REF!="Impacto",#REF!,""))),""),IFERROR(IF(#REF!="Probabilidad",(#REF!-(+#REF!*#REF!)),IF(#REF!="Impacto",#REF!,"")),""))</f>
        <v/>
      </c>
      <c r="J245" s="154" t="str">
        <f>IFERROR(IF(I245="","",IF(I245&lt;='Listas y tablas'!$L$3,"Muy Baja",IF(I245&lt;='Listas y tablas'!$L$4,"Baja",IF(I245&lt;='Listas y tablas'!$L$5,"Media",IF(I245&lt;='Listas y tablas'!$L$6,"Alta","Muy Alta"))))),"")</f>
        <v/>
      </c>
      <c r="K245" s="155"/>
      <c r="L245" s="156"/>
      <c r="M245" s="150"/>
      <c r="N245" s="151"/>
      <c r="O245" s="151"/>
      <c r="P245" s="152"/>
      <c r="Q245" s="162"/>
      <c r="R245" s="151"/>
      <c r="S245" s="151"/>
      <c r="T245" s="151"/>
      <c r="U245" s="151"/>
      <c r="V245" s="165"/>
      <c r="W245" s="150"/>
      <c r="X245" s="151"/>
      <c r="Y245" s="151"/>
      <c r="Z245" s="151"/>
      <c r="AA245" s="151"/>
      <c r="AB245" s="151"/>
      <c r="AC245" s="163"/>
      <c r="AD245" s="151"/>
      <c r="AE245" s="152"/>
      <c r="AF245" s="173"/>
      <c r="AG245" s="185"/>
      <c r="AH245" s="185"/>
      <c r="AI245" s="186"/>
      <c r="AJ245" s="181"/>
      <c r="AK245" s="181"/>
      <c r="AL245" s="183"/>
      <c r="AM245" s="173"/>
      <c r="AN245" s="187"/>
      <c r="AO245" s="195"/>
      <c r="AP245" s="193"/>
      <c r="AQ245" s="193"/>
      <c r="AR245" s="193"/>
      <c r="AS245" s="193"/>
      <c r="AT245" s="193"/>
      <c r="AU245" s="193"/>
      <c r="AV245" s="194"/>
      <c r="AW245" s="193"/>
      <c r="AX245" s="207"/>
      <c r="AY245" s="208"/>
      <c r="AZ245" s="209"/>
      <c r="BA245" s="209"/>
      <c r="BB245" s="209"/>
      <c r="BC245" s="206"/>
      <c r="BD245" s="206"/>
      <c r="BE245" s="213"/>
      <c r="BF245" s="217"/>
      <c r="BG245" s="209"/>
      <c r="BH245" s="218"/>
      <c r="BI245" s="215"/>
      <c r="BJ245" s="215"/>
      <c r="BK245" s="215"/>
      <c r="BL245" s="215"/>
      <c r="BM245" s="215"/>
      <c r="BN245" s="215"/>
      <c r="BO245" s="216"/>
      <c r="BP245" s="215"/>
      <c r="BQ245" s="228"/>
      <c r="BR245" s="229"/>
      <c r="BS245" s="230"/>
      <c r="BT245" s="230"/>
      <c r="BU245" s="230"/>
      <c r="BV245" s="227"/>
      <c r="BW245" s="227"/>
      <c r="BX245" s="234"/>
      <c r="BY245" s="229"/>
      <c r="BZ245" s="230"/>
      <c r="CA245" s="235"/>
    </row>
    <row r="246" spans="1:79" ht="151.5" customHeight="1">
      <c r="A246" s="134" t="str">
        <f>IFERROR(INDEX(Riesgos!$A$7:$M$84,MATCH(E246,INDEX(Riesgos!$A$7:$M$84,,MATCH(E$7,Riesgos!$A$6:$M$6,0)),0),MATCH(A$7,Riesgos!$A$6:$M$6,0)),"")</f>
        <v/>
      </c>
      <c r="B246" s="135" t="str">
        <f>IFERROR(INDEX(Riesgos!$A$7:$M$84,MATCH(E246,INDEX(Riesgos!$A$7:$M$84,,MATCH(E$7,Riesgos!$A$6:$M$6,0)),0),MATCH(B$7,Riesgos!$A$6:$M$6,0)),"")</f>
        <v/>
      </c>
      <c r="C246" s="135"/>
      <c r="D246" s="136" t="str">
        <f>IFERROR(INDEX(Riesgos!$A$7:$M$84,MATCH(E246,INDEX(Riesgos!$A$7:$M$84,,MATCH(E$7,Riesgos!$A$6:$M$6,0)),0),MATCH(D$7,Riesgos!$A$6:$M$6,0)),"")</f>
        <v/>
      </c>
      <c r="E246" s="137"/>
      <c r="F246" s="137"/>
      <c r="G246" s="138" t="str">
        <f t="shared" si="4"/>
        <v/>
      </c>
      <c r="H246" s="139"/>
      <c r="I246" s="153" t="str">
        <f>IF(A245=A246,IFERROR(IF(AND(#REF!="Probabilidad",#REF!="Probabilidad"),(#REF!-(+#REF!*#REF!)),IF(#REF!="Probabilidad",(#REF!-(+#REF!*#REF!)),IF(#REF!="Impacto",#REF!,""))),""),IFERROR(IF(#REF!="Probabilidad",(#REF!-(+#REF!*#REF!)),IF(#REF!="Impacto",#REF!,"")),""))</f>
        <v/>
      </c>
      <c r="J246" s="154" t="str">
        <f>IFERROR(IF(I246="","",IF(I246&lt;='Listas y tablas'!$L$3,"Muy Baja",IF(I246&lt;='Listas y tablas'!$L$4,"Baja",IF(I246&lt;='Listas y tablas'!$L$5,"Media",IF(I246&lt;='Listas y tablas'!$L$6,"Alta","Muy Alta"))))),"")</f>
        <v/>
      </c>
      <c r="K246" s="155"/>
      <c r="L246" s="156"/>
      <c r="M246" s="150"/>
      <c r="N246" s="151"/>
      <c r="O246" s="151"/>
      <c r="P246" s="152"/>
      <c r="Q246" s="162"/>
      <c r="R246" s="151"/>
      <c r="S246" s="151"/>
      <c r="T246" s="151"/>
      <c r="U246" s="151"/>
      <c r="V246" s="165"/>
      <c r="W246" s="150"/>
      <c r="X246" s="151"/>
      <c r="Y246" s="151"/>
      <c r="Z246" s="151"/>
      <c r="AA246" s="151"/>
      <c r="AB246" s="151"/>
      <c r="AC246" s="163"/>
      <c r="AD246" s="151"/>
      <c r="AE246" s="152"/>
      <c r="AF246" s="173"/>
      <c r="AG246" s="185"/>
      <c r="AH246" s="185"/>
      <c r="AI246" s="186"/>
      <c r="AJ246" s="181"/>
      <c r="AK246" s="181"/>
      <c r="AL246" s="183"/>
      <c r="AM246" s="173"/>
      <c r="AN246" s="187"/>
      <c r="AO246" s="195"/>
      <c r="AP246" s="193"/>
      <c r="AQ246" s="193"/>
      <c r="AR246" s="193"/>
      <c r="AS246" s="193"/>
      <c r="AT246" s="193"/>
      <c r="AU246" s="193"/>
      <c r="AV246" s="194"/>
      <c r="AW246" s="193"/>
      <c r="AX246" s="207"/>
      <c r="AY246" s="208"/>
      <c r="AZ246" s="209"/>
      <c r="BA246" s="209"/>
      <c r="BB246" s="209"/>
      <c r="BC246" s="206"/>
      <c r="BD246" s="206"/>
      <c r="BE246" s="213"/>
      <c r="BF246" s="217"/>
      <c r="BG246" s="209"/>
      <c r="BH246" s="218"/>
      <c r="BI246" s="215"/>
      <c r="BJ246" s="215"/>
      <c r="BK246" s="215"/>
      <c r="BL246" s="215"/>
      <c r="BM246" s="215"/>
      <c r="BN246" s="215"/>
      <c r="BO246" s="216"/>
      <c r="BP246" s="215"/>
      <c r="BQ246" s="228"/>
      <c r="BR246" s="229"/>
      <c r="BS246" s="230"/>
      <c r="BT246" s="230"/>
      <c r="BU246" s="230"/>
      <c r="BV246" s="227"/>
      <c r="BW246" s="227"/>
      <c r="BX246" s="234"/>
      <c r="BY246" s="229"/>
      <c r="BZ246" s="230"/>
      <c r="CA246" s="235"/>
    </row>
    <row r="247" spans="1:79" ht="151.5" customHeight="1">
      <c r="A247" s="134" t="str">
        <f>IFERROR(INDEX(Riesgos!$A$7:$M$84,MATCH(E247,INDEX(Riesgos!$A$7:$M$84,,MATCH(E$7,Riesgos!$A$6:$M$6,0)),0),MATCH(A$7,Riesgos!$A$6:$M$6,0)),"")</f>
        <v/>
      </c>
      <c r="B247" s="135" t="str">
        <f>IFERROR(INDEX(Riesgos!$A$7:$M$84,MATCH(E247,INDEX(Riesgos!$A$7:$M$84,,MATCH(E$7,Riesgos!$A$6:$M$6,0)),0),MATCH(B$7,Riesgos!$A$6:$M$6,0)),"")</f>
        <v/>
      </c>
      <c r="C247" s="135"/>
      <c r="D247" s="136" t="str">
        <f>IFERROR(INDEX(Riesgos!$A$7:$M$84,MATCH(E247,INDEX(Riesgos!$A$7:$M$84,,MATCH(E$7,Riesgos!$A$6:$M$6,0)),0),MATCH(D$7,Riesgos!$A$6:$M$6,0)),"")</f>
        <v/>
      </c>
      <c r="E247" s="137"/>
      <c r="F247" s="137"/>
      <c r="G247" s="138" t="str">
        <f t="shared" si="4"/>
        <v/>
      </c>
      <c r="H247" s="139"/>
      <c r="I247" s="153" t="str">
        <f>IF(A246=A247,IFERROR(IF(AND(#REF!="Probabilidad",#REF!="Probabilidad"),(#REF!-(+#REF!*#REF!)),IF(#REF!="Probabilidad",(#REF!-(+#REF!*#REF!)),IF(#REF!="Impacto",#REF!,""))),""),IFERROR(IF(#REF!="Probabilidad",(#REF!-(+#REF!*#REF!)),IF(#REF!="Impacto",#REF!,"")),""))</f>
        <v/>
      </c>
      <c r="J247" s="154" t="str">
        <f>IFERROR(IF(I247="","",IF(I247&lt;='Listas y tablas'!$L$3,"Muy Baja",IF(I247&lt;='Listas y tablas'!$L$4,"Baja",IF(I247&lt;='Listas y tablas'!$L$5,"Media",IF(I247&lt;='Listas y tablas'!$L$6,"Alta","Muy Alta"))))),"")</f>
        <v/>
      </c>
      <c r="K247" s="155"/>
      <c r="L247" s="156"/>
      <c r="M247" s="150"/>
      <c r="N247" s="151"/>
      <c r="O247" s="151"/>
      <c r="P247" s="152"/>
      <c r="Q247" s="162"/>
      <c r="R247" s="151"/>
      <c r="S247" s="151"/>
      <c r="T247" s="151"/>
      <c r="U247" s="151"/>
      <c r="V247" s="165"/>
      <c r="W247" s="150"/>
      <c r="X247" s="151"/>
      <c r="Y247" s="151"/>
      <c r="Z247" s="151"/>
      <c r="AA247" s="151"/>
      <c r="AB247" s="151"/>
      <c r="AC247" s="163"/>
      <c r="AD247" s="151"/>
      <c r="AE247" s="152"/>
      <c r="AF247" s="173"/>
      <c r="AG247" s="185"/>
      <c r="AH247" s="185"/>
      <c r="AI247" s="186"/>
      <c r="AJ247" s="181"/>
      <c r="AK247" s="181"/>
      <c r="AL247" s="183"/>
      <c r="AM247" s="173"/>
      <c r="AN247" s="187"/>
      <c r="AO247" s="195"/>
      <c r="AP247" s="193"/>
      <c r="AQ247" s="193"/>
      <c r="AR247" s="193"/>
      <c r="AS247" s="193"/>
      <c r="AT247" s="193"/>
      <c r="AU247" s="193"/>
      <c r="AV247" s="194"/>
      <c r="AW247" s="193"/>
      <c r="AX247" s="207"/>
      <c r="AY247" s="208"/>
      <c r="AZ247" s="209"/>
      <c r="BA247" s="209"/>
      <c r="BB247" s="209"/>
      <c r="BC247" s="206"/>
      <c r="BD247" s="206"/>
      <c r="BE247" s="213"/>
      <c r="BF247" s="217"/>
      <c r="BG247" s="209"/>
      <c r="BH247" s="218"/>
      <c r="BI247" s="215"/>
      <c r="BJ247" s="215"/>
      <c r="BK247" s="215"/>
      <c r="BL247" s="215"/>
      <c r="BM247" s="215"/>
      <c r="BN247" s="215"/>
      <c r="BO247" s="216"/>
      <c r="BP247" s="215"/>
      <c r="BQ247" s="228"/>
      <c r="BR247" s="229"/>
      <c r="BS247" s="230"/>
      <c r="BT247" s="230"/>
      <c r="BU247" s="230"/>
      <c r="BV247" s="227"/>
      <c r="BW247" s="227"/>
      <c r="BX247" s="234"/>
      <c r="BY247" s="229"/>
      <c r="BZ247" s="230"/>
      <c r="CA247" s="235"/>
    </row>
    <row r="248" spans="1:79" ht="151.5" customHeight="1">
      <c r="A248" s="134" t="str">
        <f>IFERROR(INDEX(Riesgos!$A$7:$M$84,MATCH(E248,INDEX(Riesgos!$A$7:$M$84,,MATCH(E$7,Riesgos!$A$6:$M$6,0)),0),MATCH(A$7,Riesgos!$A$6:$M$6,0)),"")</f>
        <v/>
      </c>
      <c r="B248" s="135" t="str">
        <f>IFERROR(INDEX(Riesgos!$A$7:$M$84,MATCH(E248,INDEX(Riesgos!$A$7:$M$84,,MATCH(E$7,Riesgos!$A$6:$M$6,0)),0),MATCH(B$7,Riesgos!$A$6:$M$6,0)),"")</f>
        <v/>
      </c>
      <c r="C248" s="135"/>
      <c r="D248" s="136" t="str">
        <f>IFERROR(INDEX(Riesgos!$A$7:$M$84,MATCH(E248,INDEX(Riesgos!$A$7:$M$84,,MATCH(E$7,Riesgos!$A$6:$M$6,0)),0),MATCH(D$7,Riesgos!$A$6:$M$6,0)),"")</f>
        <v/>
      </c>
      <c r="E248" s="137"/>
      <c r="F248" s="137"/>
      <c r="G248" s="138" t="str">
        <f t="shared" si="4"/>
        <v/>
      </c>
      <c r="H248" s="139"/>
      <c r="I248" s="153" t="str">
        <f>IF(A247=A248,IFERROR(IF(AND(#REF!="Probabilidad",#REF!="Probabilidad"),(#REF!-(+#REF!*#REF!)),IF(#REF!="Probabilidad",(#REF!-(+#REF!*#REF!)),IF(#REF!="Impacto",#REF!,""))),""),IFERROR(IF(#REF!="Probabilidad",(#REF!-(+#REF!*#REF!)),IF(#REF!="Impacto",#REF!,"")),""))</f>
        <v/>
      </c>
      <c r="J248" s="154" t="str">
        <f>IFERROR(IF(I248="","",IF(I248&lt;='Listas y tablas'!$L$3,"Muy Baja",IF(I248&lt;='Listas y tablas'!$L$4,"Baja",IF(I248&lt;='Listas y tablas'!$L$5,"Media",IF(I248&lt;='Listas y tablas'!$L$6,"Alta","Muy Alta"))))),"")</f>
        <v/>
      </c>
      <c r="K248" s="155"/>
      <c r="L248" s="156"/>
      <c r="M248" s="150"/>
      <c r="N248" s="151"/>
      <c r="O248" s="151"/>
      <c r="P248" s="152"/>
      <c r="Q248" s="162"/>
      <c r="R248" s="151"/>
      <c r="S248" s="151"/>
      <c r="T248" s="151"/>
      <c r="U248" s="151"/>
      <c r="V248" s="165"/>
      <c r="W248" s="150"/>
      <c r="X248" s="151"/>
      <c r="Y248" s="151"/>
      <c r="Z248" s="151"/>
      <c r="AA248" s="151"/>
      <c r="AB248" s="151"/>
      <c r="AC248" s="163"/>
      <c r="AD248" s="151"/>
      <c r="AE248" s="152"/>
      <c r="AF248" s="173"/>
      <c r="AG248" s="185"/>
      <c r="AH248" s="185"/>
      <c r="AI248" s="186"/>
      <c r="AJ248" s="181"/>
      <c r="AK248" s="181"/>
      <c r="AL248" s="183"/>
      <c r="AM248" s="173"/>
      <c r="AN248" s="187"/>
      <c r="AO248" s="195"/>
      <c r="AP248" s="193"/>
      <c r="AQ248" s="193"/>
      <c r="AR248" s="193"/>
      <c r="AS248" s="193"/>
      <c r="AT248" s="193"/>
      <c r="AU248" s="193"/>
      <c r="AV248" s="194"/>
      <c r="AW248" s="193"/>
      <c r="AX248" s="207"/>
      <c r="AY248" s="208"/>
      <c r="AZ248" s="209"/>
      <c r="BA248" s="209"/>
      <c r="BB248" s="209"/>
      <c r="BC248" s="206"/>
      <c r="BD248" s="206"/>
      <c r="BE248" s="213"/>
      <c r="BF248" s="217"/>
      <c r="BG248" s="209"/>
      <c r="BH248" s="218"/>
      <c r="BI248" s="215"/>
      <c r="BJ248" s="215"/>
      <c r="BK248" s="215"/>
      <c r="BL248" s="215"/>
      <c r="BM248" s="215"/>
      <c r="BN248" s="215"/>
      <c r="BO248" s="216"/>
      <c r="BP248" s="215"/>
      <c r="BQ248" s="228"/>
      <c r="BR248" s="229"/>
      <c r="BS248" s="230"/>
      <c r="BT248" s="230"/>
      <c r="BU248" s="230"/>
      <c r="BV248" s="227"/>
      <c r="BW248" s="227"/>
      <c r="BX248" s="234"/>
      <c r="BY248" s="229"/>
      <c r="BZ248" s="230"/>
      <c r="CA248" s="235"/>
    </row>
    <row r="249" spans="1:79" ht="151.5" customHeight="1">
      <c r="A249" s="134" t="str">
        <f>IFERROR(INDEX(Riesgos!$A$7:$M$84,MATCH(E249,INDEX(Riesgos!$A$7:$M$84,,MATCH(E$7,Riesgos!$A$6:$M$6,0)),0),MATCH(A$7,Riesgos!$A$6:$M$6,0)),"")</f>
        <v/>
      </c>
      <c r="B249" s="135" t="str">
        <f>IFERROR(INDEX(Riesgos!$A$7:$M$84,MATCH(E249,INDEX(Riesgos!$A$7:$M$84,,MATCH(E$7,Riesgos!$A$6:$M$6,0)),0),MATCH(B$7,Riesgos!$A$6:$M$6,0)),"")</f>
        <v/>
      </c>
      <c r="C249" s="135"/>
      <c r="D249" s="136" t="str">
        <f>IFERROR(INDEX(Riesgos!$A$7:$M$84,MATCH(E249,INDEX(Riesgos!$A$7:$M$84,,MATCH(E$7,Riesgos!$A$6:$M$6,0)),0),MATCH(D$7,Riesgos!$A$6:$M$6,0)),"")</f>
        <v/>
      </c>
      <c r="E249" s="137"/>
      <c r="F249" s="137"/>
      <c r="G249" s="138" t="str">
        <f t="shared" si="4"/>
        <v/>
      </c>
      <c r="H249" s="139"/>
      <c r="I249" s="153" t="str">
        <f>IF(A248=A249,IFERROR(IF(AND(#REF!="Probabilidad",#REF!="Probabilidad"),(#REF!-(+#REF!*#REF!)),IF(#REF!="Probabilidad",(#REF!-(+#REF!*#REF!)),IF(#REF!="Impacto",#REF!,""))),""),IFERROR(IF(#REF!="Probabilidad",(#REF!-(+#REF!*#REF!)),IF(#REF!="Impacto",#REF!,"")),""))</f>
        <v/>
      </c>
      <c r="J249" s="154" t="str">
        <f>IFERROR(IF(I249="","",IF(I249&lt;='Listas y tablas'!$L$3,"Muy Baja",IF(I249&lt;='Listas y tablas'!$L$4,"Baja",IF(I249&lt;='Listas y tablas'!$L$5,"Media",IF(I249&lt;='Listas y tablas'!$L$6,"Alta","Muy Alta"))))),"")</f>
        <v/>
      </c>
      <c r="K249" s="155"/>
      <c r="L249" s="156"/>
      <c r="M249" s="150"/>
      <c r="N249" s="151"/>
      <c r="O249" s="151"/>
      <c r="P249" s="152"/>
      <c r="Q249" s="162"/>
      <c r="R249" s="151"/>
      <c r="S249" s="151"/>
      <c r="T249" s="151"/>
      <c r="U249" s="151"/>
      <c r="V249" s="165"/>
      <c r="W249" s="150"/>
      <c r="X249" s="151"/>
      <c r="Y249" s="151"/>
      <c r="Z249" s="151"/>
      <c r="AA249" s="151"/>
      <c r="AB249" s="151"/>
      <c r="AC249" s="163"/>
      <c r="AD249" s="151"/>
      <c r="AE249" s="152"/>
      <c r="AF249" s="173"/>
      <c r="AG249" s="185"/>
      <c r="AH249" s="185"/>
      <c r="AI249" s="186"/>
      <c r="AJ249" s="181"/>
      <c r="AK249" s="181"/>
      <c r="AL249" s="183"/>
      <c r="AM249" s="173"/>
      <c r="AN249" s="187"/>
      <c r="AO249" s="195"/>
      <c r="AP249" s="193"/>
      <c r="AQ249" s="193"/>
      <c r="AR249" s="193"/>
      <c r="AS249" s="193"/>
      <c r="AT249" s="193"/>
      <c r="AU249" s="193"/>
      <c r="AV249" s="194"/>
      <c r="AW249" s="193"/>
      <c r="AX249" s="207"/>
      <c r="AY249" s="208"/>
      <c r="AZ249" s="209"/>
      <c r="BA249" s="209"/>
      <c r="BB249" s="209"/>
      <c r="BC249" s="206"/>
      <c r="BD249" s="206"/>
      <c r="BE249" s="213"/>
      <c r="BF249" s="217"/>
      <c r="BG249" s="209"/>
      <c r="BH249" s="218"/>
      <c r="BI249" s="215"/>
      <c r="BJ249" s="215"/>
      <c r="BK249" s="215"/>
      <c r="BL249" s="215"/>
      <c r="BM249" s="215"/>
      <c r="BN249" s="215"/>
      <c r="BO249" s="216"/>
      <c r="BP249" s="215"/>
      <c r="BQ249" s="228"/>
      <c r="BR249" s="229"/>
      <c r="BS249" s="230"/>
      <c r="BT249" s="230"/>
      <c r="BU249" s="230"/>
      <c r="BV249" s="227"/>
      <c r="BW249" s="227"/>
      <c r="BX249" s="234"/>
      <c r="BY249" s="229"/>
      <c r="BZ249" s="230"/>
      <c r="CA249" s="235"/>
    </row>
    <row r="250" spans="1:79" ht="151.5" customHeight="1">
      <c r="A250" s="134" t="str">
        <f>IFERROR(INDEX(Riesgos!$A$7:$M$84,MATCH(E250,INDEX(Riesgos!$A$7:$M$84,,MATCH(E$7,Riesgos!$A$6:$M$6,0)),0),MATCH(A$7,Riesgos!$A$6:$M$6,0)),"")</f>
        <v/>
      </c>
      <c r="B250" s="135" t="str">
        <f>IFERROR(INDEX(Riesgos!$A$7:$M$84,MATCH(E250,INDEX(Riesgos!$A$7:$M$84,,MATCH(E$7,Riesgos!$A$6:$M$6,0)),0),MATCH(B$7,Riesgos!$A$6:$M$6,0)),"")</f>
        <v/>
      </c>
      <c r="C250" s="135"/>
      <c r="D250" s="136" t="str">
        <f>IFERROR(INDEX(Riesgos!$A$7:$M$84,MATCH(E250,INDEX(Riesgos!$A$7:$M$84,,MATCH(E$7,Riesgos!$A$6:$M$6,0)),0),MATCH(D$7,Riesgos!$A$6:$M$6,0)),"")</f>
        <v/>
      </c>
      <c r="E250" s="137"/>
      <c r="F250" s="137"/>
      <c r="G250" s="138" t="str">
        <f t="shared" si="4"/>
        <v/>
      </c>
      <c r="H250" s="139"/>
      <c r="I250" s="153" t="str">
        <f>IF(A249=A250,IFERROR(IF(AND(#REF!="Probabilidad",#REF!="Probabilidad"),(#REF!-(+#REF!*#REF!)),IF(#REF!="Probabilidad",(#REF!-(+#REF!*#REF!)),IF(#REF!="Impacto",#REF!,""))),""),IFERROR(IF(#REF!="Probabilidad",(#REF!-(+#REF!*#REF!)),IF(#REF!="Impacto",#REF!,"")),""))</f>
        <v/>
      </c>
      <c r="J250" s="154" t="str">
        <f>IFERROR(IF(I250="","",IF(I250&lt;='Listas y tablas'!$L$3,"Muy Baja",IF(I250&lt;='Listas y tablas'!$L$4,"Baja",IF(I250&lt;='Listas y tablas'!$L$5,"Media",IF(I250&lt;='Listas y tablas'!$L$6,"Alta","Muy Alta"))))),"")</f>
        <v/>
      </c>
      <c r="K250" s="155"/>
      <c r="L250" s="156"/>
      <c r="M250" s="150"/>
      <c r="N250" s="151"/>
      <c r="O250" s="151"/>
      <c r="P250" s="152"/>
      <c r="Q250" s="162"/>
      <c r="R250" s="151"/>
      <c r="S250" s="151"/>
      <c r="T250" s="151"/>
      <c r="U250" s="151"/>
      <c r="V250" s="165"/>
      <c r="W250" s="150"/>
      <c r="X250" s="151"/>
      <c r="Y250" s="151"/>
      <c r="Z250" s="151"/>
      <c r="AA250" s="151"/>
      <c r="AB250" s="151"/>
      <c r="AC250" s="163"/>
      <c r="AD250" s="151"/>
      <c r="AE250" s="152"/>
      <c r="AF250" s="173"/>
      <c r="AG250" s="185"/>
      <c r="AH250" s="185"/>
      <c r="AI250" s="186"/>
      <c r="AJ250" s="181"/>
      <c r="AK250" s="181"/>
      <c r="AL250" s="183"/>
      <c r="AM250" s="173"/>
      <c r="AN250" s="187"/>
      <c r="AO250" s="195"/>
      <c r="AP250" s="193"/>
      <c r="AQ250" s="193"/>
      <c r="AR250" s="193"/>
      <c r="AS250" s="193"/>
      <c r="AT250" s="193"/>
      <c r="AU250" s="193"/>
      <c r="AV250" s="194"/>
      <c r="AW250" s="193"/>
      <c r="AX250" s="207"/>
      <c r="AY250" s="208"/>
      <c r="AZ250" s="209"/>
      <c r="BA250" s="209"/>
      <c r="BB250" s="209"/>
      <c r="BC250" s="206"/>
      <c r="BD250" s="206"/>
      <c r="BE250" s="213"/>
      <c r="BF250" s="217"/>
      <c r="BG250" s="209"/>
      <c r="BH250" s="218"/>
      <c r="BI250" s="215"/>
      <c r="BJ250" s="215"/>
      <c r="BK250" s="215"/>
      <c r="BL250" s="215"/>
      <c r="BM250" s="215"/>
      <c r="BN250" s="215"/>
      <c r="BO250" s="216"/>
      <c r="BP250" s="215"/>
      <c r="BQ250" s="228"/>
      <c r="BR250" s="229"/>
      <c r="BS250" s="230"/>
      <c r="BT250" s="230"/>
      <c r="BU250" s="230"/>
      <c r="BV250" s="227"/>
      <c r="BW250" s="227"/>
      <c r="BX250" s="234"/>
      <c r="BY250" s="229"/>
      <c r="BZ250" s="230"/>
      <c r="CA250" s="235"/>
    </row>
    <row r="251" spans="1:79" ht="151.5" customHeight="1">
      <c r="A251" s="134" t="str">
        <f>IFERROR(INDEX(Riesgos!$A$7:$M$84,MATCH(E251,INDEX(Riesgos!$A$7:$M$84,,MATCH(E$7,Riesgos!$A$6:$M$6,0)),0),MATCH(A$7,Riesgos!$A$6:$M$6,0)),"")</f>
        <v/>
      </c>
      <c r="B251" s="135" t="str">
        <f>IFERROR(INDEX(Riesgos!$A$7:$M$84,MATCH(E251,INDEX(Riesgos!$A$7:$M$84,,MATCH(E$7,Riesgos!$A$6:$M$6,0)),0),MATCH(B$7,Riesgos!$A$6:$M$6,0)),"")</f>
        <v/>
      </c>
      <c r="C251" s="135"/>
      <c r="D251" s="136" t="str">
        <f>IFERROR(INDEX(Riesgos!$A$7:$M$84,MATCH(E251,INDEX(Riesgos!$A$7:$M$84,,MATCH(E$7,Riesgos!$A$6:$M$6,0)),0),MATCH(D$7,Riesgos!$A$6:$M$6,0)),"")</f>
        <v/>
      </c>
      <c r="E251" s="137"/>
      <c r="F251" s="137"/>
      <c r="G251" s="138" t="str">
        <f t="shared" si="4"/>
        <v/>
      </c>
      <c r="H251" s="139"/>
      <c r="I251" s="153" t="str">
        <f>IF(A250=A251,IFERROR(IF(AND(#REF!="Probabilidad",#REF!="Probabilidad"),(#REF!-(+#REF!*#REF!)),IF(#REF!="Probabilidad",(#REF!-(+#REF!*#REF!)),IF(#REF!="Impacto",#REF!,""))),""),IFERROR(IF(#REF!="Probabilidad",(#REF!-(+#REF!*#REF!)),IF(#REF!="Impacto",#REF!,"")),""))</f>
        <v/>
      </c>
      <c r="J251" s="154" t="str">
        <f>IFERROR(IF(I251="","",IF(I251&lt;='Listas y tablas'!$L$3,"Muy Baja",IF(I251&lt;='Listas y tablas'!$L$4,"Baja",IF(I251&lt;='Listas y tablas'!$L$5,"Media",IF(I251&lt;='Listas y tablas'!$L$6,"Alta","Muy Alta"))))),"")</f>
        <v/>
      </c>
      <c r="K251" s="155"/>
      <c r="L251" s="156"/>
      <c r="M251" s="150"/>
      <c r="N251" s="151"/>
      <c r="O251" s="151"/>
      <c r="P251" s="152"/>
      <c r="Q251" s="162"/>
      <c r="R251" s="151"/>
      <c r="S251" s="151"/>
      <c r="T251" s="151"/>
      <c r="U251" s="151"/>
      <c r="V251" s="165"/>
      <c r="W251" s="150"/>
      <c r="X251" s="151"/>
      <c r="Y251" s="151"/>
      <c r="Z251" s="151"/>
      <c r="AA251" s="151"/>
      <c r="AB251" s="151"/>
      <c r="AC251" s="163"/>
      <c r="AD251" s="151"/>
      <c r="AE251" s="152"/>
      <c r="AF251" s="173"/>
      <c r="AG251" s="185"/>
      <c r="AH251" s="185"/>
      <c r="AI251" s="186"/>
      <c r="AJ251" s="181"/>
      <c r="AK251" s="181"/>
      <c r="AL251" s="183"/>
      <c r="AM251" s="173"/>
      <c r="AN251" s="187"/>
      <c r="AO251" s="195"/>
      <c r="AP251" s="193"/>
      <c r="AQ251" s="193"/>
      <c r="AR251" s="193"/>
      <c r="AS251" s="193"/>
      <c r="AT251" s="193"/>
      <c r="AU251" s="193"/>
      <c r="AV251" s="194"/>
      <c r="AW251" s="193"/>
      <c r="AX251" s="207"/>
      <c r="AY251" s="208"/>
      <c r="AZ251" s="209"/>
      <c r="BA251" s="209"/>
      <c r="BB251" s="209"/>
      <c r="BC251" s="206"/>
      <c r="BD251" s="206"/>
      <c r="BE251" s="213"/>
      <c r="BF251" s="217"/>
      <c r="BG251" s="209"/>
      <c r="BH251" s="218"/>
      <c r="BI251" s="215"/>
      <c r="BJ251" s="215"/>
      <c r="BK251" s="215"/>
      <c r="BL251" s="215"/>
      <c r="BM251" s="215"/>
      <c r="BN251" s="215"/>
      <c r="BO251" s="216"/>
      <c r="BP251" s="215"/>
      <c r="BQ251" s="228"/>
      <c r="BR251" s="229"/>
      <c r="BS251" s="230"/>
      <c r="BT251" s="230"/>
      <c r="BU251" s="230"/>
      <c r="BV251" s="227"/>
      <c r="BW251" s="227"/>
      <c r="BX251" s="234"/>
      <c r="BY251" s="229"/>
      <c r="BZ251" s="230"/>
      <c r="CA251" s="235"/>
    </row>
    <row r="252" spans="1:79" ht="49.5" customHeight="1">
      <c r="A252" s="236"/>
      <c r="B252" s="237"/>
      <c r="C252" s="237"/>
      <c r="D252" s="238" t="s">
        <v>284</v>
      </c>
      <c r="E252" s="238" t="s">
        <v>284</v>
      </c>
      <c r="F252" s="238"/>
      <c r="G252" s="238"/>
      <c r="H252" s="238"/>
      <c r="I252" s="238"/>
      <c r="J252" s="238"/>
      <c r="K252" s="238"/>
      <c r="L252" s="239"/>
      <c r="M252" s="240"/>
      <c r="N252" s="241"/>
      <c r="O252" s="241"/>
      <c r="P252" s="239"/>
      <c r="Q252" s="162"/>
      <c r="R252" s="151"/>
      <c r="S252" s="151"/>
      <c r="T252" s="151"/>
      <c r="U252" s="151"/>
      <c r="V252" s="165"/>
      <c r="W252" s="240"/>
      <c r="X252" s="241"/>
      <c r="Y252" s="241"/>
      <c r="Z252" s="241"/>
      <c r="AA252" s="241"/>
      <c r="AB252" s="241"/>
      <c r="AC252" s="242"/>
      <c r="AD252" s="241"/>
      <c r="AE252" s="239"/>
      <c r="AF252" s="240"/>
      <c r="AG252" s="241"/>
      <c r="AH252" s="241"/>
      <c r="AI252" s="243"/>
      <c r="AJ252" s="243"/>
      <c r="AK252" s="241"/>
      <c r="AL252" s="239"/>
      <c r="AM252" s="240"/>
      <c r="AN252" s="244"/>
      <c r="AO252" s="245"/>
      <c r="AP252" s="246"/>
      <c r="AQ252" s="246"/>
      <c r="AR252" s="246"/>
      <c r="AS252" s="246"/>
      <c r="AT252" s="246"/>
      <c r="AU252" s="246"/>
      <c r="AV252" s="247"/>
      <c r="AW252" s="246"/>
      <c r="AX252" s="248"/>
      <c r="AY252" s="249"/>
      <c r="AZ252" s="246"/>
      <c r="BA252" s="246"/>
      <c r="BB252" s="246"/>
      <c r="BC252" s="246"/>
      <c r="BD252" s="246"/>
      <c r="BE252" s="248"/>
      <c r="BF252" s="250"/>
      <c r="BG252" s="246"/>
      <c r="BH252" s="248"/>
      <c r="BI252" s="251"/>
      <c r="BJ252" s="251"/>
      <c r="BK252" s="251"/>
      <c r="BL252" s="251"/>
      <c r="BM252" s="251"/>
      <c r="BN252" s="251"/>
      <c r="BO252" s="252"/>
      <c r="BP252" s="251"/>
      <c r="BQ252" s="253"/>
      <c r="BR252" s="254"/>
      <c r="BS252" s="251"/>
      <c r="BT252" s="251"/>
      <c r="BU252" s="251"/>
      <c r="BV252" s="251"/>
      <c r="BW252" s="251"/>
      <c r="BX252" s="253"/>
      <c r="BY252" s="254"/>
      <c r="BZ252" s="251"/>
      <c r="CA252" s="253"/>
    </row>
    <row r="253" spans="1:79">
      <c r="A253" s="118" t="s">
        <v>196</v>
      </c>
      <c r="B253" s="118" t="s">
        <v>196</v>
      </c>
      <c r="D253" s="118" t="s">
        <v>196</v>
      </c>
      <c r="E253" s="119" t="s">
        <v>196</v>
      </c>
      <c r="G253" s="119" t="s">
        <v>196</v>
      </c>
      <c r="H253" s="119" t="s">
        <v>196</v>
      </c>
      <c r="I253" s="119" t="s">
        <v>196</v>
      </c>
      <c r="J253" s="119" t="s">
        <v>196</v>
      </c>
      <c r="K253" s="119" t="s">
        <v>196</v>
      </c>
      <c r="L253" s="119" t="s">
        <v>196</v>
      </c>
      <c r="M253" s="119" t="s">
        <v>196</v>
      </c>
      <c r="N253" s="119" t="s">
        <v>196</v>
      </c>
      <c r="O253" s="119" t="s">
        <v>196</v>
      </c>
      <c r="P253" s="119" t="s">
        <v>196</v>
      </c>
      <c r="Q253" s="119" t="s">
        <v>196</v>
      </c>
      <c r="R253" s="119" t="s">
        <v>196</v>
      </c>
      <c r="S253" s="119" t="s">
        <v>196</v>
      </c>
      <c r="T253" s="119" t="s">
        <v>196</v>
      </c>
      <c r="U253" s="119" t="s">
        <v>196</v>
      </c>
      <c r="V253" s="119" t="s">
        <v>196</v>
      </c>
      <c r="X253" s="119" t="s">
        <v>196</v>
      </c>
      <c r="AG253" s="119" t="s">
        <v>196</v>
      </c>
      <c r="AQ253" s="119" t="s">
        <v>196</v>
      </c>
      <c r="AZ253" s="119" t="s">
        <v>196</v>
      </c>
      <c r="BJ253" s="119" t="s">
        <v>196</v>
      </c>
      <c r="BS253" s="119" t="s">
        <v>196</v>
      </c>
    </row>
    <row r="254" spans="1:79">
      <c r="A254" s="119"/>
      <c r="B254" s="119"/>
      <c r="C254" s="119"/>
      <c r="D254" s="119"/>
    </row>
  </sheetData>
  <mergeCells count="45">
    <mergeCell ref="BY6:BY7"/>
    <mergeCell ref="BZ6:BZ7"/>
    <mergeCell ref="CA6:CA7"/>
    <mergeCell ref="A1:CA2"/>
    <mergeCell ref="I4:L6"/>
    <mergeCell ref="M4:P6"/>
    <mergeCell ref="Q4:V6"/>
    <mergeCell ref="G4:H6"/>
    <mergeCell ref="A4:F6"/>
    <mergeCell ref="BR6:BS6"/>
    <mergeCell ref="BT6:BU6"/>
    <mergeCell ref="BW6:BX6"/>
    <mergeCell ref="AM6:AM7"/>
    <mergeCell ref="AN6:AN7"/>
    <mergeCell ref="AO6:AO7"/>
    <mergeCell ref="BF6:BF7"/>
    <mergeCell ref="BG6:BG7"/>
    <mergeCell ref="BH6:BH7"/>
    <mergeCell ref="BA6:BB6"/>
    <mergeCell ref="BD6:BE6"/>
    <mergeCell ref="BI6:BJ6"/>
    <mergeCell ref="BK6:BN6"/>
    <mergeCell ref="BP6:BQ6"/>
    <mergeCell ref="AK6:AL6"/>
    <mergeCell ref="AP6:AQ6"/>
    <mergeCell ref="AR6:AU6"/>
    <mergeCell ref="AW6:AX6"/>
    <mergeCell ref="AY6:AZ6"/>
    <mergeCell ref="W6:X6"/>
    <mergeCell ref="Y6:AB6"/>
    <mergeCell ref="AD6:AE6"/>
    <mergeCell ref="AF6:AG6"/>
    <mergeCell ref="AH6:AI6"/>
    <mergeCell ref="W4:AO4"/>
    <mergeCell ref="AP4:BH4"/>
    <mergeCell ref="BI4:CA4"/>
    <mergeCell ref="W5:AE5"/>
    <mergeCell ref="AF5:AL5"/>
    <mergeCell ref="AM5:AO5"/>
    <mergeCell ref="AP5:AX5"/>
    <mergeCell ref="AY5:BE5"/>
    <mergeCell ref="BF5:BH5"/>
    <mergeCell ref="BI5:BQ5"/>
    <mergeCell ref="BR5:BX5"/>
    <mergeCell ref="BY5:CA5"/>
  </mergeCells>
  <conditionalFormatting sqref="J8">
    <cfRule type="cellIs" dxfId="17" priority="109" operator="equal">
      <formula>"Muy Alta"</formula>
    </cfRule>
    <cfRule type="cellIs" dxfId="16" priority="110" operator="equal">
      <formula>"Alta"</formula>
    </cfRule>
    <cfRule type="cellIs" dxfId="15" priority="111" operator="equal">
      <formula>"Media"</formula>
    </cfRule>
    <cfRule type="cellIs" dxfId="14" priority="112" operator="equal">
      <formula>"Baja"</formula>
    </cfRule>
    <cfRule type="cellIs" dxfId="13" priority="113" operator="equal">
      <formula>"Muy Baja"</formula>
    </cfRule>
  </conditionalFormatting>
  <conditionalFormatting sqref="J66:J250">
    <cfRule type="cellIs" dxfId="12" priority="21" operator="equal">
      <formula>"Muy Alta"</formula>
    </cfRule>
    <cfRule type="cellIs" dxfId="11" priority="22" operator="equal">
      <formula>"Alta"</formula>
    </cfRule>
    <cfRule type="cellIs" dxfId="10" priority="23" operator="equal">
      <formula>"Media"</formula>
    </cfRule>
    <cfRule type="cellIs" dxfId="9" priority="24" operator="equal">
      <formula>"Baja"</formula>
    </cfRule>
    <cfRule type="cellIs" dxfId="8" priority="25" operator="equal">
      <formula>"Muy Baja"</formula>
    </cfRule>
  </conditionalFormatting>
  <conditionalFormatting sqref="AC8:AC252">
    <cfRule type="cellIs" dxfId="7" priority="3" operator="equal">
      <formula>"sí"</formula>
    </cfRule>
  </conditionalFormatting>
  <conditionalFormatting sqref="AV8:AV252">
    <cfRule type="cellIs" dxfId="6" priority="2" operator="equal">
      <formula>"sí"</formula>
    </cfRule>
  </conditionalFormatting>
  <conditionalFormatting sqref="BO8:BO252">
    <cfRule type="cellIs" dxfId="5" priority="1" operator="equal">
      <formula>"sí"</formula>
    </cfRule>
  </conditionalFormatting>
  <dataValidations count="1">
    <dataValidation type="list" allowBlank="1" showInputMessage="1" showErrorMessage="1" sqref="E8:F251">
      <formula1>Descripcion_del_Riesgo</formula1>
    </dataValidation>
  </dataValidations>
  <pageMargins left="0.70866141732283505" right="0.70866141732283505" top="0.74803149606299202" bottom="0.74803149606299202" header="0.31496062992126" footer="0.31496062992126"/>
  <pageSetup orientation="portrait"/>
  <headerFooter>
    <oddFooter>&amp;LVersión 3  02/05/2022</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'Opciones Tratamiento'!$B$2:$B$5</xm:f>
          </x14:formula1>
          <xm:sqref>K8:K251</xm:sqref>
        </x14:dataValidation>
        <x14:dataValidation type="list" allowBlank="1" showInputMessage="1" showErrorMessage="1">
          <x14:formula1>
            <xm:f>'Listas y tablas'!$Z$3:$Z$4</xm:f>
          </x14:formula1>
          <xm:sqref>AJ8:AJ251 AK8:AK252 BC8:BC251 BD8:BD252 BV8:BV251 BW8:BW252 AC8:AD252 BO8:BP252 AV8:AW252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7"/>
  <sheetViews>
    <sheetView topLeftCell="Q1" workbookViewId="0">
      <selection activeCell="U11" sqref="U11"/>
    </sheetView>
  </sheetViews>
  <sheetFormatPr baseColWidth="10" defaultColWidth="11.42578125" defaultRowHeight="15"/>
  <cols>
    <col min="1" max="7" width="11.42578125" style="104"/>
    <col min="8" max="8" width="28.5703125" style="104" customWidth="1"/>
    <col min="9" max="16" width="11.42578125" style="104"/>
    <col min="17" max="17" width="17.5703125" style="105" customWidth="1"/>
    <col min="18" max="18" width="60.7109375" style="105" customWidth="1"/>
    <col min="19" max="30" width="11.42578125" style="104"/>
    <col min="31" max="31" width="34.28515625" style="104" customWidth="1"/>
    <col min="32" max="32" width="18.5703125" style="104" customWidth="1"/>
    <col min="33" max="33" width="11.42578125" style="104"/>
    <col min="34" max="34" width="25.140625" style="104" customWidth="1"/>
    <col min="35" max="36" width="11.42578125" style="104"/>
    <col min="37" max="37" width="47.28515625" style="104" customWidth="1"/>
    <col min="38" max="16384" width="11.42578125" style="104"/>
  </cols>
  <sheetData>
    <row r="1" spans="1:37">
      <c r="AC1" s="708" t="s">
        <v>1438</v>
      </c>
      <c r="AD1" s="708"/>
      <c r="AE1" s="708"/>
      <c r="AF1" s="708"/>
    </row>
    <row r="2" spans="1:37" s="103" customFormat="1">
      <c r="A2" s="708" t="s">
        <v>311</v>
      </c>
      <c r="B2" s="708"/>
      <c r="C2" s="708"/>
      <c r="D2" s="104"/>
      <c r="E2" s="708" t="s">
        <v>1439</v>
      </c>
      <c r="F2" s="708"/>
      <c r="G2" s="104"/>
      <c r="H2" s="708" t="s">
        <v>1440</v>
      </c>
      <c r="I2" s="708"/>
      <c r="J2" s="104"/>
      <c r="K2" s="708" t="s">
        <v>327</v>
      </c>
      <c r="L2" s="708"/>
      <c r="M2" s="104"/>
      <c r="N2" s="103" t="s">
        <v>329</v>
      </c>
      <c r="O2" s="104"/>
      <c r="P2" s="104"/>
      <c r="Q2" s="101" t="s">
        <v>7</v>
      </c>
      <c r="R2" s="101" t="s">
        <v>9</v>
      </c>
      <c r="S2" s="104"/>
      <c r="T2" s="103" t="s">
        <v>1441</v>
      </c>
      <c r="U2" s="104"/>
      <c r="V2" s="103" t="s">
        <v>1442</v>
      </c>
      <c r="W2" s="104"/>
      <c r="X2" s="103" t="s">
        <v>1443</v>
      </c>
      <c r="Y2" s="104"/>
      <c r="Z2" s="103" t="s">
        <v>1444</v>
      </c>
      <c r="AA2" s="104"/>
      <c r="AB2" s="104"/>
      <c r="AC2" s="106" t="s">
        <v>1236</v>
      </c>
      <c r="AD2" s="106" t="s">
        <v>1237</v>
      </c>
      <c r="AE2" s="106" t="s">
        <v>1445</v>
      </c>
      <c r="AF2" s="106" t="s">
        <v>324</v>
      </c>
      <c r="AG2" s="104"/>
      <c r="AH2" s="708" t="s">
        <v>1446</v>
      </c>
      <c r="AI2" s="708"/>
      <c r="AK2" s="106" t="s">
        <v>1447</v>
      </c>
    </row>
    <row r="3" spans="1:37" ht="75">
      <c r="A3" s="104" t="s">
        <v>1448</v>
      </c>
      <c r="B3" s="104">
        <v>2</v>
      </c>
      <c r="C3" s="107">
        <v>0.2</v>
      </c>
      <c r="E3" s="104" t="s">
        <v>1449</v>
      </c>
      <c r="F3" s="107">
        <v>0.2</v>
      </c>
      <c r="H3" s="104" t="s">
        <v>1450</v>
      </c>
      <c r="I3" s="107">
        <v>0.5</v>
      </c>
      <c r="K3" s="104" t="s">
        <v>1448</v>
      </c>
      <c r="L3" s="107">
        <v>0.2</v>
      </c>
      <c r="N3" s="104" t="s">
        <v>1449</v>
      </c>
      <c r="O3" s="107">
        <v>0.2</v>
      </c>
      <c r="Q3" s="102" t="s">
        <v>68</v>
      </c>
      <c r="R3" s="102" t="s">
        <v>1451</v>
      </c>
      <c r="T3" s="110" t="s">
        <v>404</v>
      </c>
      <c r="V3" s="110" t="s">
        <v>434</v>
      </c>
      <c r="X3" s="111" t="s">
        <v>1452</v>
      </c>
      <c r="Z3" s="104" t="s">
        <v>422</v>
      </c>
      <c r="AC3" s="113">
        <v>5</v>
      </c>
      <c r="AD3" s="111" t="s">
        <v>1453</v>
      </c>
      <c r="AE3" s="111" t="s">
        <v>1454</v>
      </c>
      <c r="AF3" s="111" t="s">
        <v>1455</v>
      </c>
      <c r="AH3" s="111" t="s">
        <v>1456</v>
      </c>
      <c r="AI3" s="111" t="s">
        <v>1457</v>
      </c>
      <c r="AK3" s="114" t="s">
        <v>1458</v>
      </c>
    </row>
    <row r="4" spans="1:37" ht="105">
      <c r="A4" s="104" t="s">
        <v>1459</v>
      </c>
      <c r="B4" s="104">
        <v>24</v>
      </c>
      <c r="C4" s="107">
        <v>0.4</v>
      </c>
      <c r="E4" s="104" t="s">
        <v>1460</v>
      </c>
      <c r="F4" s="107">
        <v>0.4</v>
      </c>
      <c r="H4" s="104" t="s">
        <v>1461</v>
      </c>
      <c r="I4" s="107">
        <v>0.4</v>
      </c>
      <c r="K4" s="104" t="s">
        <v>1459</v>
      </c>
      <c r="L4" s="107">
        <v>0.4</v>
      </c>
      <c r="N4" s="104" t="s">
        <v>1460</v>
      </c>
      <c r="O4" s="107">
        <v>0.4</v>
      </c>
      <c r="Q4" s="102" t="s">
        <v>72</v>
      </c>
      <c r="R4" s="102" t="s">
        <v>1462</v>
      </c>
      <c r="T4" s="110" t="s">
        <v>1463</v>
      </c>
      <c r="V4" s="110" t="s">
        <v>474</v>
      </c>
      <c r="X4" s="111" t="s">
        <v>1464</v>
      </c>
      <c r="Z4" s="104" t="s">
        <v>402</v>
      </c>
      <c r="AC4" s="113">
        <v>4</v>
      </c>
      <c r="AD4" s="111" t="s">
        <v>1465</v>
      </c>
      <c r="AE4" s="111" t="s">
        <v>1466</v>
      </c>
      <c r="AF4" s="111" t="s">
        <v>1467</v>
      </c>
      <c r="AH4" s="111" t="s">
        <v>1468</v>
      </c>
      <c r="AI4" s="111" t="s">
        <v>1469</v>
      </c>
      <c r="AK4" s="114" t="s">
        <v>252</v>
      </c>
    </row>
    <row r="5" spans="1:37" ht="90">
      <c r="A5" s="104" t="s">
        <v>1470</v>
      </c>
      <c r="B5" s="104">
        <v>500</v>
      </c>
      <c r="C5" s="107">
        <v>0.6</v>
      </c>
      <c r="E5" s="104" t="s">
        <v>1471</v>
      </c>
      <c r="F5" s="107">
        <v>0.6</v>
      </c>
      <c r="H5" s="104" t="s">
        <v>1472</v>
      </c>
      <c r="I5" s="107">
        <v>0.4</v>
      </c>
      <c r="K5" s="104" t="s">
        <v>1470</v>
      </c>
      <c r="L5" s="107">
        <v>0.6</v>
      </c>
      <c r="N5" s="104" t="s">
        <v>1471</v>
      </c>
      <c r="O5" s="107">
        <v>0.6</v>
      </c>
      <c r="Q5" s="102" t="s">
        <v>73</v>
      </c>
      <c r="R5" s="102" t="s">
        <v>1473</v>
      </c>
      <c r="T5" s="110" t="s">
        <v>1474</v>
      </c>
      <c r="V5" s="110" t="s">
        <v>1475</v>
      </c>
      <c r="X5" s="111" t="s">
        <v>1476</v>
      </c>
      <c r="AC5" s="113">
        <v>3</v>
      </c>
      <c r="AD5" s="111" t="s">
        <v>1477</v>
      </c>
      <c r="AE5" s="111" t="s">
        <v>1478</v>
      </c>
      <c r="AF5" s="111" t="s">
        <v>1479</v>
      </c>
      <c r="AH5" s="111" t="s">
        <v>1480</v>
      </c>
      <c r="AI5" s="111" t="s">
        <v>1471</v>
      </c>
      <c r="AK5" s="114" t="s">
        <v>1481</v>
      </c>
    </row>
    <row r="6" spans="1:37" ht="75">
      <c r="A6" s="104" t="s">
        <v>1482</v>
      </c>
      <c r="B6" s="104">
        <v>5000</v>
      </c>
      <c r="C6" s="107">
        <v>0.8</v>
      </c>
      <c r="E6" s="104" t="s">
        <v>1483</v>
      </c>
      <c r="F6" s="107">
        <v>0.8</v>
      </c>
      <c r="H6" s="104" t="s">
        <v>1484</v>
      </c>
      <c r="I6" s="107">
        <v>0.3</v>
      </c>
      <c r="K6" s="104" t="s">
        <v>1482</v>
      </c>
      <c r="L6" s="107">
        <v>0.8</v>
      </c>
      <c r="N6" s="104" t="s">
        <v>1483</v>
      </c>
      <c r="O6" s="107">
        <v>0.8</v>
      </c>
      <c r="Q6" s="102" t="s">
        <v>74</v>
      </c>
      <c r="R6" s="102" t="s">
        <v>1485</v>
      </c>
      <c r="T6" s="110" t="s">
        <v>414</v>
      </c>
      <c r="V6" s="110" t="s">
        <v>894</v>
      </c>
      <c r="X6" s="111"/>
      <c r="AC6" s="113">
        <v>2</v>
      </c>
      <c r="AD6" s="111" t="s">
        <v>1486</v>
      </c>
      <c r="AE6" s="111" t="s">
        <v>1487</v>
      </c>
      <c r="AF6" s="111" t="s">
        <v>1488</v>
      </c>
      <c r="AH6" s="111" t="s">
        <v>1489</v>
      </c>
      <c r="AI6" s="111" t="s">
        <v>1457</v>
      </c>
      <c r="AK6" s="115" t="s">
        <v>227</v>
      </c>
    </row>
    <row r="7" spans="1:37" ht="150">
      <c r="A7" s="104" t="s">
        <v>1490</v>
      </c>
      <c r="C7" s="107">
        <v>1</v>
      </c>
      <c r="E7" s="104" t="s">
        <v>1491</v>
      </c>
      <c r="F7" s="107">
        <v>1</v>
      </c>
      <c r="H7" s="104" t="s">
        <v>1492</v>
      </c>
      <c r="I7" s="107">
        <v>0.35</v>
      </c>
      <c r="K7" s="104" t="s">
        <v>1490</v>
      </c>
      <c r="L7" s="107">
        <v>1</v>
      </c>
      <c r="N7" s="104" t="s">
        <v>1491</v>
      </c>
      <c r="O7" s="107">
        <v>1</v>
      </c>
      <c r="Q7" s="102" t="s">
        <v>75</v>
      </c>
      <c r="R7" s="102" t="s">
        <v>1493</v>
      </c>
      <c r="T7" s="110" t="s">
        <v>1494</v>
      </c>
      <c r="V7" s="110" t="s">
        <v>1494</v>
      </c>
      <c r="X7" s="111"/>
      <c r="AC7" s="113">
        <v>1</v>
      </c>
      <c r="AD7" s="111" t="s">
        <v>1495</v>
      </c>
      <c r="AE7" s="111" t="s">
        <v>1496</v>
      </c>
      <c r="AF7" s="111" t="s">
        <v>1497</v>
      </c>
      <c r="AH7" s="111" t="s">
        <v>1498</v>
      </c>
      <c r="AI7" s="111" t="s">
        <v>1469</v>
      </c>
      <c r="AK7" s="114" t="s">
        <v>150</v>
      </c>
    </row>
    <row r="8" spans="1:37" ht="105">
      <c r="H8" s="104" t="s">
        <v>1499</v>
      </c>
      <c r="I8" s="107">
        <v>0.25</v>
      </c>
      <c r="Q8" s="102" t="s">
        <v>76</v>
      </c>
      <c r="R8" s="102" t="s">
        <v>1500</v>
      </c>
      <c r="T8" s="112" t="s">
        <v>1501</v>
      </c>
      <c r="V8" s="110" t="s">
        <v>406</v>
      </c>
      <c r="X8" s="111"/>
      <c r="AH8" s="111" t="s">
        <v>1502</v>
      </c>
      <c r="AI8" s="111" t="s">
        <v>1471</v>
      </c>
      <c r="AK8" s="114" t="s">
        <v>101</v>
      </c>
    </row>
    <row r="9" spans="1:37" ht="120">
      <c r="Q9" s="102" t="s">
        <v>77</v>
      </c>
      <c r="R9" s="102" t="s">
        <v>1503</v>
      </c>
      <c r="V9" s="110" t="s">
        <v>556</v>
      </c>
      <c r="X9" s="111"/>
      <c r="AH9" s="111" t="s">
        <v>1504</v>
      </c>
      <c r="AI9" s="111" t="s">
        <v>1457</v>
      </c>
    </row>
    <row r="10" spans="1:37" ht="60">
      <c r="Q10" s="102" t="s">
        <v>78</v>
      </c>
      <c r="R10" s="102" t="s">
        <v>1505</v>
      </c>
      <c r="V10" s="112" t="s">
        <v>1501</v>
      </c>
      <c r="AH10" s="111" t="s">
        <v>1506</v>
      </c>
      <c r="AI10" s="111" t="s">
        <v>1469</v>
      </c>
    </row>
    <row r="11" spans="1:37" ht="75">
      <c r="Q11" s="102" t="s">
        <v>79</v>
      </c>
      <c r="R11" s="102" t="s">
        <v>1507</v>
      </c>
      <c r="AH11" s="111" t="s">
        <v>1508</v>
      </c>
      <c r="AI11" s="111" t="s">
        <v>1471</v>
      </c>
    </row>
    <row r="12" spans="1:37" ht="60">
      <c r="Q12" s="102" t="s">
        <v>80</v>
      </c>
      <c r="R12" s="102" t="s">
        <v>1509</v>
      </c>
      <c r="AH12" s="111" t="s">
        <v>1510</v>
      </c>
      <c r="AI12" s="111" t="s">
        <v>1469</v>
      </c>
    </row>
    <row r="13" spans="1:37" ht="75">
      <c r="Q13" s="102" t="s">
        <v>81</v>
      </c>
      <c r="R13" s="102" t="s">
        <v>1511</v>
      </c>
      <c r="AH13" s="111" t="s">
        <v>1512</v>
      </c>
      <c r="AI13" s="111" t="s">
        <v>1471</v>
      </c>
    </row>
    <row r="14" spans="1:37" ht="75">
      <c r="Q14" s="102" t="s">
        <v>82</v>
      </c>
      <c r="R14" s="102" t="s">
        <v>1513</v>
      </c>
      <c r="AH14" s="111" t="s">
        <v>1514</v>
      </c>
      <c r="AI14" s="111" t="s">
        <v>1515</v>
      </c>
    </row>
    <row r="15" spans="1:37" ht="60">
      <c r="Q15" s="102" t="s">
        <v>83</v>
      </c>
      <c r="R15" s="102" t="s">
        <v>1516</v>
      </c>
      <c r="AH15" s="111" t="s">
        <v>1517</v>
      </c>
      <c r="AI15" s="111" t="s">
        <v>1471</v>
      </c>
    </row>
    <row r="16" spans="1:37" ht="45">
      <c r="Q16" s="102" t="s">
        <v>84</v>
      </c>
      <c r="R16" s="102" t="s">
        <v>1518</v>
      </c>
      <c r="AH16" s="111" t="s">
        <v>1519</v>
      </c>
      <c r="AI16" s="111" t="s">
        <v>1515</v>
      </c>
    </row>
    <row r="17" spans="17:35" ht="105">
      <c r="Q17" s="102" t="s">
        <v>85</v>
      </c>
      <c r="R17" s="102" t="s">
        <v>1520</v>
      </c>
      <c r="AH17" s="111" t="s">
        <v>1521</v>
      </c>
      <c r="AI17" s="111" t="s">
        <v>1515</v>
      </c>
    </row>
    <row r="18" spans="17:35" ht="75">
      <c r="Q18" s="102" t="s">
        <v>86</v>
      </c>
      <c r="R18" s="102" t="s">
        <v>1522</v>
      </c>
      <c r="AH18" s="111"/>
      <c r="AI18" s="111"/>
    </row>
    <row r="19" spans="17:35">
      <c r="AH19" s="111"/>
      <c r="AI19" s="111"/>
    </row>
    <row r="20" spans="17:35">
      <c r="AH20" s="111"/>
      <c r="AI20" s="111"/>
    </row>
    <row r="21" spans="17:35">
      <c r="AH21" s="111"/>
      <c r="AI21" s="111"/>
    </row>
    <row r="22" spans="17:35">
      <c r="AH22" s="111"/>
      <c r="AI22" s="111"/>
    </row>
    <row r="23" spans="17:35">
      <c r="AH23" s="111"/>
      <c r="AI23" s="111"/>
    </row>
    <row r="24" spans="17:35">
      <c r="AH24" s="111"/>
      <c r="AI24" s="111"/>
    </row>
    <row r="25" spans="17:35">
      <c r="AH25" s="111"/>
      <c r="AI25" s="111"/>
    </row>
    <row r="26" spans="17:35">
      <c r="AH26" s="111"/>
      <c r="AI26" s="111"/>
    </row>
    <row r="27" spans="17:35">
      <c r="AH27" s="111"/>
      <c r="AI27" s="111"/>
    </row>
    <row r="28" spans="17:35">
      <c r="AH28" s="111"/>
      <c r="AI28" s="111"/>
    </row>
    <row r="29" spans="17:35">
      <c r="AH29" s="111"/>
      <c r="AI29" s="111"/>
    </row>
    <row r="30" spans="17:35">
      <c r="AH30" s="111"/>
      <c r="AI30" s="111"/>
    </row>
    <row r="31" spans="17:35">
      <c r="AH31" s="111"/>
      <c r="AI31" s="111"/>
    </row>
    <row r="32" spans="17:35">
      <c r="AH32" s="111"/>
      <c r="AI32" s="111"/>
    </row>
    <row r="33" spans="34:35">
      <c r="AH33" s="111"/>
      <c r="AI33" s="111"/>
    </row>
    <row r="34" spans="34:35">
      <c r="AH34" s="111"/>
      <c r="AI34" s="111"/>
    </row>
    <row r="35" spans="34:35">
      <c r="AH35" s="111"/>
      <c r="AI35" s="111"/>
    </row>
    <row r="36" spans="34:35">
      <c r="AH36" s="111"/>
      <c r="AI36" s="111"/>
    </row>
    <row r="50" spans="13:15">
      <c r="M50" s="108"/>
    </row>
    <row r="53" spans="13:15">
      <c r="M53" s="109"/>
      <c r="O53" s="109"/>
    </row>
    <row r="55" spans="13:15">
      <c r="M55" s="109"/>
    </row>
    <row r="56" spans="13:15">
      <c r="M56" s="109"/>
      <c r="O56" s="109"/>
    </row>
    <row r="57" spans="13:15">
      <c r="M57" s="109"/>
    </row>
  </sheetData>
  <mergeCells count="6">
    <mergeCell ref="AH2:AI2"/>
    <mergeCell ref="AC1:AF1"/>
    <mergeCell ref="A2:C2"/>
    <mergeCell ref="E2:F2"/>
    <mergeCell ref="H2:I2"/>
    <mergeCell ref="K2:L2"/>
  </mergeCell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20"/>
  <sheetViews>
    <sheetView topLeftCell="A3" workbookViewId="0">
      <selection activeCell="C4" sqref="C4"/>
    </sheetView>
  </sheetViews>
  <sheetFormatPr baseColWidth="10" defaultColWidth="11" defaultRowHeight="15"/>
  <sheetData>
    <row r="4" spans="3:4">
      <c r="C4" s="101" t="s">
        <v>7</v>
      </c>
      <c r="D4" t="s">
        <v>320</v>
      </c>
    </row>
    <row r="5" spans="3:4" ht="75">
      <c r="C5" s="102" t="s">
        <v>68</v>
      </c>
      <c r="D5" t="s">
        <v>1523</v>
      </c>
    </row>
    <row r="6" spans="3:4" ht="45">
      <c r="C6" s="102" t="s">
        <v>72</v>
      </c>
      <c r="D6" t="s">
        <v>1524</v>
      </c>
    </row>
    <row r="7" spans="3:4" ht="45">
      <c r="C7" s="102" t="s">
        <v>73</v>
      </c>
      <c r="D7" t="s">
        <v>1524</v>
      </c>
    </row>
    <row r="8" spans="3:4" ht="60">
      <c r="C8" s="102" t="s">
        <v>74</v>
      </c>
      <c r="D8" t="s">
        <v>1523</v>
      </c>
    </row>
    <row r="9" spans="3:4" ht="45">
      <c r="C9" s="102" t="s">
        <v>75</v>
      </c>
      <c r="D9" t="s">
        <v>1524</v>
      </c>
    </row>
    <row r="10" spans="3:4" ht="90">
      <c r="C10" s="102" t="s">
        <v>76</v>
      </c>
      <c r="D10" t="s">
        <v>1525</v>
      </c>
    </row>
    <row r="11" spans="3:4" ht="45">
      <c r="C11" s="102" t="s">
        <v>77</v>
      </c>
      <c r="D11" t="s">
        <v>1524</v>
      </c>
    </row>
    <row r="12" spans="3:4" ht="45">
      <c r="C12" s="102" t="s">
        <v>78</v>
      </c>
      <c r="D12" t="s">
        <v>1523</v>
      </c>
    </row>
    <row r="13" spans="3:4" ht="90">
      <c r="C13" s="102" t="s">
        <v>79</v>
      </c>
      <c r="D13" t="s">
        <v>1523</v>
      </c>
    </row>
    <row r="14" spans="3:4" ht="45">
      <c r="C14" s="102" t="s">
        <v>80</v>
      </c>
      <c r="D14" t="s">
        <v>1523</v>
      </c>
    </row>
    <row r="15" spans="3:4" ht="45">
      <c r="C15" s="102" t="s">
        <v>81</v>
      </c>
      <c r="D15" t="s">
        <v>1523</v>
      </c>
    </row>
    <row r="16" spans="3:4" ht="30">
      <c r="C16" s="102" t="s">
        <v>82</v>
      </c>
      <c r="D16" t="s">
        <v>1523</v>
      </c>
    </row>
    <row r="17" spans="3:4" ht="30">
      <c r="C17" s="102" t="s">
        <v>83</v>
      </c>
      <c r="D17" t="s">
        <v>1523</v>
      </c>
    </row>
    <row r="18" spans="3:4" ht="60">
      <c r="C18" s="102" t="s">
        <v>84</v>
      </c>
      <c r="D18" t="s">
        <v>1525</v>
      </c>
    </row>
    <row r="19" spans="3:4" ht="75">
      <c r="C19" s="102" t="s">
        <v>85</v>
      </c>
      <c r="D19" t="s">
        <v>1525</v>
      </c>
    </row>
    <row r="20" spans="3:4" ht="45">
      <c r="C20" s="102" t="s">
        <v>86</v>
      </c>
      <c r="D20" t="s">
        <v>1526</v>
      </c>
    </row>
  </sheetData>
  <autoFilter ref="C4:D2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showGridLines="0" topLeftCell="Y1" zoomScale="40" zoomScaleNormal="40" workbookViewId="0">
      <selection activeCell="AW2" sqref="AW2:CO51"/>
    </sheetView>
  </sheetViews>
  <sheetFormatPr baseColWidth="10" defaultColWidth="11" defaultRowHeight="15"/>
  <cols>
    <col min="2" max="39" width="5.7109375" customWidth="1"/>
    <col min="41" max="46" width="5.7109375" customWidth="1"/>
    <col min="49" max="93" width="5.7109375" customWidth="1"/>
  </cols>
  <sheetData>
    <row r="1" spans="1:99">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row>
    <row r="2" spans="1:99" ht="18" customHeight="1">
      <c r="A2" s="18"/>
      <c r="B2" s="824" t="s">
        <v>1527</v>
      </c>
      <c r="C2" s="824"/>
      <c r="D2" s="824"/>
      <c r="E2" s="824"/>
      <c r="F2" s="824"/>
      <c r="G2" s="824"/>
      <c r="H2" s="824"/>
      <c r="I2" s="824"/>
      <c r="J2" s="825" t="s">
        <v>15</v>
      </c>
      <c r="K2" s="825"/>
      <c r="L2" s="825"/>
      <c r="M2" s="825"/>
      <c r="N2" s="825"/>
      <c r="O2" s="825"/>
      <c r="P2" s="825"/>
      <c r="Q2" s="825"/>
      <c r="R2" s="825"/>
      <c r="S2" s="825"/>
      <c r="T2" s="825"/>
      <c r="U2" s="825"/>
      <c r="V2" s="825"/>
      <c r="W2" s="825"/>
      <c r="X2" s="825"/>
      <c r="Y2" s="825"/>
      <c r="Z2" s="825"/>
      <c r="AA2" s="825"/>
      <c r="AB2" s="825"/>
      <c r="AC2" s="825"/>
      <c r="AD2" s="825"/>
      <c r="AE2" s="825"/>
      <c r="AF2" s="825"/>
      <c r="AG2" s="825"/>
      <c r="AH2" s="825"/>
      <c r="AI2" s="825"/>
      <c r="AJ2" s="825"/>
      <c r="AK2" s="825"/>
      <c r="AL2" s="825"/>
      <c r="AM2" s="825"/>
      <c r="AN2" s="18"/>
      <c r="AO2" s="18"/>
      <c r="AP2" s="18"/>
      <c r="AQ2" s="18"/>
      <c r="AR2" s="18"/>
      <c r="AS2" s="18"/>
      <c r="AT2" s="18"/>
      <c r="AU2" s="18"/>
      <c r="AV2" s="18"/>
      <c r="AW2" s="824" t="s">
        <v>1527</v>
      </c>
      <c r="AX2" s="824"/>
      <c r="AY2" s="824"/>
      <c r="AZ2" s="824"/>
      <c r="BA2" s="824"/>
      <c r="BB2" s="824"/>
      <c r="BC2" s="824"/>
      <c r="BD2" s="824"/>
      <c r="BE2" s="825" t="s">
        <v>15</v>
      </c>
      <c r="BF2" s="825"/>
      <c r="BG2" s="825"/>
      <c r="BH2" s="825"/>
      <c r="BI2" s="825"/>
      <c r="BJ2" s="825"/>
      <c r="BK2" s="825"/>
      <c r="BL2" s="825"/>
      <c r="BM2" s="825"/>
      <c r="BN2" s="825"/>
      <c r="BO2" s="825"/>
      <c r="BP2" s="825"/>
      <c r="BQ2" s="825"/>
      <c r="BR2" s="825"/>
      <c r="BS2" s="825"/>
      <c r="BT2" s="825"/>
      <c r="BU2" s="825"/>
      <c r="BV2" s="825"/>
      <c r="BW2" s="825"/>
      <c r="BX2" s="825"/>
      <c r="BY2" s="825"/>
      <c r="BZ2" s="825"/>
      <c r="CA2" s="825"/>
      <c r="CB2" s="825"/>
      <c r="CC2" s="825"/>
      <c r="CD2" s="825"/>
      <c r="CE2" s="825"/>
      <c r="CF2" s="825"/>
      <c r="CG2" s="825"/>
      <c r="CH2" s="825"/>
      <c r="CI2" s="18"/>
      <c r="CJ2" s="18"/>
      <c r="CK2" s="18"/>
      <c r="CL2" s="18"/>
      <c r="CM2" s="18"/>
      <c r="CN2" s="18"/>
      <c r="CO2" s="18"/>
      <c r="CP2" s="18"/>
      <c r="CQ2" s="18"/>
      <c r="CR2" s="18"/>
      <c r="CS2" s="18"/>
      <c r="CT2" s="18"/>
      <c r="CU2" s="18"/>
    </row>
    <row r="3" spans="1:99" ht="18.75" customHeight="1">
      <c r="A3" s="18"/>
      <c r="B3" s="824"/>
      <c r="C3" s="824"/>
      <c r="D3" s="824"/>
      <c r="E3" s="824"/>
      <c r="F3" s="824"/>
      <c r="G3" s="824"/>
      <c r="H3" s="824"/>
      <c r="I3" s="824"/>
      <c r="J3" s="825"/>
      <c r="K3" s="825"/>
      <c r="L3" s="825"/>
      <c r="M3" s="825"/>
      <c r="N3" s="825"/>
      <c r="O3" s="825"/>
      <c r="P3" s="825"/>
      <c r="Q3" s="825"/>
      <c r="R3" s="825"/>
      <c r="S3" s="825"/>
      <c r="T3" s="825"/>
      <c r="U3" s="825"/>
      <c r="V3" s="825"/>
      <c r="W3" s="825"/>
      <c r="X3" s="825"/>
      <c r="Y3" s="825"/>
      <c r="Z3" s="825"/>
      <c r="AA3" s="825"/>
      <c r="AB3" s="825"/>
      <c r="AC3" s="825"/>
      <c r="AD3" s="825"/>
      <c r="AE3" s="825"/>
      <c r="AF3" s="825"/>
      <c r="AG3" s="825"/>
      <c r="AH3" s="825"/>
      <c r="AI3" s="825"/>
      <c r="AJ3" s="825"/>
      <c r="AK3" s="825"/>
      <c r="AL3" s="825"/>
      <c r="AM3" s="825"/>
      <c r="AN3" s="18"/>
      <c r="AO3" s="18"/>
      <c r="AP3" s="18"/>
      <c r="AQ3" s="18"/>
      <c r="AR3" s="18"/>
      <c r="AS3" s="18"/>
      <c r="AT3" s="18"/>
      <c r="AU3" s="18"/>
      <c r="AV3" s="18"/>
      <c r="AW3" s="824"/>
      <c r="AX3" s="824"/>
      <c r="AY3" s="824"/>
      <c r="AZ3" s="824"/>
      <c r="BA3" s="824"/>
      <c r="BB3" s="824"/>
      <c r="BC3" s="824"/>
      <c r="BD3" s="824"/>
      <c r="BE3" s="825"/>
      <c r="BF3" s="825"/>
      <c r="BG3" s="825"/>
      <c r="BH3" s="825"/>
      <c r="BI3" s="825"/>
      <c r="BJ3" s="825"/>
      <c r="BK3" s="825"/>
      <c r="BL3" s="825"/>
      <c r="BM3" s="825"/>
      <c r="BN3" s="825"/>
      <c r="BO3" s="825"/>
      <c r="BP3" s="825"/>
      <c r="BQ3" s="825"/>
      <c r="BR3" s="825"/>
      <c r="BS3" s="825"/>
      <c r="BT3" s="825"/>
      <c r="BU3" s="825"/>
      <c r="BV3" s="825"/>
      <c r="BW3" s="825"/>
      <c r="BX3" s="825"/>
      <c r="BY3" s="825"/>
      <c r="BZ3" s="825"/>
      <c r="CA3" s="825"/>
      <c r="CB3" s="825"/>
      <c r="CC3" s="825"/>
      <c r="CD3" s="825"/>
      <c r="CE3" s="825"/>
      <c r="CF3" s="825"/>
      <c r="CG3" s="825"/>
      <c r="CH3" s="825"/>
      <c r="CI3" s="18"/>
      <c r="CJ3" s="18"/>
      <c r="CK3" s="18"/>
      <c r="CL3" s="18"/>
      <c r="CM3" s="18"/>
      <c r="CN3" s="18"/>
      <c r="CO3" s="18"/>
      <c r="CP3" s="18"/>
      <c r="CQ3" s="18"/>
      <c r="CR3" s="18"/>
      <c r="CS3" s="18"/>
      <c r="CT3" s="18"/>
      <c r="CU3" s="18"/>
    </row>
    <row r="4" spans="1:99" ht="15" customHeight="1">
      <c r="A4" s="18"/>
      <c r="B4" s="824"/>
      <c r="C4" s="824"/>
      <c r="D4" s="824"/>
      <c r="E4" s="824"/>
      <c r="F4" s="824"/>
      <c r="G4" s="824"/>
      <c r="H4" s="824"/>
      <c r="I4" s="824"/>
      <c r="J4" s="825"/>
      <c r="K4" s="825"/>
      <c r="L4" s="825"/>
      <c r="M4" s="825"/>
      <c r="N4" s="825"/>
      <c r="O4" s="825"/>
      <c r="P4" s="825"/>
      <c r="Q4" s="825"/>
      <c r="R4" s="825"/>
      <c r="S4" s="825"/>
      <c r="T4" s="825"/>
      <c r="U4" s="825"/>
      <c r="V4" s="825"/>
      <c r="W4" s="825"/>
      <c r="X4" s="825"/>
      <c r="Y4" s="825"/>
      <c r="Z4" s="825"/>
      <c r="AA4" s="825"/>
      <c r="AB4" s="825"/>
      <c r="AC4" s="825"/>
      <c r="AD4" s="825"/>
      <c r="AE4" s="825"/>
      <c r="AF4" s="825"/>
      <c r="AG4" s="825"/>
      <c r="AH4" s="825"/>
      <c r="AI4" s="825"/>
      <c r="AJ4" s="825"/>
      <c r="AK4" s="825"/>
      <c r="AL4" s="825"/>
      <c r="AM4" s="825"/>
      <c r="AN4" s="18"/>
      <c r="AO4" s="18"/>
      <c r="AP4" s="18"/>
      <c r="AQ4" s="18"/>
      <c r="AR4" s="18"/>
      <c r="AS4" s="18"/>
      <c r="AT4" s="18"/>
      <c r="AU4" s="18"/>
      <c r="AV4" s="18"/>
      <c r="AW4" s="824"/>
      <c r="AX4" s="824"/>
      <c r="AY4" s="824"/>
      <c r="AZ4" s="824"/>
      <c r="BA4" s="824"/>
      <c r="BB4" s="824"/>
      <c r="BC4" s="824"/>
      <c r="BD4" s="824"/>
      <c r="BE4" s="825"/>
      <c r="BF4" s="825"/>
      <c r="BG4" s="825"/>
      <c r="BH4" s="825"/>
      <c r="BI4" s="825"/>
      <c r="BJ4" s="825"/>
      <c r="BK4" s="825"/>
      <c r="BL4" s="825"/>
      <c r="BM4" s="825"/>
      <c r="BN4" s="825"/>
      <c r="BO4" s="825"/>
      <c r="BP4" s="825"/>
      <c r="BQ4" s="825"/>
      <c r="BR4" s="825"/>
      <c r="BS4" s="825"/>
      <c r="BT4" s="825"/>
      <c r="BU4" s="825"/>
      <c r="BV4" s="825"/>
      <c r="BW4" s="825"/>
      <c r="BX4" s="825"/>
      <c r="BY4" s="825"/>
      <c r="BZ4" s="825"/>
      <c r="CA4" s="825"/>
      <c r="CB4" s="825"/>
      <c r="CC4" s="825"/>
      <c r="CD4" s="825"/>
      <c r="CE4" s="825"/>
      <c r="CF4" s="825"/>
      <c r="CG4" s="825"/>
      <c r="CH4" s="825"/>
      <c r="CI4" s="18"/>
      <c r="CJ4" s="18"/>
      <c r="CK4" s="18"/>
      <c r="CL4" s="18"/>
      <c r="CM4" s="18"/>
      <c r="CN4" s="18"/>
      <c r="CO4" s="18"/>
      <c r="CP4" s="18"/>
      <c r="CQ4" s="18"/>
      <c r="CR4" s="18"/>
      <c r="CS4" s="18"/>
      <c r="CT4" s="18"/>
      <c r="CU4" s="18"/>
    </row>
    <row r="5" spans="1:99">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row>
    <row r="6" spans="1:99" ht="15" customHeight="1">
      <c r="A6" s="18"/>
      <c r="B6" s="826" t="s">
        <v>1233</v>
      </c>
      <c r="C6" s="826"/>
      <c r="D6" s="827"/>
      <c r="E6" s="718" t="s">
        <v>1528</v>
      </c>
      <c r="F6" s="719"/>
      <c r="G6" s="719"/>
      <c r="H6" s="719"/>
      <c r="I6" s="720"/>
      <c r="J6" s="768" t="e">
        <f>IF(AND(Riesgos!#REF!="Muy Alta",Riesgos!#REF!="Leve"),CONCATENATE("R",Riesgos!$A$7),"")</f>
        <v>#REF!</v>
      </c>
      <c r="K6" s="769"/>
      <c r="L6" s="769" t="e">
        <f>IF(AND(Riesgos!#REF!="Muy Alta",Riesgos!#REF!="Leve"),CONCATENATE("R",Riesgos!$A$13),"")</f>
        <v>#REF!</v>
      </c>
      <c r="M6" s="769"/>
      <c r="N6" s="769" t="e">
        <f>IF(AND(Riesgos!#REF!="Muy Alta",Riesgos!#REF!="Leve"),CONCATENATE("R",Riesgos!$A$19),"")</f>
        <v>#REF!</v>
      </c>
      <c r="O6" s="770"/>
      <c r="P6" s="768" t="e">
        <f>IF(AND(Riesgos!#REF!="Muy Alta",Riesgos!#REF!="Menor"),CONCATENATE("R",Riesgos!$A$7),"")</f>
        <v>#REF!</v>
      </c>
      <c r="Q6" s="769"/>
      <c r="R6" s="769" t="e">
        <f>IF(AND(Riesgos!#REF!="Muy Alta",Riesgos!#REF!="Menor"),CONCATENATE("R",Riesgos!$A$13),"")</f>
        <v>#REF!</v>
      </c>
      <c r="S6" s="769"/>
      <c r="T6" s="769" t="e">
        <f>IF(AND(Riesgos!#REF!="Muy Alta",Riesgos!#REF!="Menor"),CONCATENATE("R",Riesgos!$A$19),"")</f>
        <v>#REF!</v>
      </c>
      <c r="U6" s="770"/>
      <c r="V6" s="768" t="e">
        <f>IF(AND(Riesgos!#REF!="Muy Alta",Riesgos!#REF!="Moderado"),CONCATENATE("R",Riesgos!$A$7),"")</f>
        <v>#REF!</v>
      </c>
      <c r="W6" s="769"/>
      <c r="X6" s="769" t="e">
        <f>IF(AND(Riesgos!#REF!="Muy Alta",Riesgos!#REF!="Moderado"),CONCATENATE("R",Riesgos!$A$13),"")</f>
        <v>#REF!</v>
      </c>
      <c r="Y6" s="769"/>
      <c r="Z6" s="769" t="e">
        <f>IF(AND(Riesgos!#REF!="Muy Alta",Riesgos!#REF!="Moderado"),CONCATENATE("R",Riesgos!$A$19),"")</f>
        <v>#REF!</v>
      </c>
      <c r="AA6" s="770"/>
      <c r="AB6" s="768" t="e">
        <f>IF(AND(Riesgos!#REF!="Muy Alta",Riesgos!#REF!="Mayor"),CONCATENATE("R",Riesgos!$A$7),"")</f>
        <v>#REF!</v>
      </c>
      <c r="AC6" s="769"/>
      <c r="AD6" s="769" t="e">
        <f>IF(AND(Riesgos!#REF!="Muy Alta",Riesgos!#REF!="Mayor"),CONCATENATE("R",Riesgos!$A$13),"")</f>
        <v>#REF!</v>
      </c>
      <c r="AE6" s="769"/>
      <c r="AF6" s="769" t="e">
        <f>IF(AND(Riesgos!#REF!="Muy Alta",Riesgos!#REF!="Mayor"),CONCATENATE("R",Riesgos!$A$19),"")</f>
        <v>#REF!</v>
      </c>
      <c r="AG6" s="770"/>
      <c r="AH6" s="790" t="e">
        <f>IF(AND(Riesgos!#REF!="Muy Alta",Riesgos!#REF!="Catastrófico"),CONCATENATE("R",Riesgos!$A$7),"")</f>
        <v>#REF!</v>
      </c>
      <c r="AI6" s="791"/>
      <c r="AJ6" s="791" t="e">
        <f>IF(AND(Riesgos!#REF!="Muy Alta",Riesgos!#REF!="Catastrófico"),CONCATENATE("R",Riesgos!$A$13),"")</f>
        <v>#REF!</v>
      </c>
      <c r="AK6" s="791"/>
      <c r="AL6" s="791" t="e">
        <f>IF(AND(Riesgos!#REF!="Muy Alta",Riesgos!#REF!="Catastrófico"),CONCATENATE("R",Riesgos!$A$19),"")</f>
        <v>#REF!</v>
      </c>
      <c r="AM6" s="792"/>
      <c r="AO6" s="815" t="s">
        <v>1457</v>
      </c>
      <c r="AP6" s="816"/>
      <c r="AQ6" s="816"/>
      <c r="AR6" s="816"/>
      <c r="AS6" s="816"/>
      <c r="AT6" s="817"/>
      <c r="AU6" s="18"/>
      <c r="AV6" s="18"/>
      <c r="AW6" s="826" t="s">
        <v>1233</v>
      </c>
      <c r="AX6" s="826"/>
      <c r="AY6" s="827"/>
      <c r="AZ6" s="718" t="s">
        <v>1529</v>
      </c>
      <c r="BA6" s="719"/>
      <c r="BB6" s="719"/>
      <c r="BC6" s="719"/>
      <c r="BD6" s="720"/>
      <c r="BE6" s="828"/>
      <c r="BF6" s="829"/>
      <c r="BG6" s="829"/>
      <c r="BH6" s="829"/>
      <c r="BI6" s="829"/>
      <c r="BJ6" s="830"/>
      <c r="BK6" s="828"/>
      <c r="BL6" s="829"/>
      <c r="BM6" s="829"/>
      <c r="BN6" s="829"/>
      <c r="BO6" s="829"/>
      <c r="BP6" s="830"/>
      <c r="BQ6" s="92"/>
      <c r="BR6" s="93"/>
      <c r="BS6" s="93"/>
      <c r="BT6" s="93"/>
      <c r="BU6" s="93"/>
      <c r="BV6" s="94"/>
      <c r="BW6" s="768"/>
      <c r="BX6" s="769"/>
      <c r="BY6" s="769"/>
      <c r="BZ6" s="769"/>
      <c r="CA6" s="769"/>
      <c r="CB6" s="770"/>
      <c r="CC6" s="790"/>
      <c r="CD6" s="791"/>
      <c r="CE6" s="791"/>
      <c r="CF6" s="791"/>
      <c r="CG6" s="791"/>
      <c r="CH6" s="792"/>
      <c r="CJ6" s="815" t="s">
        <v>1457</v>
      </c>
      <c r="CK6" s="816"/>
      <c r="CL6" s="816"/>
      <c r="CM6" s="816"/>
      <c r="CN6" s="816"/>
      <c r="CO6" s="817"/>
    </row>
    <row r="7" spans="1:99" ht="15" customHeight="1">
      <c r="A7" s="18"/>
      <c r="B7" s="826"/>
      <c r="C7" s="826"/>
      <c r="D7" s="827"/>
      <c r="E7" s="721"/>
      <c r="F7" s="722"/>
      <c r="G7" s="722"/>
      <c r="H7" s="722"/>
      <c r="I7" s="723"/>
      <c r="J7" s="757"/>
      <c r="K7" s="758"/>
      <c r="L7" s="758"/>
      <c r="M7" s="758"/>
      <c r="N7" s="758"/>
      <c r="O7" s="760"/>
      <c r="P7" s="757"/>
      <c r="Q7" s="758"/>
      <c r="R7" s="758"/>
      <c r="S7" s="758"/>
      <c r="T7" s="758"/>
      <c r="U7" s="760"/>
      <c r="V7" s="757"/>
      <c r="W7" s="758"/>
      <c r="X7" s="758"/>
      <c r="Y7" s="758"/>
      <c r="Z7" s="758"/>
      <c r="AA7" s="760"/>
      <c r="AB7" s="757"/>
      <c r="AC7" s="758"/>
      <c r="AD7" s="758"/>
      <c r="AE7" s="758"/>
      <c r="AF7" s="758"/>
      <c r="AG7" s="760"/>
      <c r="AH7" s="782"/>
      <c r="AI7" s="783"/>
      <c r="AJ7" s="783"/>
      <c r="AK7" s="783"/>
      <c r="AL7" s="783"/>
      <c r="AM7" s="784"/>
      <c r="AN7" s="18"/>
      <c r="AO7" s="818"/>
      <c r="AP7" s="819"/>
      <c r="AQ7" s="819"/>
      <c r="AR7" s="819"/>
      <c r="AS7" s="819"/>
      <c r="AT7" s="820"/>
      <c r="AU7" s="18"/>
      <c r="AV7" s="18"/>
      <c r="AW7" s="826"/>
      <c r="AX7" s="826"/>
      <c r="AY7" s="827"/>
      <c r="AZ7" s="721"/>
      <c r="BA7" s="722"/>
      <c r="BB7" s="722"/>
      <c r="BC7" s="722"/>
      <c r="BD7" s="723"/>
      <c r="BE7" s="811"/>
      <c r="BF7" s="812"/>
      <c r="BG7" s="812"/>
      <c r="BH7" s="812"/>
      <c r="BI7" s="812"/>
      <c r="BJ7" s="814"/>
      <c r="BK7" s="811"/>
      <c r="BL7" s="812"/>
      <c r="BM7" s="812"/>
      <c r="BN7" s="812"/>
      <c r="BO7" s="812"/>
      <c r="BP7" s="814"/>
      <c r="BQ7" s="95"/>
      <c r="BR7" s="96"/>
      <c r="BS7" s="96"/>
      <c r="BT7" s="96"/>
      <c r="BU7" s="96"/>
      <c r="BV7" s="97"/>
      <c r="BW7" s="757"/>
      <c r="BX7" s="758"/>
      <c r="BY7" s="758"/>
      <c r="BZ7" s="758"/>
      <c r="CA7" s="758"/>
      <c r="CB7" s="760"/>
      <c r="CC7" s="782"/>
      <c r="CD7" s="783"/>
      <c r="CE7" s="783"/>
      <c r="CF7" s="783"/>
      <c r="CG7" s="783"/>
      <c r="CH7" s="784"/>
      <c r="CI7" s="18"/>
      <c r="CJ7" s="818"/>
      <c r="CK7" s="819"/>
      <c r="CL7" s="819"/>
      <c r="CM7" s="819"/>
      <c r="CN7" s="819"/>
      <c r="CO7" s="820"/>
    </row>
    <row r="8" spans="1:99" ht="15" customHeight="1">
      <c r="A8" s="18"/>
      <c r="B8" s="826"/>
      <c r="C8" s="826"/>
      <c r="D8" s="827"/>
      <c r="E8" s="721"/>
      <c r="F8" s="722"/>
      <c r="G8" s="722"/>
      <c r="H8" s="722"/>
      <c r="I8" s="723"/>
      <c r="J8" s="757" t="e">
        <f>IF(AND(Riesgos!#REF!="Muy Alta",Riesgos!#REF!="Leve"),CONCATENATE("R",Riesgos!$A$23),"")</f>
        <v>#REF!</v>
      </c>
      <c r="K8" s="758"/>
      <c r="L8" s="759" t="e">
        <f>IF(AND(Riesgos!#REF!="Muy Alta",Riesgos!#REF!="Leve"),CONCATENATE("R",Riesgos!$A$29),"")</f>
        <v>#REF!</v>
      </c>
      <c r="M8" s="759"/>
      <c r="N8" s="759" t="e">
        <f>IF(AND(Riesgos!#REF!="Muy Alta",Riesgos!#REF!="Leve"),CONCATENATE("R",Riesgos!$A$35),"")</f>
        <v>#REF!</v>
      </c>
      <c r="O8" s="760"/>
      <c r="P8" s="757" t="e">
        <f>IF(AND(Riesgos!#REF!="Muy Alta",Riesgos!#REF!="Menor"),CONCATENATE("R",Riesgos!$A$23),"")</f>
        <v>#REF!</v>
      </c>
      <c r="Q8" s="758"/>
      <c r="R8" s="759" t="e">
        <f>IF(AND(Riesgos!#REF!="Muy Alta",Riesgos!#REF!="Menor"),CONCATENATE("R",Riesgos!$A$29),"")</f>
        <v>#REF!</v>
      </c>
      <c r="S8" s="759"/>
      <c r="T8" s="759" t="e">
        <f>IF(AND(Riesgos!#REF!="Muy Alta",Riesgos!#REF!="Menor"),CONCATENATE("R",Riesgos!$A$35),"")</f>
        <v>#REF!</v>
      </c>
      <c r="U8" s="760"/>
      <c r="V8" s="757" t="e">
        <f>IF(AND(Riesgos!#REF!="Muy Alta",Riesgos!#REF!="Moderado"),CONCATENATE("R",Riesgos!$A$23),"")</f>
        <v>#REF!</v>
      </c>
      <c r="W8" s="758"/>
      <c r="X8" s="759" t="e">
        <f>IF(AND(Riesgos!#REF!="Muy Alta",Riesgos!#REF!="Moderado"),CONCATENATE("R",Riesgos!$A$29),"")</f>
        <v>#REF!</v>
      </c>
      <c r="Y8" s="759"/>
      <c r="Z8" s="759" t="e">
        <f>IF(AND(Riesgos!#REF!="Muy Alta",Riesgos!#REF!="Moderado"),CONCATENATE("R",Riesgos!$A$35),"")</f>
        <v>#REF!</v>
      </c>
      <c r="AA8" s="760"/>
      <c r="AB8" s="757" t="e">
        <f>IF(AND(Riesgos!#REF!="Muy Alta",Riesgos!#REF!="Mayor"),CONCATENATE("R",Riesgos!$A$23),"")</f>
        <v>#REF!</v>
      </c>
      <c r="AC8" s="758"/>
      <c r="AD8" s="759" t="e">
        <f>IF(AND(Riesgos!#REF!="Muy Alta",Riesgos!#REF!="Mayor"),CONCATENATE("R",Riesgos!$A$29),"")</f>
        <v>#REF!</v>
      </c>
      <c r="AE8" s="759"/>
      <c r="AF8" s="759" t="e">
        <f>IF(AND(Riesgos!#REF!="Muy Alta",Riesgos!#REF!="Mayor"),CONCATENATE("R",Riesgos!$A$35),"")</f>
        <v>#REF!</v>
      </c>
      <c r="AG8" s="760"/>
      <c r="AH8" s="782" t="e">
        <f>IF(AND(Riesgos!#REF!="Muy Alta",Riesgos!#REF!="Catastrófico"),CONCATENATE("R",Riesgos!$A$23),"")</f>
        <v>#REF!</v>
      </c>
      <c r="AI8" s="783"/>
      <c r="AJ8" s="783" t="e">
        <f>IF(AND(Riesgos!#REF!="Muy Alta",Riesgos!#REF!="Catastrófico"),CONCATENATE("R",Riesgos!$A$29),"")</f>
        <v>#REF!</v>
      </c>
      <c r="AK8" s="783"/>
      <c r="AL8" s="783" t="e">
        <f>IF(AND(Riesgos!#REF!="Muy Alta",Riesgos!#REF!="Catastrófico"),CONCATENATE("R",Riesgos!$A$35),"")</f>
        <v>#REF!</v>
      </c>
      <c r="AM8" s="784"/>
      <c r="AN8" s="18"/>
      <c r="AO8" s="818"/>
      <c r="AP8" s="819"/>
      <c r="AQ8" s="819"/>
      <c r="AR8" s="819"/>
      <c r="AS8" s="819"/>
      <c r="AT8" s="820"/>
      <c r="AU8" s="18"/>
      <c r="AV8" s="18"/>
      <c r="AW8" s="826"/>
      <c r="AX8" s="826"/>
      <c r="AY8" s="827"/>
      <c r="AZ8" s="721"/>
      <c r="BA8" s="722"/>
      <c r="BB8" s="722"/>
      <c r="BC8" s="722"/>
      <c r="BD8" s="723"/>
      <c r="BE8" s="811"/>
      <c r="BF8" s="812"/>
      <c r="BG8" s="813"/>
      <c r="BH8" s="813"/>
      <c r="BI8" s="813"/>
      <c r="BJ8" s="814"/>
      <c r="BK8" s="811"/>
      <c r="BL8" s="812"/>
      <c r="BM8" s="813"/>
      <c r="BN8" s="813"/>
      <c r="BO8" s="813"/>
      <c r="BP8" s="814"/>
      <c r="BQ8" s="95"/>
      <c r="BR8" s="96"/>
      <c r="BS8" s="96"/>
      <c r="BT8" s="96"/>
      <c r="BU8" s="96"/>
      <c r="BV8" s="97"/>
      <c r="BW8" s="757"/>
      <c r="BX8" s="758"/>
      <c r="BY8" s="759"/>
      <c r="BZ8" s="759"/>
      <c r="CA8" s="759"/>
      <c r="CB8" s="760"/>
      <c r="CC8" s="782"/>
      <c r="CD8" s="783"/>
      <c r="CE8" s="783"/>
      <c r="CF8" s="783"/>
      <c r="CG8" s="783"/>
      <c r="CH8" s="784"/>
      <c r="CI8" s="18"/>
      <c r="CJ8" s="818"/>
      <c r="CK8" s="819"/>
      <c r="CL8" s="819"/>
      <c r="CM8" s="819"/>
      <c r="CN8" s="819"/>
      <c r="CO8" s="820"/>
    </row>
    <row r="9" spans="1:99" ht="15" customHeight="1">
      <c r="A9" s="18"/>
      <c r="B9" s="826"/>
      <c r="C9" s="826"/>
      <c r="D9" s="827"/>
      <c r="E9" s="721"/>
      <c r="F9" s="722"/>
      <c r="G9" s="722"/>
      <c r="H9" s="722"/>
      <c r="I9" s="723"/>
      <c r="J9" s="757"/>
      <c r="K9" s="758"/>
      <c r="L9" s="759"/>
      <c r="M9" s="759"/>
      <c r="N9" s="759"/>
      <c r="O9" s="760"/>
      <c r="P9" s="757"/>
      <c r="Q9" s="758"/>
      <c r="R9" s="759"/>
      <c r="S9" s="759"/>
      <c r="T9" s="759"/>
      <c r="U9" s="760"/>
      <c r="V9" s="757"/>
      <c r="W9" s="758"/>
      <c r="X9" s="759"/>
      <c r="Y9" s="759"/>
      <c r="Z9" s="759"/>
      <c r="AA9" s="760"/>
      <c r="AB9" s="757"/>
      <c r="AC9" s="758"/>
      <c r="AD9" s="759"/>
      <c r="AE9" s="759"/>
      <c r="AF9" s="759"/>
      <c r="AG9" s="760"/>
      <c r="AH9" s="782"/>
      <c r="AI9" s="783"/>
      <c r="AJ9" s="783"/>
      <c r="AK9" s="783"/>
      <c r="AL9" s="783"/>
      <c r="AM9" s="784"/>
      <c r="AN9" s="18"/>
      <c r="AO9" s="818"/>
      <c r="AP9" s="819"/>
      <c r="AQ9" s="819"/>
      <c r="AR9" s="819"/>
      <c r="AS9" s="819"/>
      <c r="AT9" s="820"/>
      <c r="AU9" s="18"/>
      <c r="AV9" s="18"/>
      <c r="AW9" s="826"/>
      <c r="AX9" s="826"/>
      <c r="AY9" s="827"/>
      <c r="AZ9" s="721"/>
      <c r="BA9" s="722"/>
      <c r="BB9" s="722"/>
      <c r="BC9" s="722"/>
      <c r="BD9" s="723"/>
      <c r="BE9" s="811"/>
      <c r="BF9" s="812"/>
      <c r="BG9" s="813"/>
      <c r="BH9" s="813"/>
      <c r="BI9" s="813"/>
      <c r="BJ9" s="814"/>
      <c r="BK9" s="811"/>
      <c r="BL9" s="812"/>
      <c r="BM9" s="813"/>
      <c r="BN9" s="813"/>
      <c r="BO9" s="813"/>
      <c r="BP9" s="814"/>
      <c r="BQ9" s="95"/>
      <c r="BR9" s="96"/>
      <c r="BS9" s="96"/>
      <c r="BT9" s="96"/>
      <c r="BU9" s="96"/>
      <c r="BV9" s="97"/>
      <c r="BW9" s="757"/>
      <c r="BX9" s="758"/>
      <c r="BY9" s="759"/>
      <c r="BZ9" s="759"/>
      <c r="CA9" s="759"/>
      <c r="CB9" s="760"/>
      <c r="CC9" s="782"/>
      <c r="CD9" s="783"/>
      <c r="CE9" s="783"/>
      <c r="CF9" s="783"/>
      <c r="CG9" s="783"/>
      <c r="CH9" s="784"/>
      <c r="CI9" s="18"/>
      <c r="CJ9" s="818"/>
      <c r="CK9" s="819"/>
      <c r="CL9" s="819"/>
      <c r="CM9" s="819"/>
      <c r="CN9" s="819"/>
      <c r="CO9" s="820"/>
    </row>
    <row r="10" spans="1:99" ht="15" customHeight="1">
      <c r="A10" s="18"/>
      <c r="B10" s="826"/>
      <c r="C10" s="826"/>
      <c r="D10" s="827"/>
      <c r="E10" s="721"/>
      <c r="F10" s="722"/>
      <c r="G10" s="722"/>
      <c r="H10" s="722"/>
      <c r="I10" s="723"/>
      <c r="J10" s="757" t="e">
        <f>IF(AND(Riesgos!#REF!="Muy Alta",Riesgos!#REF!="Leve"),CONCATENATE("R",Riesgos!$A$41),"")</f>
        <v>#REF!</v>
      </c>
      <c r="K10" s="758"/>
      <c r="L10" s="759" t="e">
        <f>IF(AND(Riesgos!#REF!="Muy Alta",Riesgos!#REF!="Leve"),CONCATENATE("R",Riesgos!$A$47),"")</f>
        <v>#REF!</v>
      </c>
      <c r="M10" s="759"/>
      <c r="N10" s="759" t="e">
        <f>IF(AND(Riesgos!#REF!="Muy Alta",Riesgos!#REF!="Leve"),CONCATENATE("R",Riesgos!$A$53),"")</f>
        <v>#REF!</v>
      </c>
      <c r="O10" s="760"/>
      <c r="P10" s="757" t="e">
        <f>IF(AND(Riesgos!#REF!="Muy Alta",Riesgos!#REF!="Menor"),CONCATENATE("R",Riesgos!$A$41),"")</f>
        <v>#REF!</v>
      </c>
      <c r="Q10" s="758"/>
      <c r="R10" s="759" t="e">
        <f>IF(AND(Riesgos!#REF!="Muy Alta",Riesgos!#REF!="Menor"),CONCATENATE("R",Riesgos!$A$47),"")</f>
        <v>#REF!</v>
      </c>
      <c r="S10" s="759"/>
      <c r="T10" s="759" t="e">
        <f>IF(AND(Riesgos!#REF!="Muy Alta",Riesgos!#REF!="Menor"),CONCATENATE("R",Riesgos!$A$53),"")</f>
        <v>#REF!</v>
      </c>
      <c r="U10" s="760"/>
      <c r="V10" s="757" t="e">
        <f>IF(AND(Riesgos!#REF!="Muy Alta",Riesgos!#REF!="Moderado"),CONCATENATE("R",Riesgos!$A$41),"")</f>
        <v>#REF!</v>
      </c>
      <c r="W10" s="758"/>
      <c r="X10" s="759" t="e">
        <f>IF(AND(Riesgos!#REF!="Muy Alta",Riesgos!#REF!="Moderado"),CONCATENATE("R",Riesgos!$A$47),"")</f>
        <v>#REF!</v>
      </c>
      <c r="Y10" s="759"/>
      <c r="Z10" s="759" t="e">
        <f>IF(AND(Riesgos!#REF!="Muy Alta",Riesgos!#REF!="Moderado"),CONCATENATE("R",Riesgos!$A$53),"")</f>
        <v>#REF!</v>
      </c>
      <c r="AA10" s="760"/>
      <c r="AB10" s="757" t="e">
        <f>IF(AND(Riesgos!#REF!="Muy Alta",Riesgos!#REF!="Mayor"),CONCATENATE("R",Riesgos!$A$41),"")</f>
        <v>#REF!</v>
      </c>
      <c r="AC10" s="758"/>
      <c r="AD10" s="759" t="e">
        <f>IF(AND(Riesgos!#REF!="Muy Alta",Riesgos!#REF!="Mayor"),CONCATENATE("R",Riesgos!$A$47),"")</f>
        <v>#REF!</v>
      </c>
      <c r="AE10" s="759"/>
      <c r="AF10" s="759" t="e">
        <f>IF(AND(Riesgos!#REF!="Muy Alta",Riesgos!#REF!="Mayor"),CONCATENATE("R",Riesgos!$A$53),"")</f>
        <v>#REF!</v>
      </c>
      <c r="AG10" s="760"/>
      <c r="AH10" s="782" t="e">
        <f>IF(AND(Riesgos!#REF!="Muy Alta",Riesgos!#REF!="Catastrófico"),CONCATENATE("R",Riesgos!$A$41),"")</f>
        <v>#REF!</v>
      </c>
      <c r="AI10" s="783"/>
      <c r="AJ10" s="783" t="e">
        <f>IF(AND(Riesgos!#REF!="Muy Alta",Riesgos!#REF!="Catastrófico"),CONCATENATE("R",Riesgos!$A$47),"")</f>
        <v>#REF!</v>
      </c>
      <c r="AK10" s="783"/>
      <c r="AL10" s="783" t="e">
        <f>IF(AND(Riesgos!#REF!="Muy Alta",Riesgos!#REF!="Catastrófico"),CONCATENATE("R",Riesgos!$A$53),"")</f>
        <v>#REF!</v>
      </c>
      <c r="AM10" s="784"/>
      <c r="AN10" s="18"/>
      <c r="AO10" s="818"/>
      <c r="AP10" s="819"/>
      <c r="AQ10" s="819"/>
      <c r="AR10" s="819"/>
      <c r="AS10" s="819"/>
      <c r="AT10" s="820"/>
      <c r="AU10" s="18"/>
      <c r="AV10" s="18"/>
      <c r="AW10" s="826"/>
      <c r="AX10" s="826"/>
      <c r="AY10" s="827"/>
      <c r="AZ10" s="721"/>
      <c r="BA10" s="722"/>
      <c r="BB10" s="722"/>
      <c r="BC10" s="722"/>
      <c r="BD10" s="723"/>
      <c r="BE10" s="811"/>
      <c r="BF10" s="812"/>
      <c r="BG10" s="813"/>
      <c r="BH10" s="813"/>
      <c r="BI10" s="813"/>
      <c r="BJ10" s="814"/>
      <c r="BK10" s="811"/>
      <c r="BL10" s="812"/>
      <c r="BM10" s="813"/>
      <c r="BN10" s="813"/>
      <c r="BO10" s="813"/>
      <c r="BP10" s="814"/>
      <c r="BQ10" s="95"/>
      <c r="BR10" s="96"/>
      <c r="BS10" s="96"/>
      <c r="BT10" s="96"/>
      <c r="BU10" s="96"/>
      <c r="BV10" s="97"/>
      <c r="BW10" s="757"/>
      <c r="BX10" s="758"/>
      <c r="BY10" s="759"/>
      <c r="BZ10" s="759"/>
      <c r="CA10" s="759"/>
      <c r="CB10" s="760"/>
      <c r="CC10" s="782"/>
      <c r="CD10" s="783"/>
      <c r="CE10" s="783"/>
      <c r="CF10" s="783"/>
      <c r="CG10" s="783"/>
      <c r="CH10" s="784"/>
      <c r="CI10" s="18"/>
      <c r="CJ10" s="818"/>
      <c r="CK10" s="819"/>
      <c r="CL10" s="819"/>
      <c r="CM10" s="819"/>
      <c r="CN10" s="819"/>
      <c r="CO10" s="820"/>
    </row>
    <row r="11" spans="1:99" ht="15" customHeight="1">
      <c r="A11" s="18"/>
      <c r="B11" s="826"/>
      <c r="C11" s="826"/>
      <c r="D11" s="827"/>
      <c r="E11" s="721"/>
      <c r="F11" s="722"/>
      <c r="G11" s="722"/>
      <c r="H11" s="722"/>
      <c r="I11" s="723"/>
      <c r="J11" s="757"/>
      <c r="K11" s="758"/>
      <c r="L11" s="759"/>
      <c r="M11" s="759"/>
      <c r="N11" s="759"/>
      <c r="O11" s="760"/>
      <c r="P11" s="757"/>
      <c r="Q11" s="758"/>
      <c r="R11" s="759"/>
      <c r="S11" s="759"/>
      <c r="T11" s="759"/>
      <c r="U11" s="760"/>
      <c r="V11" s="757"/>
      <c r="W11" s="758"/>
      <c r="X11" s="759"/>
      <c r="Y11" s="759"/>
      <c r="Z11" s="759"/>
      <c r="AA11" s="760"/>
      <c r="AB11" s="757"/>
      <c r="AC11" s="758"/>
      <c r="AD11" s="759"/>
      <c r="AE11" s="759"/>
      <c r="AF11" s="759"/>
      <c r="AG11" s="760"/>
      <c r="AH11" s="782"/>
      <c r="AI11" s="783"/>
      <c r="AJ11" s="783"/>
      <c r="AK11" s="783"/>
      <c r="AL11" s="783"/>
      <c r="AM11" s="784"/>
      <c r="AN11" s="18"/>
      <c r="AO11" s="818"/>
      <c r="AP11" s="819"/>
      <c r="AQ11" s="819"/>
      <c r="AR11" s="819"/>
      <c r="AS11" s="819"/>
      <c r="AT11" s="820"/>
      <c r="AU11" s="18"/>
      <c r="AV11" s="18"/>
      <c r="AW11" s="826"/>
      <c r="AX11" s="826"/>
      <c r="AY11" s="827"/>
      <c r="AZ11" s="721"/>
      <c r="BA11" s="722"/>
      <c r="BB11" s="722"/>
      <c r="BC11" s="722"/>
      <c r="BD11" s="723"/>
      <c r="BE11" s="811"/>
      <c r="BF11" s="812"/>
      <c r="BG11" s="813"/>
      <c r="BH11" s="813"/>
      <c r="BI11" s="813"/>
      <c r="BJ11" s="814"/>
      <c r="BK11" s="811"/>
      <c r="BL11" s="812"/>
      <c r="BM11" s="813"/>
      <c r="BN11" s="813"/>
      <c r="BO11" s="813"/>
      <c r="BP11" s="814"/>
      <c r="BQ11" s="95"/>
      <c r="BR11" s="96"/>
      <c r="BS11" s="96"/>
      <c r="BT11" s="96"/>
      <c r="BU11" s="96"/>
      <c r="BV11" s="97"/>
      <c r="BW11" s="757"/>
      <c r="BX11" s="758"/>
      <c r="BY11" s="759"/>
      <c r="BZ11" s="759"/>
      <c r="CA11" s="759"/>
      <c r="CB11" s="760"/>
      <c r="CC11" s="782"/>
      <c r="CD11" s="783"/>
      <c r="CE11" s="783"/>
      <c r="CF11" s="783"/>
      <c r="CG11" s="783"/>
      <c r="CH11" s="784"/>
      <c r="CI11" s="18"/>
      <c r="CJ11" s="818"/>
      <c r="CK11" s="819"/>
      <c r="CL11" s="819"/>
      <c r="CM11" s="819"/>
      <c r="CN11" s="819"/>
      <c r="CO11" s="820"/>
    </row>
    <row r="12" spans="1:99" ht="15" customHeight="1">
      <c r="A12" s="18"/>
      <c r="B12" s="826"/>
      <c r="C12" s="826"/>
      <c r="D12" s="827"/>
      <c r="E12" s="721"/>
      <c r="F12" s="722"/>
      <c r="G12" s="722"/>
      <c r="H12" s="722"/>
      <c r="I12" s="723"/>
      <c r="J12" s="757" t="e">
        <f>IF(AND(Riesgos!#REF!="Muy Alta",Riesgos!#REF!="Leve"),CONCATENATE("R",Riesgos!$A$59),"")</f>
        <v>#REF!</v>
      </c>
      <c r="K12" s="758"/>
      <c r="L12" s="759" t="e">
        <f>IF(AND(Riesgos!#REF!="Muy Alta",Riesgos!#REF!="Leve"),CONCATENATE("R",Riesgos!$A$85),"")</f>
        <v>#REF!</v>
      </c>
      <c r="M12" s="759"/>
      <c r="N12" s="759" t="e">
        <f>IF(AND(Riesgos!#REF!="Muy Alta",Riesgos!#REF!="Leve"),CONCATENATE("R",Riesgos!$A$91),"")</f>
        <v>#REF!</v>
      </c>
      <c r="O12" s="760"/>
      <c r="P12" s="757" t="e">
        <f>IF(AND(Riesgos!#REF!="Muy Alta",Riesgos!#REF!="Menor"),CONCATENATE("R",Riesgos!$A$59),"")</f>
        <v>#REF!</v>
      </c>
      <c r="Q12" s="758"/>
      <c r="R12" s="759" t="e">
        <f>IF(AND(Riesgos!#REF!="Muy Alta",Riesgos!#REF!="Menor"),CONCATENATE("R",Riesgos!$A$85),"")</f>
        <v>#REF!</v>
      </c>
      <c r="S12" s="759"/>
      <c r="T12" s="759" t="e">
        <f>IF(AND(Riesgos!#REF!="Muy Alta",Riesgos!#REF!="Menor"),CONCATENATE("R",Riesgos!$A$91),"")</f>
        <v>#REF!</v>
      </c>
      <c r="U12" s="760"/>
      <c r="V12" s="757" t="e">
        <f>IF(AND(Riesgos!#REF!="Muy Alta",Riesgos!#REF!="Moderado"),CONCATENATE("R",Riesgos!$A$59),"")</f>
        <v>#REF!</v>
      </c>
      <c r="W12" s="758"/>
      <c r="X12" s="759" t="e">
        <f>IF(AND(Riesgos!#REF!="Muy Alta",Riesgos!#REF!="Moderado"),CONCATENATE("R",Riesgos!$A$85),"")</f>
        <v>#REF!</v>
      </c>
      <c r="Y12" s="759"/>
      <c r="Z12" s="759" t="e">
        <f>IF(AND(Riesgos!#REF!="Muy Alta",Riesgos!#REF!="Moderado"),CONCATENATE("R",Riesgos!$A$91),"")</f>
        <v>#REF!</v>
      </c>
      <c r="AA12" s="760"/>
      <c r="AB12" s="757" t="e">
        <f>IF(AND(Riesgos!#REF!="Muy Alta",Riesgos!#REF!="Mayor"),CONCATENATE("R",Riesgos!$A$59),"")</f>
        <v>#REF!</v>
      </c>
      <c r="AC12" s="758"/>
      <c r="AD12" s="759" t="e">
        <f>IF(AND(Riesgos!#REF!="Muy Alta",Riesgos!#REF!="Mayor"),CONCATENATE("R",Riesgos!$A$85),"")</f>
        <v>#REF!</v>
      </c>
      <c r="AE12" s="759"/>
      <c r="AF12" s="759" t="e">
        <f>IF(AND(Riesgos!#REF!="Muy Alta",Riesgos!#REF!="Mayor"),CONCATENATE("R",Riesgos!$A$91),"")</f>
        <v>#REF!</v>
      </c>
      <c r="AG12" s="760"/>
      <c r="AH12" s="782" t="e">
        <f>IF(AND(Riesgos!#REF!="Muy Alta",Riesgos!#REF!="Catastrófico"),CONCATENATE("R",Riesgos!$A$59),"")</f>
        <v>#REF!</v>
      </c>
      <c r="AI12" s="783"/>
      <c r="AJ12" s="783" t="e">
        <f>IF(AND(Riesgos!#REF!="Muy Alta",Riesgos!#REF!="Catastrófico"),CONCATENATE("R",Riesgos!$A$85),"")</f>
        <v>#REF!</v>
      </c>
      <c r="AK12" s="783"/>
      <c r="AL12" s="783" t="e">
        <f>IF(AND(Riesgos!#REF!="Muy Alta",Riesgos!#REF!="Catastrófico"),CONCATENATE("R",Riesgos!$A$91),"")</f>
        <v>#REF!</v>
      </c>
      <c r="AM12" s="784"/>
      <c r="AN12" s="18"/>
      <c r="AO12" s="818"/>
      <c r="AP12" s="819"/>
      <c r="AQ12" s="819"/>
      <c r="AR12" s="819"/>
      <c r="AS12" s="819"/>
      <c r="AT12" s="820"/>
      <c r="AU12" s="18"/>
      <c r="AV12" s="18"/>
      <c r="AW12" s="826"/>
      <c r="AX12" s="826"/>
      <c r="AY12" s="827"/>
      <c r="AZ12" s="721"/>
      <c r="BA12" s="722"/>
      <c r="BB12" s="722"/>
      <c r="BC12" s="722"/>
      <c r="BD12" s="723"/>
      <c r="BE12" s="811"/>
      <c r="BF12" s="812"/>
      <c r="BG12" s="813"/>
      <c r="BH12" s="813"/>
      <c r="BI12" s="813"/>
      <c r="BJ12" s="814"/>
      <c r="BK12" s="811"/>
      <c r="BL12" s="812"/>
      <c r="BM12" s="813"/>
      <c r="BN12" s="813"/>
      <c r="BO12" s="813"/>
      <c r="BP12" s="814"/>
      <c r="BQ12" s="95"/>
      <c r="BR12" s="96"/>
      <c r="BS12" s="96"/>
      <c r="BT12" s="96"/>
      <c r="BU12" s="96"/>
      <c r="BV12" s="97"/>
      <c r="BW12" s="757"/>
      <c r="BX12" s="758"/>
      <c r="BY12" s="759"/>
      <c r="BZ12" s="759"/>
      <c r="CA12" s="759"/>
      <c r="CB12" s="760"/>
      <c r="CC12" s="782"/>
      <c r="CD12" s="783"/>
      <c r="CE12" s="783"/>
      <c r="CF12" s="783"/>
      <c r="CG12" s="783"/>
      <c r="CH12" s="784"/>
      <c r="CI12" s="18"/>
      <c r="CJ12" s="818"/>
      <c r="CK12" s="819"/>
      <c r="CL12" s="819"/>
      <c r="CM12" s="819"/>
      <c r="CN12" s="819"/>
      <c r="CO12" s="820"/>
    </row>
    <row r="13" spans="1:99" ht="15.75" customHeight="1">
      <c r="A13" s="18"/>
      <c r="B13" s="826"/>
      <c r="C13" s="826"/>
      <c r="D13" s="827"/>
      <c r="E13" s="724"/>
      <c r="F13" s="725"/>
      <c r="G13" s="725"/>
      <c r="H13" s="725"/>
      <c r="I13" s="726"/>
      <c r="J13" s="757"/>
      <c r="K13" s="758"/>
      <c r="L13" s="758"/>
      <c r="M13" s="758"/>
      <c r="N13" s="758"/>
      <c r="O13" s="760"/>
      <c r="P13" s="757"/>
      <c r="Q13" s="758"/>
      <c r="R13" s="758"/>
      <c r="S13" s="758"/>
      <c r="T13" s="758"/>
      <c r="U13" s="760"/>
      <c r="V13" s="757"/>
      <c r="W13" s="758"/>
      <c r="X13" s="758"/>
      <c r="Y13" s="758"/>
      <c r="Z13" s="758"/>
      <c r="AA13" s="760"/>
      <c r="AB13" s="757"/>
      <c r="AC13" s="758"/>
      <c r="AD13" s="758"/>
      <c r="AE13" s="758"/>
      <c r="AF13" s="758"/>
      <c r="AG13" s="760"/>
      <c r="AH13" s="786"/>
      <c r="AI13" s="787"/>
      <c r="AJ13" s="787"/>
      <c r="AK13" s="787"/>
      <c r="AL13" s="787"/>
      <c r="AM13" s="788"/>
      <c r="AN13" s="18"/>
      <c r="AO13" s="821"/>
      <c r="AP13" s="822"/>
      <c r="AQ13" s="822"/>
      <c r="AR13" s="822"/>
      <c r="AS13" s="822"/>
      <c r="AT13" s="823"/>
      <c r="AU13" s="18"/>
      <c r="AV13" s="18"/>
      <c r="AW13" s="826"/>
      <c r="AX13" s="826"/>
      <c r="AY13" s="827"/>
      <c r="AZ13" s="724"/>
      <c r="BA13" s="725"/>
      <c r="BB13" s="725"/>
      <c r="BC13" s="725"/>
      <c r="BD13" s="726"/>
      <c r="BE13" s="811"/>
      <c r="BF13" s="812"/>
      <c r="BG13" s="812"/>
      <c r="BH13" s="812"/>
      <c r="BI13" s="812"/>
      <c r="BJ13" s="814"/>
      <c r="BK13" s="811"/>
      <c r="BL13" s="812"/>
      <c r="BM13" s="812"/>
      <c r="BN13" s="812"/>
      <c r="BO13" s="812"/>
      <c r="BP13" s="814"/>
      <c r="BQ13" s="98"/>
      <c r="BR13" s="99"/>
      <c r="BS13" s="99"/>
      <c r="BT13" s="99"/>
      <c r="BU13" s="99"/>
      <c r="BV13" s="100"/>
      <c r="BW13" s="757"/>
      <c r="BX13" s="758"/>
      <c r="BY13" s="758"/>
      <c r="BZ13" s="758"/>
      <c r="CA13" s="758"/>
      <c r="CB13" s="760"/>
      <c r="CC13" s="786"/>
      <c r="CD13" s="787"/>
      <c r="CE13" s="787"/>
      <c r="CF13" s="787"/>
      <c r="CG13" s="787"/>
      <c r="CH13" s="788"/>
      <c r="CI13" s="18"/>
      <c r="CJ13" s="821"/>
      <c r="CK13" s="822"/>
      <c r="CL13" s="822"/>
      <c r="CM13" s="822"/>
      <c r="CN13" s="822"/>
      <c r="CO13" s="823"/>
    </row>
    <row r="14" spans="1:99" ht="15" customHeight="1">
      <c r="A14" s="18"/>
      <c r="B14" s="826"/>
      <c r="C14" s="826"/>
      <c r="D14" s="827"/>
      <c r="E14" s="718" t="s">
        <v>1530</v>
      </c>
      <c r="F14" s="719"/>
      <c r="G14" s="719"/>
      <c r="H14" s="719"/>
      <c r="I14" s="719"/>
      <c r="J14" s="752" t="e">
        <f>IF(AND(Riesgos!#REF!="Alta",Riesgos!#REF!="Leve"),CONCATENATE("R",Riesgos!$A$7),"")</f>
        <v>#REF!</v>
      </c>
      <c r="K14" s="753"/>
      <c r="L14" s="753" t="e">
        <f>IF(AND(Riesgos!#REF!="Alta",Riesgos!#REF!="Leve"),CONCATENATE("R",Riesgos!$A$13),"")</f>
        <v>#REF!</v>
      </c>
      <c r="M14" s="753"/>
      <c r="N14" s="753" t="e">
        <f>IF(AND(Riesgos!#REF!="Alta",Riesgos!#REF!="Leve"),CONCATENATE("R",Riesgos!$A$19),"")</f>
        <v>#REF!</v>
      </c>
      <c r="O14" s="754"/>
      <c r="P14" s="752" t="e">
        <f>IF(AND(Riesgos!#REF!="Alta",Riesgos!#REF!="Menor"),CONCATENATE("R",Riesgos!$A$7),"")</f>
        <v>#REF!</v>
      </c>
      <c r="Q14" s="753"/>
      <c r="R14" s="753" t="e">
        <f>IF(AND(Riesgos!#REF!="Alta",Riesgos!#REF!="Menor"),CONCATENATE("R",Riesgos!$A$13),"")</f>
        <v>#REF!</v>
      </c>
      <c r="S14" s="753"/>
      <c r="T14" s="753" t="e">
        <f>IF(AND(Riesgos!#REF!="Alta",Riesgos!#REF!="Menor"),CONCATENATE("R",Riesgos!$A$19),"")</f>
        <v>#REF!</v>
      </c>
      <c r="U14" s="754"/>
      <c r="V14" s="768" t="e">
        <f>IF(AND(Riesgos!#REF!="Alta",Riesgos!#REF!="Moderado"),CONCATENATE("R",Riesgos!$A$7),"")</f>
        <v>#REF!</v>
      </c>
      <c r="W14" s="769"/>
      <c r="X14" s="769" t="e">
        <f>IF(AND(Riesgos!#REF!="Alta",Riesgos!#REF!="Moderado"),CONCATENATE("R",Riesgos!$A$13),"")</f>
        <v>#REF!</v>
      </c>
      <c r="Y14" s="769"/>
      <c r="Z14" s="769" t="e">
        <f>IF(AND(Riesgos!#REF!="Alta",Riesgos!#REF!="Moderado"),CONCATENATE("R",Riesgos!$A$19),"")</f>
        <v>#REF!</v>
      </c>
      <c r="AA14" s="770"/>
      <c r="AB14" s="768" t="e">
        <f>IF(AND(Riesgos!#REF!="Alta",Riesgos!#REF!="Mayor"),CONCATENATE("R",Riesgos!$A$7),"")</f>
        <v>#REF!</v>
      </c>
      <c r="AC14" s="769"/>
      <c r="AD14" s="769" t="e">
        <f>IF(AND(Riesgos!#REF!="Alta",Riesgos!#REF!="Mayor"),CONCATENATE("R",Riesgos!$A$13),"")</f>
        <v>#REF!</v>
      </c>
      <c r="AE14" s="769"/>
      <c r="AF14" s="769" t="e">
        <f>IF(AND(Riesgos!#REF!="Alta",Riesgos!#REF!="Mayor"),CONCATENATE("R",Riesgos!$A$19),"")</f>
        <v>#REF!</v>
      </c>
      <c r="AG14" s="770"/>
      <c r="AH14" s="790" t="e">
        <f>IF(AND(Riesgos!#REF!="Alta",Riesgos!#REF!="Catastrófico"),CONCATENATE("R",Riesgos!$A$7),"")</f>
        <v>#REF!</v>
      </c>
      <c r="AI14" s="791"/>
      <c r="AJ14" s="791" t="e">
        <f>IF(AND(Riesgos!#REF!="Alta",Riesgos!#REF!="Catastrófico"),CONCATENATE("R",Riesgos!$A$13),"")</f>
        <v>#REF!</v>
      </c>
      <c r="AK14" s="791"/>
      <c r="AL14" s="791" t="e">
        <f>IF(AND(Riesgos!#REF!="Alta",Riesgos!#REF!="Catastrófico"),CONCATENATE("R",Riesgos!$A$19),"")</f>
        <v>#REF!</v>
      </c>
      <c r="AM14" s="792"/>
      <c r="AN14" s="18"/>
      <c r="AO14" s="802" t="s">
        <v>1469</v>
      </c>
      <c r="AP14" s="803"/>
      <c r="AQ14" s="803"/>
      <c r="AR14" s="803"/>
      <c r="AS14" s="803"/>
      <c r="AT14" s="804"/>
      <c r="AU14" s="18"/>
      <c r="AV14" s="18"/>
      <c r="AW14" s="826"/>
      <c r="AX14" s="826"/>
      <c r="AY14" s="827"/>
      <c r="AZ14" s="718" t="s">
        <v>1465</v>
      </c>
      <c r="BA14" s="719"/>
      <c r="BB14" s="719"/>
      <c r="BC14" s="719"/>
      <c r="BD14" s="719"/>
      <c r="BE14" s="789"/>
      <c r="BF14" s="766"/>
      <c r="BG14" s="766"/>
      <c r="BH14" s="766"/>
      <c r="BI14" s="766"/>
      <c r="BJ14" s="767"/>
      <c r="BK14" s="789"/>
      <c r="BL14" s="766"/>
      <c r="BM14" s="766"/>
      <c r="BN14" s="766"/>
      <c r="BO14" s="766"/>
      <c r="BP14" s="767"/>
      <c r="BQ14" s="752"/>
      <c r="BR14" s="753"/>
      <c r="BS14" s="753"/>
      <c r="BT14" s="753"/>
      <c r="BU14" s="753"/>
      <c r="BV14" s="754"/>
      <c r="BW14" s="768"/>
      <c r="BX14" s="769"/>
      <c r="BY14" s="769"/>
      <c r="BZ14" s="769"/>
      <c r="CA14" s="769"/>
      <c r="CB14" s="770"/>
      <c r="CC14" s="790"/>
      <c r="CD14" s="791"/>
      <c r="CE14" s="791"/>
      <c r="CF14" s="791"/>
      <c r="CG14" s="791"/>
      <c r="CH14" s="792"/>
      <c r="CI14" s="18"/>
      <c r="CJ14" s="802" t="s">
        <v>1469</v>
      </c>
      <c r="CK14" s="803"/>
      <c r="CL14" s="803"/>
      <c r="CM14" s="803"/>
      <c r="CN14" s="803"/>
      <c r="CO14" s="804"/>
    </row>
    <row r="15" spans="1:99" ht="15" customHeight="1">
      <c r="A15" s="18"/>
      <c r="B15" s="826"/>
      <c r="C15" s="826"/>
      <c r="D15" s="827"/>
      <c r="E15" s="721"/>
      <c r="F15" s="722"/>
      <c r="G15" s="722"/>
      <c r="H15" s="722"/>
      <c r="I15" s="780"/>
      <c r="J15" s="734"/>
      <c r="K15" s="735"/>
      <c r="L15" s="735"/>
      <c r="M15" s="735"/>
      <c r="N15" s="735"/>
      <c r="O15" s="736"/>
      <c r="P15" s="734"/>
      <c r="Q15" s="735"/>
      <c r="R15" s="735"/>
      <c r="S15" s="735"/>
      <c r="T15" s="735"/>
      <c r="U15" s="736"/>
      <c r="V15" s="757"/>
      <c r="W15" s="758"/>
      <c r="X15" s="758"/>
      <c r="Y15" s="758"/>
      <c r="Z15" s="758"/>
      <c r="AA15" s="760"/>
      <c r="AB15" s="757"/>
      <c r="AC15" s="758"/>
      <c r="AD15" s="758"/>
      <c r="AE15" s="758"/>
      <c r="AF15" s="758"/>
      <c r="AG15" s="760"/>
      <c r="AH15" s="782"/>
      <c r="AI15" s="783"/>
      <c r="AJ15" s="783"/>
      <c r="AK15" s="783"/>
      <c r="AL15" s="783"/>
      <c r="AM15" s="784"/>
      <c r="AN15" s="18"/>
      <c r="AO15" s="805"/>
      <c r="AP15" s="806"/>
      <c r="AQ15" s="806"/>
      <c r="AR15" s="806"/>
      <c r="AS15" s="806"/>
      <c r="AT15" s="807"/>
      <c r="AU15" s="18"/>
      <c r="AV15" s="18"/>
      <c r="AW15" s="826"/>
      <c r="AX15" s="826"/>
      <c r="AY15" s="827"/>
      <c r="AZ15" s="721"/>
      <c r="BA15" s="722"/>
      <c r="BB15" s="722"/>
      <c r="BC15" s="722"/>
      <c r="BD15" s="780"/>
      <c r="BE15" s="781"/>
      <c r="BF15" s="755"/>
      <c r="BG15" s="755"/>
      <c r="BH15" s="755"/>
      <c r="BI15" s="755"/>
      <c r="BJ15" s="756"/>
      <c r="BK15" s="781"/>
      <c r="BL15" s="755"/>
      <c r="BM15" s="755"/>
      <c r="BN15" s="755"/>
      <c r="BO15" s="755"/>
      <c r="BP15" s="756"/>
      <c r="BQ15" s="734"/>
      <c r="BR15" s="735"/>
      <c r="BS15" s="735"/>
      <c r="BT15" s="735"/>
      <c r="BU15" s="735"/>
      <c r="BV15" s="736"/>
      <c r="BW15" s="757"/>
      <c r="BX15" s="758"/>
      <c r="BY15" s="758"/>
      <c r="BZ15" s="758"/>
      <c r="CA15" s="758"/>
      <c r="CB15" s="760"/>
      <c r="CC15" s="782"/>
      <c r="CD15" s="783"/>
      <c r="CE15" s="783"/>
      <c r="CF15" s="783"/>
      <c r="CG15" s="783"/>
      <c r="CH15" s="784"/>
      <c r="CI15" s="18"/>
      <c r="CJ15" s="805"/>
      <c r="CK15" s="806"/>
      <c r="CL15" s="806"/>
      <c r="CM15" s="806"/>
      <c r="CN15" s="806"/>
      <c r="CO15" s="807"/>
    </row>
    <row r="16" spans="1:99" ht="15" customHeight="1">
      <c r="A16" s="18"/>
      <c r="B16" s="826"/>
      <c r="C16" s="826"/>
      <c r="D16" s="827"/>
      <c r="E16" s="721"/>
      <c r="F16" s="722"/>
      <c r="G16" s="722"/>
      <c r="H16" s="722"/>
      <c r="I16" s="780"/>
      <c r="J16" s="734" t="e">
        <f>IF(AND(Riesgos!#REF!="Alta",Riesgos!#REF!="Leve"),CONCATENATE("R",Riesgos!$A$23),"")</f>
        <v>#REF!</v>
      </c>
      <c r="K16" s="735"/>
      <c r="L16" s="735" t="e">
        <f>IF(AND(Riesgos!#REF!="Alta",Riesgos!#REF!="Leve"),CONCATENATE("R",Riesgos!$A$29),"")</f>
        <v>#REF!</v>
      </c>
      <c r="M16" s="735"/>
      <c r="N16" s="735" t="e">
        <f>IF(AND(Riesgos!#REF!="Alta",Riesgos!#REF!="Leve"),CONCATENATE("R",Riesgos!$A$35),"")</f>
        <v>#REF!</v>
      </c>
      <c r="O16" s="736"/>
      <c r="P16" s="734" t="e">
        <f>IF(AND(Riesgos!#REF!="Alta",Riesgos!#REF!="Menor"),CONCATENATE("R",Riesgos!$A$23),"")</f>
        <v>#REF!</v>
      </c>
      <c r="Q16" s="735"/>
      <c r="R16" s="735" t="e">
        <f>IF(AND(Riesgos!#REF!="Alta",Riesgos!#REF!="Menor"),CONCATENATE("R",Riesgos!$A$29),"")</f>
        <v>#REF!</v>
      </c>
      <c r="S16" s="735"/>
      <c r="T16" s="735" t="e">
        <f>IF(AND(Riesgos!#REF!="Alta",Riesgos!#REF!="Menor"),CONCATENATE("R",Riesgos!$A$35),"")</f>
        <v>#REF!</v>
      </c>
      <c r="U16" s="736"/>
      <c r="V16" s="757" t="e">
        <f>IF(AND(Riesgos!#REF!="Alta",Riesgos!#REF!="Moderado"),CONCATENATE("R",Riesgos!$A$23),"")</f>
        <v>#REF!</v>
      </c>
      <c r="W16" s="758"/>
      <c r="X16" s="759" t="e">
        <f>IF(AND(Riesgos!#REF!="Alta",Riesgos!#REF!="Moderado"),CONCATENATE("R",Riesgos!$A$29),"")</f>
        <v>#REF!</v>
      </c>
      <c r="Y16" s="759"/>
      <c r="Z16" s="759" t="e">
        <f>IF(AND(Riesgos!#REF!="Alta",Riesgos!#REF!="Moderado"),CONCATENATE("R",Riesgos!$A$35),"")</f>
        <v>#REF!</v>
      </c>
      <c r="AA16" s="760"/>
      <c r="AB16" s="757" t="e">
        <f>IF(AND(Riesgos!#REF!="Alta",Riesgos!#REF!="Mayor"),CONCATENATE("R",Riesgos!$A$23),"")</f>
        <v>#REF!</v>
      </c>
      <c r="AC16" s="758"/>
      <c r="AD16" s="759" t="e">
        <f>IF(AND(Riesgos!#REF!="Alta",Riesgos!#REF!="Mayor"),CONCATENATE("R",Riesgos!$A$29),"")</f>
        <v>#REF!</v>
      </c>
      <c r="AE16" s="759"/>
      <c r="AF16" s="759" t="e">
        <f>IF(AND(Riesgos!#REF!="Alta",Riesgos!#REF!="Mayor"),CONCATENATE("R",Riesgos!$A$35),"")</f>
        <v>#REF!</v>
      </c>
      <c r="AG16" s="760"/>
      <c r="AH16" s="782" t="e">
        <f>IF(AND(Riesgos!#REF!="Alta",Riesgos!#REF!="Catastrófico"),CONCATENATE("R",Riesgos!$A$23),"")</f>
        <v>#REF!</v>
      </c>
      <c r="AI16" s="783"/>
      <c r="AJ16" s="783" t="e">
        <f>IF(AND(Riesgos!#REF!="Alta",Riesgos!#REF!="Catastrófico"),CONCATENATE("R",Riesgos!$A$29),"")</f>
        <v>#REF!</v>
      </c>
      <c r="AK16" s="783"/>
      <c r="AL16" s="783" t="e">
        <f>IF(AND(Riesgos!#REF!="Alta",Riesgos!#REF!="Catastrófico"),CONCATENATE("R",Riesgos!$A$35),"")</f>
        <v>#REF!</v>
      </c>
      <c r="AM16" s="784"/>
      <c r="AN16" s="18"/>
      <c r="AO16" s="805"/>
      <c r="AP16" s="806"/>
      <c r="AQ16" s="806"/>
      <c r="AR16" s="806"/>
      <c r="AS16" s="806"/>
      <c r="AT16" s="807"/>
      <c r="AU16" s="18"/>
      <c r="AV16" s="18"/>
      <c r="AW16" s="826"/>
      <c r="AX16" s="826"/>
      <c r="AY16" s="827"/>
      <c r="AZ16" s="721"/>
      <c r="BA16" s="722"/>
      <c r="BB16" s="722"/>
      <c r="BC16" s="722"/>
      <c r="BD16" s="780"/>
      <c r="BE16" s="781"/>
      <c r="BF16" s="755"/>
      <c r="BG16" s="755"/>
      <c r="BH16" s="755"/>
      <c r="BI16" s="755"/>
      <c r="BJ16" s="756"/>
      <c r="BK16" s="781"/>
      <c r="BL16" s="755"/>
      <c r="BM16" s="755"/>
      <c r="BN16" s="755"/>
      <c r="BO16" s="755"/>
      <c r="BP16" s="756"/>
      <c r="BQ16" s="734"/>
      <c r="BR16" s="735"/>
      <c r="BS16" s="735"/>
      <c r="BT16" s="735"/>
      <c r="BU16" s="735"/>
      <c r="BV16" s="736"/>
      <c r="BW16" s="757"/>
      <c r="BX16" s="758"/>
      <c r="BY16" s="759"/>
      <c r="BZ16" s="759"/>
      <c r="CA16" s="759"/>
      <c r="CB16" s="760"/>
      <c r="CC16" s="782"/>
      <c r="CD16" s="783"/>
      <c r="CE16" s="783"/>
      <c r="CF16" s="783"/>
      <c r="CG16" s="783"/>
      <c r="CH16" s="784"/>
      <c r="CI16" s="18"/>
      <c r="CJ16" s="805"/>
      <c r="CK16" s="806"/>
      <c r="CL16" s="806"/>
      <c r="CM16" s="806"/>
      <c r="CN16" s="806"/>
      <c r="CO16" s="807"/>
    </row>
    <row r="17" spans="1:93" ht="15" customHeight="1">
      <c r="A17" s="18"/>
      <c r="B17" s="826"/>
      <c r="C17" s="826"/>
      <c r="D17" s="827"/>
      <c r="E17" s="721"/>
      <c r="F17" s="722"/>
      <c r="G17" s="722"/>
      <c r="H17" s="722"/>
      <c r="I17" s="780"/>
      <c r="J17" s="734"/>
      <c r="K17" s="735"/>
      <c r="L17" s="735"/>
      <c r="M17" s="735"/>
      <c r="N17" s="735"/>
      <c r="O17" s="736"/>
      <c r="P17" s="734"/>
      <c r="Q17" s="735"/>
      <c r="R17" s="735"/>
      <c r="S17" s="735"/>
      <c r="T17" s="735"/>
      <c r="U17" s="736"/>
      <c r="V17" s="757"/>
      <c r="W17" s="758"/>
      <c r="X17" s="759"/>
      <c r="Y17" s="759"/>
      <c r="Z17" s="759"/>
      <c r="AA17" s="760"/>
      <c r="AB17" s="757"/>
      <c r="AC17" s="758"/>
      <c r="AD17" s="759"/>
      <c r="AE17" s="759"/>
      <c r="AF17" s="759"/>
      <c r="AG17" s="760"/>
      <c r="AH17" s="782"/>
      <c r="AI17" s="783"/>
      <c r="AJ17" s="783"/>
      <c r="AK17" s="783"/>
      <c r="AL17" s="783"/>
      <c r="AM17" s="784"/>
      <c r="AN17" s="18"/>
      <c r="AO17" s="805"/>
      <c r="AP17" s="806"/>
      <c r="AQ17" s="806"/>
      <c r="AR17" s="806"/>
      <c r="AS17" s="806"/>
      <c r="AT17" s="807"/>
      <c r="AU17" s="18"/>
      <c r="AV17" s="18"/>
      <c r="AW17" s="826"/>
      <c r="AX17" s="826"/>
      <c r="AY17" s="827"/>
      <c r="AZ17" s="721"/>
      <c r="BA17" s="722"/>
      <c r="BB17" s="722"/>
      <c r="BC17" s="722"/>
      <c r="BD17" s="780"/>
      <c r="BE17" s="781"/>
      <c r="BF17" s="755"/>
      <c r="BG17" s="755"/>
      <c r="BH17" s="755"/>
      <c r="BI17" s="755"/>
      <c r="BJ17" s="756"/>
      <c r="BK17" s="781"/>
      <c r="BL17" s="755"/>
      <c r="BM17" s="755"/>
      <c r="BN17" s="755"/>
      <c r="BO17" s="755"/>
      <c r="BP17" s="756"/>
      <c r="BQ17" s="734"/>
      <c r="BR17" s="735"/>
      <c r="BS17" s="735"/>
      <c r="BT17" s="735"/>
      <c r="BU17" s="735"/>
      <c r="BV17" s="736"/>
      <c r="BW17" s="757"/>
      <c r="BX17" s="758"/>
      <c r="BY17" s="759"/>
      <c r="BZ17" s="759"/>
      <c r="CA17" s="759"/>
      <c r="CB17" s="760"/>
      <c r="CC17" s="782"/>
      <c r="CD17" s="783"/>
      <c r="CE17" s="783"/>
      <c r="CF17" s="783"/>
      <c r="CG17" s="783"/>
      <c r="CH17" s="784"/>
      <c r="CI17" s="18"/>
      <c r="CJ17" s="805"/>
      <c r="CK17" s="806"/>
      <c r="CL17" s="806"/>
      <c r="CM17" s="806"/>
      <c r="CN17" s="806"/>
      <c r="CO17" s="807"/>
    </row>
    <row r="18" spans="1:93" ht="15" customHeight="1">
      <c r="A18" s="18"/>
      <c r="B18" s="826"/>
      <c r="C18" s="826"/>
      <c r="D18" s="827"/>
      <c r="E18" s="721"/>
      <c r="F18" s="722"/>
      <c r="G18" s="722"/>
      <c r="H18" s="722"/>
      <c r="I18" s="780"/>
      <c r="J18" s="734" t="e">
        <f>IF(AND(Riesgos!#REF!="Alta",Riesgos!#REF!="Leve"),CONCATENATE("R",Riesgos!$A$41),"")</f>
        <v>#REF!</v>
      </c>
      <c r="K18" s="735"/>
      <c r="L18" s="735" t="e">
        <f>IF(AND(Riesgos!#REF!="Alta",Riesgos!#REF!="Leve"),CONCATENATE("R",Riesgos!$A$47),"")</f>
        <v>#REF!</v>
      </c>
      <c r="M18" s="735"/>
      <c r="N18" s="735" t="e">
        <f>IF(AND(Riesgos!#REF!="Alta",Riesgos!#REF!="Leve"),CONCATENATE("R",Riesgos!$A$53),"")</f>
        <v>#REF!</v>
      </c>
      <c r="O18" s="736"/>
      <c r="P18" s="734" t="e">
        <f>IF(AND(Riesgos!#REF!="Alta",Riesgos!#REF!="Menor"),CONCATENATE("R",Riesgos!$A$41),"")</f>
        <v>#REF!</v>
      </c>
      <c r="Q18" s="735"/>
      <c r="R18" s="735" t="e">
        <f>IF(AND(Riesgos!#REF!="Alta",Riesgos!#REF!="Menor"),CONCATENATE("R",Riesgos!$A$47),"")</f>
        <v>#REF!</v>
      </c>
      <c r="S18" s="735"/>
      <c r="T18" s="735" t="e">
        <f>IF(AND(Riesgos!#REF!="Alta",Riesgos!#REF!="Menor"),CONCATENATE("R",Riesgos!$A$53),"")</f>
        <v>#REF!</v>
      </c>
      <c r="U18" s="736"/>
      <c r="V18" s="757" t="e">
        <f>IF(AND(Riesgos!#REF!="Alta",Riesgos!#REF!="Moderado"),CONCATENATE("R",Riesgos!$A$41),"")</f>
        <v>#REF!</v>
      </c>
      <c r="W18" s="758"/>
      <c r="X18" s="759" t="e">
        <f>IF(AND(Riesgos!#REF!="Alta",Riesgos!#REF!="Moderado"),CONCATENATE("R",Riesgos!$A$47),"")</f>
        <v>#REF!</v>
      </c>
      <c r="Y18" s="759"/>
      <c r="Z18" s="759" t="e">
        <f>IF(AND(Riesgos!#REF!="Alta",Riesgos!#REF!="Moderado"),CONCATENATE("R",Riesgos!$A$53),"")</f>
        <v>#REF!</v>
      </c>
      <c r="AA18" s="760"/>
      <c r="AB18" s="757" t="e">
        <f>IF(AND(Riesgos!#REF!="Alta",Riesgos!#REF!="Mayor"),CONCATENATE("R",Riesgos!$A$41),"")</f>
        <v>#REF!</v>
      </c>
      <c r="AC18" s="758"/>
      <c r="AD18" s="759" t="e">
        <f>IF(AND(Riesgos!#REF!="Alta",Riesgos!#REF!="Mayor"),CONCATENATE("R",Riesgos!$A$47),"")</f>
        <v>#REF!</v>
      </c>
      <c r="AE18" s="759"/>
      <c r="AF18" s="759" t="e">
        <f>IF(AND(Riesgos!#REF!="Alta",Riesgos!#REF!="Mayor"),CONCATENATE("R",Riesgos!$A$53),"")</f>
        <v>#REF!</v>
      </c>
      <c r="AG18" s="760"/>
      <c r="AH18" s="782" t="e">
        <f>IF(AND(Riesgos!#REF!="Alta",Riesgos!#REF!="Catastrófico"),CONCATENATE("R",Riesgos!$A$41),"")</f>
        <v>#REF!</v>
      </c>
      <c r="AI18" s="783"/>
      <c r="AJ18" s="783" t="e">
        <f>IF(AND(Riesgos!#REF!="Alta",Riesgos!#REF!="Catastrófico"),CONCATENATE("R",Riesgos!$A$47),"")</f>
        <v>#REF!</v>
      </c>
      <c r="AK18" s="783"/>
      <c r="AL18" s="783" t="e">
        <f>IF(AND(Riesgos!#REF!="Alta",Riesgos!#REF!="Catastrófico"),CONCATENATE("R",Riesgos!$A$53),"")</f>
        <v>#REF!</v>
      </c>
      <c r="AM18" s="784"/>
      <c r="AN18" s="18"/>
      <c r="AO18" s="805"/>
      <c r="AP18" s="806"/>
      <c r="AQ18" s="806"/>
      <c r="AR18" s="806"/>
      <c r="AS18" s="806"/>
      <c r="AT18" s="807"/>
      <c r="AU18" s="18"/>
      <c r="AV18" s="18"/>
      <c r="AW18" s="826"/>
      <c r="AX18" s="826"/>
      <c r="AY18" s="827"/>
      <c r="AZ18" s="721"/>
      <c r="BA18" s="722"/>
      <c r="BB18" s="722"/>
      <c r="BC18" s="722"/>
      <c r="BD18" s="780"/>
      <c r="BE18" s="781"/>
      <c r="BF18" s="755"/>
      <c r="BG18" s="755"/>
      <c r="BH18" s="755"/>
      <c r="BI18" s="755"/>
      <c r="BJ18" s="756"/>
      <c r="BK18" s="781"/>
      <c r="BL18" s="755"/>
      <c r="BM18" s="755"/>
      <c r="BN18" s="755"/>
      <c r="BO18" s="755"/>
      <c r="BP18" s="756"/>
      <c r="BQ18" s="734"/>
      <c r="BR18" s="735"/>
      <c r="BS18" s="735"/>
      <c r="BT18" s="735"/>
      <c r="BU18" s="735"/>
      <c r="BV18" s="736"/>
      <c r="BW18" s="757"/>
      <c r="BX18" s="758"/>
      <c r="BY18" s="759"/>
      <c r="BZ18" s="759"/>
      <c r="CA18" s="759"/>
      <c r="CB18" s="760"/>
      <c r="CC18" s="782"/>
      <c r="CD18" s="783"/>
      <c r="CE18" s="783"/>
      <c r="CF18" s="783"/>
      <c r="CG18" s="783"/>
      <c r="CH18" s="784"/>
      <c r="CI18" s="18"/>
      <c r="CJ18" s="805"/>
      <c r="CK18" s="806"/>
      <c r="CL18" s="806"/>
      <c r="CM18" s="806"/>
      <c r="CN18" s="806"/>
      <c r="CO18" s="807"/>
    </row>
    <row r="19" spans="1:93" ht="15" customHeight="1">
      <c r="A19" s="18"/>
      <c r="B19" s="826"/>
      <c r="C19" s="826"/>
      <c r="D19" s="827"/>
      <c r="E19" s="721"/>
      <c r="F19" s="722"/>
      <c r="G19" s="722"/>
      <c r="H19" s="722"/>
      <c r="I19" s="780"/>
      <c r="J19" s="734"/>
      <c r="K19" s="735"/>
      <c r="L19" s="735"/>
      <c r="M19" s="735"/>
      <c r="N19" s="735"/>
      <c r="O19" s="736"/>
      <c r="P19" s="734"/>
      <c r="Q19" s="735"/>
      <c r="R19" s="735"/>
      <c r="S19" s="735"/>
      <c r="T19" s="735"/>
      <c r="U19" s="736"/>
      <c r="V19" s="757"/>
      <c r="W19" s="758"/>
      <c r="X19" s="759"/>
      <c r="Y19" s="759"/>
      <c r="Z19" s="759"/>
      <c r="AA19" s="760"/>
      <c r="AB19" s="757"/>
      <c r="AC19" s="758"/>
      <c r="AD19" s="759"/>
      <c r="AE19" s="759"/>
      <c r="AF19" s="759"/>
      <c r="AG19" s="760"/>
      <c r="AH19" s="782"/>
      <c r="AI19" s="783"/>
      <c r="AJ19" s="783"/>
      <c r="AK19" s="783"/>
      <c r="AL19" s="783"/>
      <c r="AM19" s="784"/>
      <c r="AN19" s="18"/>
      <c r="AO19" s="805"/>
      <c r="AP19" s="806"/>
      <c r="AQ19" s="806"/>
      <c r="AR19" s="806"/>
      <c r="AS19" s="806"/>
      <c r="AT19" s="807"/>
      <c r="AU19" s="18"/>
      <c r="AV19" s="18"/>
      <c r="AW19" s="826"/>
      <c r="AX19" s="826"/>
      <c r="AY19" s="827"/>
      <c r="AZ19" s="721"/>
      <c r="BA19" s="722"/>
      <c r="BB19" s="722"/>
      <c r="BC19" s="722"/>
      <c r="BD19" s="780"/>
      <c r="BE19" s="781"/>
      <c r="BF19" s="755"/>
      <c r="BG19" s="755"/>
      <c r="BH19" s="755"/>
      <c r="BI19" s="755"/>
      <c r="BJ19" s="756"/>
      <c r="BK19" s="781"/>
      <c r="BL19" s="755"/>
      <c r="BM19" s="755"/>
      <c r="BN19" s="755"/>
      <c r="BO19" s="755"/>
      <c r="BP19" s="756"/>
      <c r="BQ19" s="734"/>
      <c r="BR19" s="735"/>
      <c r="BS19" s="735"/>
      <c r="BT19" s="735"/>
      <c r="BU19" s="735"/>
      <c r="BV19" s="736"/>
      <c r="BW19" s="757"/>
      <c r="BX19" s="758"/>
      <c r="BY19" s="759"/>
      <c r="BZ19" s="759"/>
      <c r="CA19" s="759"/>
      <c r="CB19" s="760"/>
      <c r="CC19" s="782"/>
      <c r="CD19" s="783"/>
      <c r="CE19" s="783"/>
      <c r="CF19" s="783"/>
      <c r="CG19" s="783"/>
      <c r="CH19" s="784"/>
      <c r="CI19" s="18"/>
      <c r="CJ19" s="805"/>
      <c r="CK19" s="806"/>
      <c r="CL19" s="806"/>
      <c r="CM19" s="806"/>
      <c r="CN19" s="806"/>
      <c r="CO19" s="807"/>
    </row>
    <row r="20" spans="1:93" ht="15" customHeight="1">
      <c r="A20" s="18"/>
      <c r="B20" s="826"/>
      <c r="C20" s="826"/>
      <c r="D20" s="827"/>
      <c r="E20" s="721"/>
      <c r="F20" s="722"/>
      <c r="G20" s="722"/>
      <c r="H20" s="722"/>
      <c r="I20" s="780"/>
      <c r="J20" s="734" t="e">
        <f>IF(AND(Riesgos!#REF!="Alta",Riesgos!#REF!="Leve"),CONCATENATE("R",Riesgos!$A$59),"")</f>
        <v>#REF!</v>
      </c>
      <c r="K20" s="735"/>
      <c r="L20" s="735" t="e">
        <f>IF(AND(Riesgos!#REF!="Alta",Riesgos!#REF!="Leve"),CONCATENATE("R",Riesgos!$A$85),"")</f>
        <v>#REF!</v>
      </c>
      <c r="M20" s="735"/>
      <c r="N20" s="735" t="e">
        <f>IF(AND(Riesgos!#REF!="Alta",Riesgos!#REF!="Leve"),CONCATENATE("R",Riesgos!$A$91),"")</f>
        <v>#REF!</v>
      </c>
      <c r="O20" s="736"/>
      <c r="P20" s="734" t="e">
        <f>IF(AND(Riesgos!#REF!="Alta",Riesgos!#REF!="Menor"),CONCATENATE("R",Riesgos!$A$59),"")</f>
        <v>#REF!</v>
      </c>
      <c r="Q20" s="735"/>
      <c r="R20" s="735" t="e">
        <f>IF(AND(Riesgos!#REF!="Alta",Riesgos!#REF!="Menor"),CONCATENATE("R",Riesgos!$A$85),"")</f>
        <v>#REF!</v>
      </c>
      <c r="S20" s="735"/>
      <c r="T20" s="735" t="e">
        <f>IF(AND(Riesgos!#REF!="Alta",Riesgos!#REF!="Menor"),CONCATENATE("R",Riesgos!$A$91),"")</f>
        <v>#REF!</v>
      </c>
      <c r="U20" s="736"/>
      <c r="V20" s="757" t="e">
        <f>IF(AND(Riesgos!#REF!="Alta",Riesgos!#REF!="Moderado"),CONCATENATE("R",Riesgos!$A$59),"")</f>
        <v>#REF!</v>
      </c>
      <c r="W20" s="758"/>
      <c r="X20" s="759" t="e">
        <f>IF(AND(Riesgos!#REF!="Alta",Riesgos!#REF!="Moderado"),CONCATENATE("R",Riesgos!$A$85),"")</f>
        <v>#REF!</v>
      </c>
      <c r="Y20" s="759"/>
      <c r="Z20" s="759" t="e">
        <f>IF(AND(Riesgos!#REF!="Alta",Riesgos!#REF!="Moderado"),CONCATENATE("R",Riesgos!$A$91),"")</f>
        <v>#REF!</v>
      </c>
      <c r="AA20" s="760"/>
      <c r="AB20" s="757" t="e">
        <f>IF(AND(Riesgos!#REF!="Alta",Riesgos!#REF!="Mayor"),CONCATENATE("R",Riesgos!$A$59),"")</f>
        <v>#REF!</v>
      </c>
      <c r="AC20" s="758"/>
      <c r="AD20" s="759" t="e">
        <f>IF(AND(Riesgos!#REF!="Alta",Riesgos!#REF!="Mayor"),CONCATENATE("R",Riesgos!$A$85),"")</f>
        <v>#REF!</v>
      </c>
      <c r="AE20" s="759"/>
      <c r="AF20" s="759" t="e">
        <f>IF(AND(Riesgos!#REF!="Alta",Riesgos!#REF!="Mayor"),CONCATENATE("R",Riesgos!$A$91),"")</f>
        <v>#REF!</v>
      </c>
      <c r="AG20" s="760"/>
      <c r="AH20" s="782" t="e">
        <f>IF(AND(Riesgos!#REF!="Alta",Riesgos!#REF!="Catastrófico"),CONCATENATE("R",Riesgos!$A$59),"")</f>
        <v>#REF!</v>
      </c>
      <c r="AI20" s="783"/>
      <c r="AJ20" s="783" t="e">
        <f>IF(AND(Riesgos!#REF!="Alta",Riesgos!#REF!="Catastrófico"),CONCATENATE("R",Riesgos!$A$85),"")</f>
        <v>#REF!</v>
      </c>
      <c r="AK20" s="783"/>
      <c r="AL20" s="783" t="e">
        <f>IF(AND(Riesgos!#REF!="Alta",Riesgos!#REF!="Catastrófico"),CONCATENATE("R",Riesgos!$A$91),"")</f>
        <v>#REF!</v>
      </c>
      <c r="AM20" s="784"/>
      <c r="AN20" s="18"/>
      <c r="AO20" s="805"/>
      <c r="AP20" s="806"/>
      <c r="AQ20" s="806"/>
      <c r="AR20" s="806"/>
      <c r="AS20" s="806"/>
      <c r="AT20" s="807"/>
      <c r="AU20" s="18"/>
      <c r="AV20" s="18"/>
      <c r="AW20" s="826"/>
      <c r="AX20" s="826"/>
      <c r="AY20" s="827"/>
      <c r="AZ20" s="721"/>
      <c r="BA20" s="722"/>
      <c r="BB20" s="722"/>
      <c r="BC20" s="722"/>
      <c r="BD20" s="780"/>
      <c r="BE20" s="781"/>
      <c r="BF20" s="755"/>
      <c r="BG20" s="755"/>
      <c r="BH20" s="755"/>
      <c r="BI20" s="755"/>
      <c r="BJ20" s="756"/>
      <c r="BK20" s="781"/>
      <c r="BL20" s="755"/>
      <c r="BM20" s="755"/>
      <c r="BN20" s="755"/>
      <c r="BO20" s="755"/>
      <c r="BP20" s="756"/>
      <c r="BQ20" s="734"/>
      <c r="BR20" s="735"/>
      <c r="BS20" s="735"/>
      <c r="BT20" s="735"/>
      <c r="BU20" s="735"/>
      <c r="BV20" s="736"/>
      <c r="BW20" s="757"/>
      <c r="BX20" s="758"/>
      <c r="BY20" s="759"/>
      <c r="BZ20" s="759"/>
      <c r="CA20" s="759"/>
      <c r="CB20" s="760"/>
      <c r="CC20" s="782"/>
      <c r="CD20" s="783"/>
      <c r="CE20" s="783"/>
      <c r="CF20" s="783"/>
      <c r="CG20" s="783"/>
      <c r="CH20" s="784"/>
      <c r="CI20" s="18"/>
      <c r="CJ20" s="805"/>
      <c r="CK20" s="806"/>
      <c r="CL20" s="806"/>
      <c r="CM20" s="806"/>
      <c r="CN20" s="806"/>
      <c r="CO20" s="807"/>
    </row>
    <row r="21" spans="1:93" ht="15.75" customHeight="1">
      <c r="A21" s="18"/>
      <c r="B21" s="826"/>
      <c r="C21" s="826"/>
      <c r="D21" s="827"/>
      <c r="E21" s="724"/>
      <c r="F21" s="725"/>
      <c r="G21" s="725"/>
      <c r="H21" s="725"/>
      <c r="I21" s="725"/>
      <c r="J21" s="743"/>
      <c r="K21" s="744"/>
      <c r="L21" s="744"/>
      <c r="M21" s="744"/>
      <c r="N21" s="744"/>
      <c r="O21" s="745"/>
      <c r="P21" s="743"/>
      <c r="Q21" s="744"/>
      <c r="R21" s="744"/>
      <c r="S21" s="744"/>
      <c r="T21" s="744"/>
      <c r="U21" s="745"/>
      <c r="V21" s="763"/>
      <c r="W21" s="764"/>
      <c r="X21" s="764"/>
      <c r="Y21" s="764"/>
      <c r="Z21" s="764"/>
      <c r="AA21" s="765"/>
      <c r="AB21" s="763"/>
      <c r="AC21" s="764"/>
      <c r="AD21" s="764"/>
      <c r="AE21" s="764"/>
      <c r="AF21" s="764"/>
      <c r="AG21" s="765"/>
      <c r="AH21" s="786"/>
      <c r="AI21" s="787"/>
      <c r="AJ21" s="787"/>
      <c r="AK21" s="787"/>
      <c r="AL21" s="787"/>
      <c r="AM21" s="788"/>
      <c r="AN21" s="18"/>
      <c r="AO21" s="808"/>
      <c r="AP21" s="809"/>
      <c r="AQ21" s="809"/>
      <c r="AR21" s="809"/>
      <c r="AS21" s="809"/>
      <c r="AT21" s="810"/>
      <c r="AU21" s="18"/>
      <c r="AV21" s="18"/>
      <c r="AW21" s="826"/>
      <c r="AX21" s="826"/>
      <c r="AY21" s="827"/>
      <c r="AZ21" s="724"/>
      <c r="BA21" s="725"/>
      <c r="BB21" s="725"/>
      <c r="BC21" s="725"/>
      <c r="BD21" s="725"/>
      <c r="BE21" s="785"/>
      <c r="BF21" s="761"/>
      <c r="BG21" s="761"/>
      <c r="BH21" s="761"/>
      <c r="BI21" s="761"/>
      <c r="BJ21" s="762"/>
      <c r="BK21" s="785"/>
      <c r="BL21" s="761"/>
      <c r="BM21" s="761"/>
      <c r="BN21" s="761"/>
      <c r="BO21" s="761"/>
      <c r="BP21" s="762"/>
      <c r="BQ21" s="743"/>
      <c r="BR21" s="744"/>
      <c r="BS21" s="744"/>
      <c r="BT21" s="744"/>
      <c r="BU21" s="744"/>
      <c r="BV21" s="745"/>
      <c r="BW21" s="763"/>
      <c r="BX21" s="764"/>
      <c r="BY21" s="764"/>
      <c r="BZ21" s="764"/>
      <c r="CA21" s="764"/>
      <c r="CB21" s="765"/>
      <c r="CC21" s="786"/>
      <c r="CD21" s="787"/>
      <c r="CE21" s="787"/>
      <c r="CF21" s="787"/>
      <c r="CG21" s="787"/>
      <c r="CH21" s="788"/>
      <c r="CI21" s="18"/>
      <c r="CJ21" s="808"/>
      <c r="CK21" s="809"/>
      <c r="CL21" s="809"/>
      <c r="CM21" s="809"/>
      <c r="CN21" s="809"/>
      <c r="CO21" s="810"/>
    </row>
    <row r="22" spans="1:93" ht="15" customHeight="1">
      <c r="A22" s="18"/>
      <c r="B22" s="826"/>
      <c r="C22" s="826"/>
      <c r="D22" s="827"/>
      <c r="E22" s="718" t="s">
        <v>1531</v>
      </c>
      <c r="F22" s="719"/>
      <c r="G22" s="719"/>
      <c r="H22" s="719"/>
      <c r="I22" s="720"/>
      <c r="J22" s="752" t="e">
        <f>IF(AND(Riesgos!#REF!="Media",Riesgos!#REF!="Leve"),CONCATENATE("R",Riesgos!$A$7),"")</f>
        <v>#REF!</v>
      </c>
      <c r="K22" s="753"/>
      <c r="L22" s="753" t="e">
        <f>IF(AND(Riesgos!#REF!="Media",Riesgos!#REF!="Leve"),CONCATENATE("R",Riesgos!$A$13),"")</f>
        <v>#REF!</v>
      </c>
      <c r="M22" s="753"/>
      <c r="N22" s="753" t="e">
        <f>IF(AND(Riesgos!#REF!="Media",Riesgos!#REF!="Leve"),CONCATENATE("R",Riesgos!$A$19),"")</f>
        <v>#REF!</v>
      </c>
      <c r="O22" s="754"/>
      <c r="P22" s="752" t="e">
        <f>IF(AND(Riesgos!#REF!="Media",Riesgos!#REF!="Menor"),CONCATENATE("R",Riesgos!$A$7),"")</f>
        <v>#REF!</v>
      </c>
      <c r="Q22" s="753"/>
      <c r="R22" s="753" t="e">
        <f>IF(AND(Riesgos!#REF!="Media",Riesgos!#REF!="Menor"),CONCATENATE("R",Riesgos!$A$13),"")</f>
        <v>#REF!</v>
      </c>
      <c r="S22" s="753"/>
      <c r="T22" s="753" t="e">
        <f>IF(AND(Riesgos!#REF!="Media",Riesgos!#REF!="Menor"),CONCATENATE("R",Riesgos!$A$19),"")</f>
        <v>#REF!</v>
      </c>
      <c r="U22" s="754"/>
      <c r="V22" s="752" t="e">
        <f>IF(AND(Riesgos!#REF!="Media",Riesgos!#REF!="Moderado"),CONCATENATE("R",Riesgos!$A$7),"")</f>
        <v>#REF!</v>
      </c>
      <c r="W22" s="753"/>
      <c r="X22" s="753" t="e">
        <f>IF(AND(Riesgos!#REF!="Media",Riesgos!#REF!="Moderado"),CONCATENATE("R",Riesgos!$A$13),"")</f>
        <v>#REF!</v>
      </c>
      <c r="Y22" s="753"/>
      <c r="Z22" s="753" t="e">
        <f>IF(AND(Riesgos!#REF!="Media",Riesgos!#REF!="Moderado"),CONCATENATE("R",Riesgos!$A$19),"")</f>
        <v>#REF!</v>
      </c>
      <c r="AA22" s="754"/>
      <c r="AB22" s="768" t="e">
        <f>IF(AND(Riesgos!#REF!="Media",Riesgos!#REF!="Mayor"),CONCATENATE("R",Riesgos!$A$7),"")</f>
        <v>#REF!</v>
      </c>
      <c r="AC22" s="769"/>
      <c r="AD22" s="769" t="e">
        <f>IF(AND(Riesgos!#REF!="Media",Riesgos!#REF!="Mayor"),CONCATENATE("R",Riesgos!$A$13),"")</f>
        <v>#REF!</v>
      </c>
      <c r="AE22" s="769"/>
      <c r="AF22" s="769" t="e">
        <f>IF(AND(Riesgos!#REF!="Media",Riesgos!#REF!="Mayor"),CONCATENATE("R",Riesgos!$A$19),"")</f>
        <v>#REF!</v>
      </c>
      <c r="AG22" s="770"/>
      <c r="AH22" s="790" t="e">
        <f>IF(AND(Riesgos!#REF!="Media",Riesgos!#REF!="Catastrófico"),CONCATENATE("R",Riesgos!$A$7),"")</f>
        <v>#REF!</v>
      </c>
      <c r="AI22" s="791"/>
      <c r="AJ22" s="791" t="e">
        <f>IF(AND(Riesgos!#REF!="Media",Riesgos!#REF!="Catastrófico"),CONCATENATE("R",Riesgos!$A$13),"")</f>
        <v>#REF!</v>
      </c>
      <c r="AK22" s="791"/>
      <c r="AL22" s="791" t="e">
        <f>IF(AND(Riesgos!#REF!="Media",Riesgos!#REF!="Catastrófico"),CONCATENATE("R",Riesgos!$A$19),"")</f>
        <v>#REF!</v>
      </c>
      <c r="AM22" s="792"/>
      <c r="AN22" s="18"/>
      <c r="AO22" s="793" t="s">
        <v>1471</v>
      </c>
      <c r="AP22" s="794"/>
      <c r="AQ22" s="794"/>
      <c r="AR22" s="794"/>
      <c r="AS22" s="794"/>
      <c r="AT22" s="795"/>
      <c r="AU22" s="18"/>
      <c r="AV22" s="18"/>
      <c r="AW22" s="826"/>
      <c r="AX22" s="826"/>
      <c r="AY22" s="827"/>
      <c r="AZ22" s="718" t="s">
        <v>1477</v>
      </c>
      <c r="BA22" s="719"/>
      <c r="BB22" s="719"/>
      <c r="BC22" s="719"/>
      <c r="BD22" s="720"/>
      <c r="BE22" s="789"/>
      <c r="BF22" s="766"/>
      <c r="BG22" s="766"/>
      <c r="BH22" s="766"/>
      <c r="BI22" s="766"/>
      <c r="BJ22" s="767"/>
      <c r="BK22" s="789"/>
      <c r="BL22" s="766"/>
      <c r="BM22" s="766"/>
      <c r="BN22" s="766"/>
      <c r="BO22" s="766"/>
      <c r="BP22" s="767"/>
      <c r="BQ22" s="752"/>
      <c r="BR22" s="753"/>
      <c r="BS22" s="753"/>
      <c r="BT22" s="753"/>
      <c r="BU22" s="753"/>
      <c r="BV22" s="754"/>
      <c r="BW22" s="768"/>
      <c r="BX22" s="769"/>
      <c r="BY22" s="769"/>
      <c r="BZ22" s="769"/>
      <c r="CA22" s="769"/>
      <c r="CB22" s="770"/>
      <c r="CC22" s="790"/>
      <c r="CD22" s="791"/>
      <c r="CE22" s="791"/>
      <c r="CF22" s="791"/>
      <c r="CG22" s="791"/>
      <c r="CH22" s="792"/>
      <c r="CI22" s="18"/>
      <c r="CJ22" s="793" t="s">
        <v>1471</v>
      </c>
      <c r="CK22" s="794"/>
      <c r="CL22" s="794"/>
      <c r="CM22" s="794"/>
      <c r="CN22" s="794"/>
      <c r="CO22" s="795"/>
    </row>
    <row r="23" spans="1:93" ht="15" customHeight="1">
      <c r="A23" s="18"/>
      <c r="B23" s="826"/>
      <c r="C23" s="826"/>
      <c r="D23" s="827"/>
      <c r="E23" s="721"/>
      <c r="F23" s="722"/>
      <c r="G23" s="722"/>
      <c r="H23" s="722"/>
      <c r="I23" s="723"/>
      <c r="J23" s="734"/>
      <c r="K23" s="735"/>
      <c r="L23" s="735"/>
      <c r="M23" s="735"/>
      <c r="N23" s="735"/>
      <c r="O23" s="736"/>
      <c r="P23" s="734"/>
      <c r="Q23" s="735"/>
      <c r="R23" s="735"/>
      <c r="S23" s="735"/>
      <c r="T23" s="735"/>
      <c r="U23" s="736"/>
      <c r="V23" s="734"/>
      <c r="W23" s="735"/>
      <c r="X23" s="735"/>
      <c r="Y23" s="735"/>
      <c r="Z23" s="735"/>
      <c r="AA23" s="736"/>
      <c r="AB23" s="757"/>
      <c r="AC23" s="758"/>
      <c r="AD23" s="758"/>
      <c r="AE23" s="758"/>
      <c r="AF23" s="758"/>
      <c r="AG23" s="760"/>
      <c r="AH23" s="782"/>
      <c r="AI23" s="783"/>
      <c r="AJ23" s="783"/>
      <c r="AK23" s="783"/>
      <c r="AL23" s="783"/>
      <c r="AM23" s="784"/>
      <c r="AN23" s="18"/>
      <c r="AO23" s="796"/>
      <c r="AP23" s="797"/>
      <c r="AQ23" s="797"/>
      <c r="AR23" s="797"/>
      <c r="AS23" s="797"/>
      <c r="AT23" s="798"/>
      <c r="AU23" s="18"/>
      <c r="AV23" s="18"/>
      <c r="AW23" s="826"/>
      <c r="AX23" s="826"/>
      <c r="AY23" s="827"/>
      <c r="AZ23" s="721"/>
      <c r="BA23" s="722"/>
      <c r="BB23" s="722"/>
      <c r="BC23" s="722"/>
      <c r="BD23" s="723"/>
      <c r="BE23" s="781"/>
      <c r="BF23" s="755"/>
      <c r="BG23" s="755"/>
      <c r="BH23" s="755"/>
      <c r="BI23" s="755"/>
      <c r="BJ23" s="756"/>
      <c r="BK23" s="781"/>
      <c r="BL23" s="755"/>
      <c r="BM23" s="755"/>
      <c r="BN23" s="755"/>
      <c r="BO23" s="755"/>
      <c r="BP23" s="756"/>
      <c r="BQ23" s="734"/>
      <c r="BR23" s="735"/>
      <c r="BS23" s="735"/>
      <c r="BT23" s="735"/>
      <c r="BU23" s="735"/>
      <c r="BV23" s="736"/>
      <c r="BW23" s="757"/>
      <c r="BX23" s="758"/>
      <c r="BY23" s="758"/>
      <c r="BZ23" s="758"/>
      <c r="CA23" s="758"/>
      <c r="CB23" s="760"/>
      <c r="CC23" s="782"/>
      <c r="CD23" s="783"/>
      <c r="CE23" s="783"/>
      <c r="CF23" s="783"/>
      <c r="CG23" s="783"/>
      <c r="CH23" s="784"/>
      <c r="CI23" s="18"/>
      <c r="CJ23" s="796"/>
      <c r="CK23" s="797"/>
      <c r="CL23" s="797"/>
      <c r="CM23" s="797"/>
      <c r="CN23" s="797"/>
      <c r="CO23" s="798"/>
    </row>
    <row r="24" spans="1:93" ht="15" customHeight="1">
      <c r="A24" s="18"/>
      <c r="B24" s="826"/>
      <c r="C24" s="826"/>
      <c r="D24" s="827"/>
      <c r="E24" s="721"/>
      <c r="F24" s="722"/>
      <c r="G24" s="722"/>
      <c r="H24" s="722"/>
      <c r="I24" s="723"/>
      <c r="J24" s="734" t="e">
        <f>IF(AND(Riesgos!#REF!="Media",Riesgos!#REF!="Leve"),CONCATENATE("R",Riesgos!$A$23),"")</f>
        <v>#REF!</v>
      </c>
      <c r="K24" s="735"/>
      <c r="L24" s="735" t="e">
        <f>IF(AND(Riesgos!#REF!="Media",Riesgos!#REF!="Leve"),CONCATENATE("R",Riesgos!$A$29),"")</f>
        <v>#REF!</v>
      </c>
      <c r="M24" s="735"/>
      <c r="N24" s="735" t="e">
        <f>IF(AND(Riesgos!#REF!="Media",Riesgos!#REF!="Leve"),CONCATENATE("R",Riesgos!$A$35),"")</f>
        <v>#REF!</v>
      </c>
      <c r="O24" s="736"/>
      <c r="P24" s="734" t="e">
        <f>IF(AND(Riesgos!#REF!="Media",Riesgos!#REF!="Menor"),CONCATENATE("R",Riesgos!$A$23),"")</f>
        <v>#REF!</v>
      </c>
      <c r="Q24" s="735"/>
      <c r="R24" s="735" t="e">
        <f>IF(AND(Riesgos!#REF!="Media",Riesgos!#REF!="Menor"),CONCATENATE("R",Riesgos!$A$29),"")</f>
        <v>#REF!</v>
      </c>
      <c r="S24" s="735"/>
      <c r="T24" s="735" t="e">
        <f>IF(AND(Riesgos!#REF!="Media",Riesgos!#REF!="Menor"),CONCATENATE("R",Riesgos!$A$35),"")</f>
        <v>#REF!</v>
      </c>
      <c r="U24" s="736"/>
      <c r="V24" s="734" t="e">
        <f>IF(AND(Riesgos!#REF!="Media",Riesgos!#REF!="Moderado"),CONCATENATE("R",Riesgos!$A$23),"")</f>
        <v>#REF!</v>
      </c>
      <c r="W24" s="735"/>
      <c r="X24" s="735" t="e">
        <f>IF(AND(Riesgos!#REF!="Media",Riesgos!#REF!="Moderado"),CONCATENATE("R",Riesgos!$A$29),"")</f>
        <v>#REF!</v>
      </c>
      <c r="Y24" s="735"/>
      <c r="Z24" s="735" t="e">
        <f>IF(AND(Riesgos!#REF!="Media",Riesgos!#REF!="Moderado"),CONCATENATE("R",Riesgos!$A$35),"")</f>
        <v>#REF!</v>
      </c>
      <c r="AA24" s="736"/>
      <c r="AB24" s="757" t="e">
        <f>IF(AND(Riesgos!#REF!="Media",Riesgos!#REF!="Mayor"),CONCATENATE("R",Riesgos!$A$23),"")</f>
        <v>#REF!</v>
      </c>
      <c r="AC24" s="758"/>
      <c r="AD24" s="759" t="e">
        <f>IF(AND(Riesgos!#REF!="Media",Riesgos!#REF!="Mayor"),CONCATENATE("R",Riesgos!$A$29),"")</f>
        <v>#REF!</v>
      </c>
      <c r="AE24" s="759"/>
      <c r="AF24" s="759" t="e">
        <f>IF(AND(Riesgos!#REF!="Media",Riesgos!#REF!="Mayor"),CONCATENATE("R",Riesgos!$A$35),"")</f>
        <v>#REF!</v>
      </c>
      <c r="AG24" s="760"/>
      <c r="AH24" s="782" t="e">
        <f>IF(AND(Riesgos!#REF!="Media",Riesgos!#REF!="Catastrófico"),CONCATENATE("R",Riesgos!$A$23),"")</f>
        <v>#REF!</v>
      </c>
      <c r="AI24" s="783"/>
      <c r="AJ24" s="783" t="e">
        <f>IF(AND(Riesgos!#REF!="Media",Riesgos!#REF!="Catastrófico"),CONCATENATE("R",Riesgos!$A$29),"")</f>
        <v>#REF!</v>
      </c>
      <c r="AK24" s="783"/>
      <c r="AL24" s="783" t="e">
        <f>IF(AND(Riesgos!#REF!="Media",Riesgos!#REF!="Catastrófico"),CONCATENATE("R",Riesgos!$A$35),"")</f>
        <v>#REF!</v>
      </c>
      <c r="AM24" s="784"/>
      <c r="AN24" s="18"/>
      <c r="AO24" s="796"/>
      <c r="AP24" s="797"/>
      <c r="AQ24" s="797"/>
      <c r="AR24" s="797"/>
      <c r="AS24" s="797"/>
      <c r="AT24" s="798"/>
      <c r="AU24" s="18"/>
      <c r="AV24" s="18"/>
      <c r="AW24" s="826"/>
      <c r="AX24" s="826"/>
      <c r="AY24" s="827"/>
      <c r="AZ24" s="721"/>
      <c r="BA24" s="722"/>
      <c r="BB24" s="722"/>
      <c r="BC24" s="722"/>
      <c r="BD24" s="723"/>
      <c r="BE24" s="781"/>
      <c r="BF24" s="755"/>
      <c r="BG24" s="755"/>
      <c r="BH24" s="755"/>
      <c r="BI24" s="755"/>
      <c r="BJ24" s="756"/>
      <c r="BK24" s="781"/>
      <c r="BL24" s="755"/>
      <c r="BM24" s="755"/>
      <c r="BN24" s="755"/>
      <c r="BO24" s="755"/>
      <c r="BP24" s="756"/>
      <c r="BQ24" s="734"/>
      <c r="BR24" s="735"/>
      <c r="BS24" s="735"/>
      <c r="BT24" s="735"/>
      <c r="BU24" s="735"/>
      <c r="BV24" s="736"/>
      <c r="BW24" s="757"/>
      <c r="BX24" s="758"/>
      <c r="BY24" s="759"/>
      <c r="BZ24" s="759"/>
      <c r="CA24" s="759"/>
      <c r="CB24" s="760"/>
      <c r="CC24" s="782"/>
      <c r="CD24" s="783"/>
      <c r="CE24" s="783"/>
      <c r="CF24" s="783"/>
      <c r="CG24" s="783"/>
      <c r="CH24" s="784"/>
      <c r="CI24" s="18"/>
      <c r="CJ24" s="796"/>
      <c r="CK24" s="797"/>
      <c r="CL24" s="797"/>
      <c r="CM24" s="797"/>
      <c r="CN24" s="797"/>
      <c r="CO24" s="798"/>
    </row>
    <row r="25" spans="1:93" ht="15" customHeight="1">
      <c r="A25" s="18"/>
      <c r="B25" s="826"/>
      <c r="C25" s="826"/>
      <c r="D25" s="827"/>
      <c r="E25" s="721"/>
      <c r="F25" s="722"/>
      <c r="G25" s="722"/>
      <c r="H25" s="722"/>
      <c r="I25" s="723"/>
      <c r="J25" s="734"/>
      <c r="K25" s="735"/>
      <c r="L25" s="735"/>
      <c r="M25" s="735"/>
      <c r="N25" s="735"/>
      <c r="O25" s="736"/>
      <c r="P25" s="734"/>
      <c r="Q25" s="735"/>
      <c r="R25" s="735"/>
      <c r="S25" s="735"/>
      <c r="T25" s="735"/>
      <c r="U25" s="736"/>
      <c r="V25" s="734"/>
      <c r="W25" s="735"/>
      <c r="X25" s="735"/>
      <c r="Y25" s="735"/>
      <c r="Z25" s="735"/>
      <c r="AA25" s="736"/>
      <c r="AB25" s="757"/>
      <c r="AC25" s="758"/>
      <c r="AD25" s="759"/>
      <c r="AE25" s="759"/>
      <c r="AF25" s="759"/>
      <c r="AG25" s="760"/>
      <c r="AH25" s="782"/>
      <c r="AI25" s="783"/>
      <c r="AJ25" s="783"/>
      <c r="AK25" s="783"/>
      <c r="AL25" s="783"/>
      <c r="AM25" s="784"/>
      <c r="AN25" s="18"/>
      <c r="AO25" s="796"/>
      <c r="AP25" s="797"/>
      <c r="AQ25" s="797"/>
      <c r="AR25" s="797"/>
      <c r="AS25" s="797"/>
      <c r="AT25" s="798"/>
      <c r="AU25" s="18"/>
      <c r="AV25" s="18"/>
      <c r="AW25" s="826"/>
      <c r="AX25" s="826"/>
      <c r="AY25" s="827"/>
      <c r="AZ25" s="721"/>
      <c r="BA25" s="722"/>
      <c r="BB25" s="722"/>
      <c r="BC25" s="722"/>
      <c r="BD25" s="723"/>
      <c r="BE25" s="781"/>
      <c r="BF25" s="755"/>
      <c r="BG25" s="755"/>
      <c r="BH25" s="755"/>
      <c r="BI25" s="755"/>
      <c r="BJ25" s="756"/>
      <c r="BK25" s="781"/>
      <c r="BL25" s="755"/>
      <c r="BM25" s="755"/>
      <c r="BN25" s="755"/>
      <c r="BO25" s="755"/>
      <c r="BP25" s="756"/>
      <c r="BQ25" s="734"/>
      <c r="BR25" s="735"/>
      <c r="BS25" s="735"/>
      <c r="BT25" s="735"/>
      <c r="BU25" s="735"/>
      <c r="BV25" s="736"/>
      <c r="BW25" s="757"/>
      <c r="BX25" s="758"/>
      <c r="BY25" s="759"/>
      <c r="BZ25" s="759"/>
      <c r="CA25" s="759"/>
      <c r="CB25" s="760"/>
      <c r="CC25" s="782"/>
      <c r="CD25" s="783"/>
      <c r="CE25" s="783"/>
      <c r="CF25" s="783"/>
      <c r="CG25" s="783"/>
      <c r="CH25" s="784"/>
      <c r="CI25" s="18"/>
      <c r="CJ25" s="796"/>
      <c r="CK25" s="797"/>
      <c r="CL25" s="797"/>
      <c r="CM25" s="797"/>
      <c r="CN25" s="797"/>
      <c r="CO25" s="798"/>
    </row>
    <row r="26" spans="1:93" ht="15" customHeight="1">
      <c r="A26" s="18"/>
      <c r="B26" s="826"/>
      <c r="C26" s="826"/>
      <c r="D26" s="827"/>
      <c r="E26" s="721"/>
      <c r="F26" s="722"/>
      <c r="G26" s="722"/>
      <c r="H26" s="722"/>
      <c r="I26" s="723"/>
      <c r="J26" s="734" t="e">
        <f>IF(AND(Riesgos!#REF!="Media",Riesgos!#REF!="Leve"),CONCATENATE("R",Riesgos!$A$41),"")</f>
        <v>#REF!</v>
      </c>
      <c r="K26" s="735"/>
      <c r="L26" s="735" t="e">
        <f>IF(AND(Riesgos!#REF!="Media",Riesgos!#REF!="Leve"),CONCATENATE("R",Riesgos!$A$47),"")</f>
        <v>#REF!</v>
      </c>
      <c r="M26" s="735"/>
      <c r="N26" s="735" t="e">
        <f>IF(AND(Riesgos!#REF!="Media",Riesgos!#REF!="Leve"),CONCATENATE("R",Riesgos!$A$53),"")</f>
        <v>#REF!</v>
      </c>
      <c r="O26" s="736"/>
      <c r="P26" s="734" t="e">
        <f>IF(AND(Riesgos!#REF!="Media",Riesgos!#REF!="Menor"),CONCATENATE("R",Riesgos!$A$41),"")</f>
        <v>#REF!</v>
      </c>
      <c r="Q26" s="735"/>
      <c r="R26" s="735" t="e">
        <f>IF(AND(Riesgos!#REF!="Media",Riesgos!#REF!="Menor"),CONCATENATE("R",Riesgos!$A$47),"")</f>
        <v>#REF!</v>
      </c>
      <c r="S26" s="735"/>
      <c r="T26" s="735" t="e">
        <f>IF(AND(Riesgos!#REF!="Media",Riesgos!#REF!="Menor"),CONCATENATE("R",Riesgos!$A$53),"")</f>
        <v>#REF!</v>
      </c>
      <c r="U26" s="736"/>
      <c r="V26" s="734" t="e">
        <f>IF(AND(Riesgos!#REF!="Media",Riesgos!#REF!="Moderado"),CONCATENATE("R",Riesgos!$A$41),"")</f>
        <v>#REF!</v>
      </c>
      <c r="W26" s="735"/>
      <c r="X26" s="735" t="e">
        <f>IF(AND(Riesgos!#REF!="Media",Riesgos!#REF!="Moderado"),CONCATENATE("R",Riesgos!$A$47),"")</f>
        <v>#REF!</v>
      </c>
      <c r="Y26" s="735"/>
      <c r="Z26" s="735" t="e">
        <f>IF(AND(Riesgos!#REF!="Media",Riesgos!#REF!="Moderado"),CONCATENATE("R",Riesgos!$A$53),"")</f>
        <v>#REF!</v>
      </c>
      <c r="AA26" s="736"/>
      <c r="AB26" s="757" t="e">
        <f>IF(AND(Riesgos!#REF!="Media",Riesgos!#REF!="Mayor"),CONCATENATE("R",Riesgos!$A$41),"")</f>
        <v>#REF!</v>
      </c>
      <c r="AC26" s="758"/>
      <c r="AD26" s="759" t="e">
        <f>IF(AND(Riesgos!#REF!="Media",Riesgos!#REF!="Mayor"),CONCATENATE("R",Riesgos!$A$47),"")</f>
        <v>#REF!</v>
      </c>
      <c r="AE26" s="759"/>
      <c r="AF26" s="759" t="e">
        <f>IF(AND(Riesgos!#REF!="Media",Riesgos!#REF!="Mayor"),CONCATENATE("R",Riesgos!$A$53),"")</f>
        <v>#REF!</v>
      </c>
      <c r="AG26" s="760"/>
      <c r="AH26" s="782" t="e">
        <f>IF(AND(Riesgos!#REF!="Media",Riesgos!#REF!="Catastrófico"),CONCATENATE("R",Riesgos!$A$41),"")</f>
        <v>#REF!</v>
      </c>
      <c r="AI26" s="783"/>
      <c r="AJ26" s="783" t="e">
        <f>IF(AND(Riesgos!#REF!="Media",Riesgos!#REF!="Catastrófico"),CONCATENATE("R",Riesgos!$A$47),"")</f>
        <v>#REF!</v>
      </c>
      <c r="AK26" s="783"/>
      <c r="AL26" s="783" t="e">
        <f>IF(AND(Riesgos!#REF!="Media",Riesgos!#REF!="Catastrófico"),CONCATENATE("R",Riesgos!$A$53),"")</f>
        <v>#REF!</v>
      </c>
      <c r="AM26" s="784"/>
      <c r="AN26" s="18"/>
      <c r="AO26" s="796"/>
      <c r="AP26" s="797"/>
      <c r="AQ26" s="797"/>
      <c r="AR26" s="797"/>
      <c r="AS26" s="797"/>
      <c r="AT26" s="798"/>
      <c r="AU26" s="18"/>
      <c r="AV26" s="18"/>
      <c r="AW26" s="826"/>
      <c r="AX26" s="826"/>
      <c r="AY26" s="827"/>
      <c r="AZ26" s="721"/>
      <c r="BA26" s="722"/>
      <c r="BB26" s="722"/>
      <c r="BC26" s="722"/>
      <c r="BD26" s="723"/>
      <c r="BE26" s="781"/>
      <c r="BF26" s="755"/>
      <c r="BG26" s="755"/>
      <c r="BH26" s="755"/>
      <c r="BI26" s="755"/>
      <c r="BJ26" s="756"/>
      <c r="BK26" s="781"/>
      <c r="BL26" s="755"/>
      <c r="BM26" s="755"/>
      <c r="BN26" s="755"/>
      <c r="BO26" s="755"/>
      <c r="BP26" s="756"/>
      <c r="BQ26" s="734"/>
      <c r="BR26" s="735"/>
      <c r="BS26" s="735"/>
      <c r="BT26" s="735"/>
      <c r="BU26" s="735"/>
      <c r="BV26" s="736"/>
      <c r="BW26" s="757"/>
      <c r="BX26" s="758"/>
      <c r="BY26" s="759"/>
      <c r="BZ26" s="759"/>
      <c r="CA26" s="759"/>
      <c r="CB26" s="760"/>
      <c r="CC26" s="782"/>
      <c r="CD26" s="783"/>
      <c r="CE26" s="783"/>
      <c r="CF26" s="783"/>
      <c r="CG26" s="783"/>
      <c r="CH26" s="784"/>
      <c r="CI26" s="18"/>
      <c r="CJ26" s="796"/>
      <c r="CK26" s="797"/>
      <c r="CL26" s="797"/>
      <c r="CM26" s="797"/>
      <c r="CN26" s="797"/>
      <c r="CO26" s="798"/>
    </row>
    <row r="27" spans="1:93" ht="15" customHeight="1">
      <c r="A27" s="18"/>
      <c r="B27" s="826"/>
      <c r="C27" s="826"/>
      <c r="D27" s="827"/>
      <c r="E27" s="721"/>
      <c r="F27" s="722"/>
      <c r="G27" s="722"/>
      <c r="H27" s="722"/>
      <c r="I27" s="723"/>
      <c r="J27" s="734"/>
      <c r="K27" s="735"/>
      <c r="L27" s="735"/>
      <c r="M27" s="735"/>
      <c r="N27" s="735"/>
      <c r="O27" s="736"/>
      <c r="P27" s="734"/>
      <c r="Q27" s="735"/>
      <c r="R27" s="735"/>
      <c r="S27" s="735"/>
      <c r="T27" s="735"/>
      <c r="U27" s="736"/>
      <c r="V27" s="734"/>
      <c r="W27" s="735"/>
      <c r="X27" s="735"/>
      <c r="Y27" s="735"/>
      <c r="Z27" s="735"/>
      <c r="AA27" s="736"/>
      <c r="AB27" s="757"/>
      <c r="AC27" s="758"/>
      <c r="AD27" s="759"/>
      <c r="AE27" s="759"/>
      <c r="AF27" s="759"/>
      <c r="AG27" s="760"/>
      <c r="AH27" s="782"/>
      <c r="AI27" s="783"/>
      <c r="AJ27" s="783"/>
      <c r="AK27" s="783"/>
      <c r="AL27" s="783"/>
      <c r="AM27" s="784"/>
      <c r="AN27" s="18"/>
      <c r="AO27" s="796"/>
      <c r="AP27" s="797"/>
      <c r="AQ27" s="797"/>
      <c r="AR27" s="797"/>
      <c r="AS27" s="797"/>
      <c r="AT27" s="798"/>
      <c r="AU27" s="18"/>
      <c r="AV27" s="18"/>
      <c r="AW27" s="826"/>
      <c r="AX27" s="826"/>
      <c r="AY27" s="827"/>
      <c r="AZ27" s="721"/>
      <c r="BA27" s="722"/>
      <c r="BB27" s="722"/>
      <c r="BC27" s="722"/>
      <c r="BD27" s="723"/>
      <c r="BE27" s="781"/>
      <c r="BF27" s="755"/>
      <c r="BG27" s="755"/>
      <c r="BH27" s="755"/>
      <c r="BI27" s="755"/>
      <c r="BJ27" s="756"/>
      <c r="BK27" s="781"/>
      <c r="BL27" s="755"/>
      <c r="BM27" s="755"/>
      <c r="BN27" s="755"/>
      <c r="BO27" s="755"/>
      <c r="BP27" s="756"/>
      <c r="BQ27" s="734"/>
      <c r="BR27" s="735"/>
      <c r="BS27" s="735"/>
      <c r="BT27" s="735"/>
      <c r="BU27" s="735"/>
      <c r="BV27" s="736"/>
      <c r="BW27" s="757"/>
      <c r="BX27" s="758"/>
      <c r="BY27" s="759"/>
      <c r="BZ27" s="759"/>
      <c r="CA27" s="759"/>
      <c r="CB27" s="760"/>
      <c r="CC27" s="782"/>
      <c r="CD27" s="783"/>
      <c r="CE27" s="783"/>
      <c r="CF27" s="783"/>
      <c r="CG27" s="783"/>
      <c r="CH27" s="784"/>
      <c r="CI27" s="18"/>
      <c r="CJ27" s="796"/>
      <c r="CK27" s="797"/>
      <c r="CL27" s="797"/>
      <c r="CM27" s="797"/>
      <c r="CN27" s="797"/>
      <c r="CO27" s="798"/>
    </row>
    <row r="28" spans="1:93" ht="15" customHeight="1">
      <c r="A28" s="18"/>
      <c r="B28" s="826"/>
      <c r="C28" s="826"/>
      <c r="D28" s="827"/>
      <c r="E28" s="721"/>
      <c r="F28" s="722"/>
      <c r="G28" s="722"/>
      <c r="H28" s="722"/>
      <c r="I28" s="723"/>
      <c r="J28" s="734" t="e">
        <f>IF(AND(Riesgos!#REF!="Media",Riesgos!#REF!="Leve"),CONCATENATE("R",Riesgos!$A$59),"")</f>
        <v>#REF!</v>
      </c>
      <c r="K28" s="735"/>
      <c r="L28" s="735" t="e">
        <f>IF(AND(Riesgos!#REF!="Media",Riesgos!#REF!="Leve"),CONCATENATE("R",Riesgos!$A$85),"")</f>
        <v>#REF!</v>
      </c>
      <c r="M28" s="735"/>
      <c r="N28" s="735" t="e">
        <f>IF(AND(Riesgos!#REF!="Media",Riesgos!#REF!="Leve"),CONCATENATE("R",Riesgos!$A$91),"")</f>
        <v>#REF!</v>
      </c>
      <c r="O28" s="736"/>
      <c r="P28" s="734" t="e">
        <f>IF(AND(Riesgos!#REF!="Media",Riesgos!#REF!="Menor"),CONCATENATE("R",Riesgos!$A$59),"")</f>
        <v>#REF!</v>
      </c>
      <c r="Q28" s="735"/>
      <c r="R28" s="735" t="e">
        <f>IF(AND(Riesgos!#REF!="Media",Riesgos!#REF!="Menor"),CONCATENATE("R",Riesgos!$A$85),"")</f>
        <v>#REF!</v>
      </c>
      <c r="S28" s="735"/>
      <c r="T28" s="735" t="e">
        <f>IF(AND(Riesgos!#REF!="Media",Riesgos!#REF!="Menor"),CONCATENATE("R",Riesgos!$A$91),"")</f>
        <v>#REF!</v>
      </c>
      <c r="U28" s="736"/>
      <c r="V28" s="734" t="e">
        <f>IF(AND(Riesgos!#REF!="Media",Riesgos!#REF!="Moderado"),CONCATENATE("R",Riesgos!$A$59),"")</f>
        <v>#REF!</v>
      </c>
      <c r="W28" s="735"/>
      <c r="X28" s="735" t="e">
        <f>IF(AND(Riesgos!#REF!="Media",Riesgos!#REF!="Moderado"),CONCATENATE("R",Riesgos!$A$85),"")</f>
        <v>#REF!</v>
      </c>
      <c r="Y28" s="735"/>
      <c r="Z28" s="735" t="e">
        <f>IF(AND(Riesgos!#REF!="Media",Riesgos!#REF!="Moderado"),CONCATENATE("R",Riesgos!$A$91),"")</f>
        <v>#REF!</v>
      </c>
      <c r="AA28" s="736"/>
      <c r="AB28" s="757" t="e">
        <f>IF(AND(Riesgos!#REF!="Media",Riesgos!#REF!="Mayor"),CONCATENATE("R",Riesgos!$A$59),"")</f>
        <v>#REF!</v>
      </c>
      <c r="AC28" s="758"/>
      <c r="AD28" s="759" t="e">
        <f>IF(AND(Riesgos!#REF!="Media",Riesgos!#REF!="Mayor"),CONCATENATE("R",Riesgos!$A$85),"")</f>
        <v>#REF!</v>
      </c>
      <c r="AE28" s="759"/>
      <c r="AF28" s="759" t="e">
        <f>IF(AND(Riesgos!#REF!="Media",Riesgos!#REF!="Mayor"),CONCATENATE("R",Riesgos!$A$91),"")</f>
        <v>#REF!</v>
      </c>
      <c r="AG28" s="760"/>
      <c r="AH28" s="782" t="e">
        <f>IF(AND(Riesgos!#REF!="Media",Riesgos!#REF!="Catastrófico"),CONCATENATE("R",Riesgos!$A$59),"")</f>
        <v>#REF!</v>
      </c>
      <c r="AI28" s="783"/>
      <c r="AJ28" s="783" t="e">
        <f>IF(AND(Riesgos!#REF!="Media",Riesgos!#REF!="Catastrófico"),CONCATENATE("R",Riesgos!$A$85),"")</f>
        <v>#REF!</v>
      </c>
      <c r="AK28" s="783"/>
      <c r="AL28" s="783" t="e">
        <f>IF(AND(Riesgos!#REF!="Media",Riesgos!#REF!="Catastrófico"),CONCATENATE("R",Riesgos!$A$91),"")</f>
        <v>#REF!</v>
      </c>
      <c r="AM28" s="784"/>
      <c r="AN28" s="18"/>
      <c r="AO28" s="796"/>
      <c r="AP28" s="797"/>
      <c r="AQ28" s="797"/>
      <c r="AR28" s="797"/>
      <c r="AS28" s="797"/>
      <c r="AT28" s="798"/>
      <c r="AU28" s="18"/>
      <c r="AV28" s="18"/>
      <c r="AW28" s="826"/>
      <c r="AX28" s="826"/>
      <c r="AY28" s="827"/>
      <c r="AZ28" s="721"/>
      <c r="BA28" s="722"/>
      <c r="BB28" s="722"/>
      <c r="BC28" s="722"/>
      <c r="BD28" s="723"/>
      <c r="BE28" s="781"/>
      <c r="BF28" s="755"/>
      <c r="BG28" s="755"/>
      <c r="BH28" s="755"/>
      <c r="BI28" s="755"/>
      <c r="BJ28" s="756"/>
      <c r="BK28" s="781"/>
      <c r="BL28" s="755"/>
      <c r="BM28" s="755"/>
      <c r="BN28" s="755"/>
      <c r="BO28" s="755"/>
      <c r="BP28" s="756"/>
      <c r="BQ28" s="734"/>
      <c r="BR28" s="735"/>
      <c r="BS28" s="735"/>
      <c r="BT28" s="735"/>
      <c r="BU28" s="735"/>
      <c r="BV28" s="736"/>
      <c r="BW28" s="757"/>
      <c r="BX28" s="758"/>
      <c r="BY28" s="759"/>
      <c r="BZ28" s="759"/>
      <c r="CA28" s="759"/>
      <c r="CB28" s="760"/>
      <c r="CC28" s="782"/>
      <c r="CD28" s="783"/>
      <c r="CE28" s="783"/>
      <c r="CF28" s="783"/>
      <c r="CG28" s="783"/>
      <c r="CH28" s="784"/>
      <c r="CI28" s="18"/>
      <c r="CJ28" s="796"/>
      <c r="CK28" s="797"/>
      <c r="CL28" s="797"/>
      <c r="CM28" s="797"/>
      <c r="CN28" s="797"/>
      <c r="CO28" s="798"/>
    </row>
    <row r="29" spans="1:93" ht="15.75" customHeight="1">
      <c r="A29" s="18"/>
      <c r="B29" s="826"/>
      <c r="C29" s="826"/>
      <c r="D29" s="827"/>
      <c r="E29" s="724"/>
      <c r="F29" s="725"/>
      <c r="G29" s="725"/>
      <c r="H29" s="725"/>
      <c r="I29" s="726"/>
      <c r="J29" s="734"/>
      <c r="K29" s="735"/>
      <c r="L29" s="735"/>
      <c r="M29" s="735"/>
      <c r="N29" s="735"/>
      <c r="O29" s="736"/>
      <c r="P29" s="743"/>
      <c r="Q29" s="744"/>
      <c r="R29" s="744"/>
      <c r="S29" s="744"/>
      <c r="T29" s="744"/>
      <c r="U29" s="745"/>
      <c r="V29" s="743"/>
      <c r="W29" s="744"/>
      <c r="X29" s="744"/>
      <c r="Y29" s="744"/>
      <c r="Z29" s="744"/>
      <c r="AA29" s="745"/>
      <c r="AB29" s="763"/>
      <c r="AC29" s="764"/>
      <c r="AD29" s="764"/>
      <c r="AE29" s="764"/>
      <c r="AF29" s="764"/>
      <c r="AG29" s="765"/>
      <c r="AH29" s="786"/>
      <c r="AI29" s="787"/>
      <c r="AJ29" s="787"/>
      <c r="AK29" s="787"/>
      <c r="AL29" s="787"/>
      <c r="AM29" s="788"/>
      <c r="AN29" s="18"/>
      <c r="AO29" s="799"/>
      <c r="AP29" s="800"/>
      <c r="AQ29" s="800"/>
      <c r="AR29" s="800"/>
      <c r="AS29" s="800"/>
      <c r="AT29" s="801"/>
      <c r="AU29" s="18"/>
      <c r="AV29" s="18"/>
      <c r="AW29" s="826"/>
      <c r="AX29" s="826"/>
      <c r="AY29" s="827"/>
      <c r="AZ29" s="724"/>
      <c r="BA29" s="725"/>
      <c r="BB29" s="725"/>
      <c r="BC29" s="725"/>
      <c r="BD29" s="726"/>
      <c r="BE29" s="781"/>
      <c r="BF29" s="755"/>
      <c r="BG29" s="755"/>
      <c r="BH29" s="755"/>
      <c r="BI29" s="755"/>
      <c r="BJ29" s="756"/>
      <c r="BK29" s="785"/>
      <c r="BL29" s="761"/>
      <c r="BM29" s="761"/>
      <c r="BN29" s="761"/>
      <c r="BO29" s="761"/>
      <c r="BP29" s="762"/>
      <c r="BQ29" s="743"/>
      <c r="BR29" s="744"/>
      <c r="BS29" s="744"/>
      <c r="BT29" s="744"/>
      <c r="BU29" s="744"/>
      <c r="BV29" s="745"/>
      <c r="BW29" s="763"/>
      <c r="BX29" s="764"/>
      <c r="BY29" s="764"/>
      <c r="BZ29" s="764"/>
      <c r="CA29" s="764"/>
      <c r="CB29" s="765"/>
      <c r="CC29" s="786"/>
      <c r="CD29" s="787"/>
      <c r="CE29" s="787"/>
      <c r="CF29" s="787"/>
      <c r="CG29" s="787"/>
      <c r="CH29" s="788"/>
      <c r="CI29" s="18"/>
      <c r="CJ29" s="799"/>
      <c r="CK29" s="800"/>
      <c r="CL29" s="800"/>
      <c r="CM29" s="800"/>
      <c r="CN29" s="800"/>
      <c r="CO29" s="801"/>
    </row>
    <row r="30" spans="1:93" ht="15" customHeight="1">
      <c r="A30" s="18"/>
      <c r="B30" s="826"/>
      <c r="C30" s="826"/>
      <c r="D30" s="827"/>
      <c r="E30" s="718" t="s">
        <v>1532</v>
      </c>
      <c r="F30" s="719"/>
      <c r="G30" s="719"/>
      <c r="H30" s="719"/>
      <c r="I30" s="719"/>
      <c r="J30" s="749" t="e">
        <f>IF(AND(Riesgos!#REF!="Baja",Riesgos!#REF!="Leve"),CONCATENATE("R",Riesgos!$A$7),"")</f>
        <v>#REF!</v>
      </c>
      <c r="K30" s="750"/>
      <c r="L30" s="750" t="e">
        <f>IF(AND(Riesgos!#REF!="Baja",Riesgos!#REF!="Leve"),CONCATENATE("R",Riesgos!$A$13),"")</f>
        <v>#REF!</v>
      </c>
      <c r="M30" s="750"/>
      <c r="N30" s="750" t="e">
        <f>IF(AND(Riesgos!#REF!="Baja",Riesgos!#REF!="Leve"),CONCATENATE("R",Riesgos!$A$19),"")</f>
        <v>#REF!</v>
      </c>
      <c r="O30" s="751"/>
      <c r="P30" s="753" t="e">
        <f>IF(AND(Riesgos!#REF!="Baja",Riesgos!#REF!="Menor"),CONCATENATE("R",Riesgos!$A$7),"")</f>
        <v>#REF!</v>
      </c>
      <c r="Q30" s="753"/>
      <c r="R30" s="753" t="e">
        <f>IF(AND(Riesgos!#REF!="Baja",Riesgos!#REF!="Menor"),CONCATENATE("R",Riesgos!$A$13),"")</f>
        <v>#REF!</v>
      </c>
      <c r="S30" s="753"/>
      <c r="T30" s="753" t="e">
        <f>IF(AND(Riesgos!#REF!="Baja",Riesgos!#REF!="Menor"),CONCATENATE("R",Riesgos!$A$19),"")</f>
        <v>#REF!</v>
      </c>
      <c r="U30" s="754"/>
      <c r="V30" s="752" t="e">
        <f>IF(AND(Riesgos!#REF!="Baja",Riesgos!#REF!="Moderado"),CONCATENATE("R",Riesgos!$A$7),"")</f>
        <v>#REF!</v>
      </c>
      <c r="W30" s="753"/>
      <c r="X30" s="753" t="e">
        <f>IF(AND(Riesgos!#REF!="Baja",Riesgos!#REF!="Moderado"),CONCATENATE("R",Riesgos!$A$13),"")</f>
        <v>#REF!</v>
      </c>
      <c r="Y30" s="753"/>
      <c r="Z30" s="753" t="e">
        <f>IF(AND(Riesgos!#REF!="Baja",Riesgos!#REF!="Moderado"),CONCATENATE("R",Riesgos!$A$19),"")</f>
        <v>#REF!</v>
      </c>
      <c r="AA30" s="754"/>
      <c r="AB30" s="768" t="e">
        <f>IF(AND(Riesgos!#REF!="Baja",Riesgos!#REF!="Mayor"),CONCATENATE("R",Riesgos!$A$7),"")</f>
        <v>#REF!</v>
      </c>
      <c r="AC30" s="769"/>
      <c r="AD30" s="769" t="e">
        <f>IF(AND(Riesgos!#REF!="Baja",Riesgos!#REF!="Mayor"),CONCATENATE("R",Riesgos!$A$13),"")</f>
        <v>#REF!</v>
      </c>
      <c r="AE30" s="769"/>
      <c r="AF30" s="769" t="e">
        <f>IF(AND(Riesgos!#REF!="Baja",Riesgos!#REF!="Mayor"),CONCATENATE("R",Riesgos!$A$19),"")</f>
        <v>#REF!</v>
      </c>
      <c r="AG30" s="770"/>
      <c r="AH30" s="790" t="e">
        <f>IF(AND(Riesgos!#REF!="Baja",Riesgos!#REF!="Catastrófico"),CONCATENATE("R",Riesgos!$A$7),"")</f>
        <v>#REF!</v>
      </c>
      <c r="AI30" s="791"/>
      <c r="AJ30" s="791" t="e">
        <f>IF(AND(Riesgos!#REF!="Baja",Riesgos!#REF!="Catastrófico"),CONCATENATE("R",Riesgos!$A$13),"")</f>
        <v>#REF!</v>
      </c>
      <c r="AK30" s="791"/>
      <c r="AL30" s="791" t="e">
        <f>IF(AND(Riesgos!#REF!="Baja",Riesgos!#REF!="Catastrófico"),CONCATENATE("R",Riesgos!$A$19),"")</f>
        <v>#REF!</v>
      </c>
      <c r="AM30" s="792"/>
      <c r="AN30" s="18"/>
      <c r="AO30" s="771" t="s">
        <v>1515</v>
      </c>
      <c r="AP30" s="772"/>
      <c r="AQ30" s="772"/>
      <c r="AR30" s="772"/>
      <c r="AS30" s="772"/>
      <c r="AT30" s="773"/>
      <c r="AU30" s="18"/>
      <c r="AV30" s="18"/>
      <c r="AW30" s="826"/>
      <c r="AX30" s="826"/>
      <c r="AY30" s="827"/>
      <c r="AZ30" s="718" t="s">
        <v>1486</v>
      </c>
      <c r="BA30" s="719"/>
      <c r="BB30" s="719"/>
      <c r="BC30" s="719"/>
      <c r="BD30" s="719"/>
      <c r="BE30" s="746"/>
      <c r="BF30" s="747"/>
      <c r="BG30" s="747"/>
      <c r="BH30" s="747"/>
      <c r="BI30" s="747"/>
      <c r="BJ30" s="748"/>
      <c r="BK30" s="766"/>
      <c r="BL30" s="766"/>
      <c r="BM30" s="766"/>
      <c r="BN30" s="766"/>
      <c r="BO30" s="766"/>
      <c r="BP30" s="767"/>
      <c r="BQ30" s="749"/>
      <c r="BR30" s="750"/>
      <c r="BS30" s="750"/>
      <c r="BT30" s="750"/>
      <c r="BU30" s="750"/>
      <c r="BV30" s="751"/>
      <c r="BW30" s="752"/>
      <c r="BX30" s="753"/>
      <c r="BY30" s="753"/>
      <c r="BZ30" s="753"/>
      <c r="CA30" s="753"/>
      <c r="CB30" s="754"/>
      <c r="CC30" s="768"/>
      <c r="CD30" s="769"/>
      <c r="CE30" s="769"/>
      <c r="CF30" s="769"/>
      <c r="CG30" s="769"/>
      <c r="CH30" s="770"/>
      <c r="CI30" s="18"/>
      <c r="CJ30" s="771" t="s">
        <v>1515</v>
      </c>
      <c r="CK30" s="772"/>
      <c r="CL30" s="772"/>
      <c r="CM30" s="772"/>
      <c r="CN30" s="772"/>
      <c r="CO30" s="773"/>
    </row>
    <row r="31" spans="1:93" ht="15" customHeight="1">
      <c r="A31" s="18"/>
      <c r="B31" s="826"/>
      <c r="C31" s="826"/>
      <c r="D31" s="827"/>
      <c r="E31" s="721"/>
      <c r="F31" s="722"/>
      <c r="G31" s="722"/>
      <c r="H31" s="722"/>
      <c r="I31" s="780"/>
      <c r="J31" s="731"/>
      <c r="K31" s="732"/>
      <c r="L31" s="732"/>
      <c r="M31" s="732"/>
      <c r="N31" s="732"/>
      <c r="O31" s="733"/>
      <c r="P31" s="735"/>
      <c r="Q31" s="735"/>
      <c r="R31" s="735"/>
      <c r="S31" s="735"/>
      <c r="T31" s="735"/>
      <c r="U31" s="736"/>
      <c r="V31" s="734"/>
      <c r="W31" s="735"/>
      <c r="X31" s="735"/>
      <c r="Y31" s="735"/>
      <c r="Z31" s="735"/>
      <c r="AA31" s="736"/>
      <c r="AB31" s="757"/>
      <c r="AC31" s="758"/>
      <c r="AD31" s="758"/>
      <c r="AE31" s="758"/>
      <c r="AF31" s="758"/>
      <c r="AG31" s="760"/>
      <c r="AH31" s="782"/>
      <c r="AI31" s="783"/>
      <c r="AJ31" s="783"/>
      <c r="AK31" s="783"/>
      <c r="AL31" s="783"/>
      <c r="AM31" s="784"/>
      <c r="AN31" s="18"/>
      <c r="AO31" s="774"/>
      <c r="AP31" s="775"/>
      <c r="AQ31" s="775"/>
      <c r="AR31" s="775"/>
      <c r="AS31" s="775"/>
      <c r="AT31" s="776"/>
      <c r="AU31" s="18"/>
      <c r="AV31" s="18"/>
      <c r="AW31" s="826"/>
      <c r="AX31" s="826"/>
      <c r="AY31" s="827"/>
      <c r="AZ31" s="721"/>
      <c r="BA31" s="722"/>
      <c r="BB31" s="722"/>
      <c r="BC31" s="722"/>
      <c r="BD31" s="780"/>
      <c r="BE31" s="728"/>
      <c r="BF31" s="729"/>
      <c r="BG31" s="729"/>
      <c r="BH31" s="729"/>
      <c r="BI31" s="729"/>
      <c r="BJ31" s="730"/>
      <c r="BK31" s="755"/>
      <c r="BL31" s="755"/>
      <c r="BM31" s="755"/>
      <c r="BN31" s="755"/>
      <c r="BO31" s="755"/>
      <c r="BP31" s="756"/>
      <c r="BQ31" s="731"/>
      <c r="BR31" s="732"/>
      <c r="BS31" s="732"/>
      <c r="BT31" s="732"/>
      <c r="BU31" s="732"/>
      <c r="BV31" s="733"/>
      <c r="BW31" s="734"/>
      <c r="BX31" s="735"/>
      <c r="BY31" s="735"/>
      <c r="BZ31" s="735"/>
      <c r="CA31" s="735"/>
      <c r="CB31" s="736"/>
      <c r="CC31" s="757"/>
      <c r="CD31" s="758"/>
      <c r="CE31" s="758"/>
      <c r="CF31" s="758"/>
      <c r="CG31" s="758"/>
      <c r="CH31" s="760"/>
      <c r="CI31" s="18"/>
      <c r="CJ31" s="774"/>
      <c r="CK31" s="775"/>
      <c r="CL31" s="775"/>
      <c r="CM31" s="775"/>
      <c r="CN31" s="775"/>
      <c r="CO31" s="776"/>
    </row>
    <row r="32" spans="1:93" ht="15" customHeight="1">
      <c r="A32" s="18"/>
      <c r="B32" s="826"/>
      <c r="C32" s="826"/>
      <c r="D32" s="827"/>
      <c r="E32" s="721"/>
      <c r="F32" s="722"/>
      <c r="G32" s="722"/>
      <c r="H32" s="722"/>
      <c r="I32" s="780"/>
      <c r="J32" s="731" t="e">
        <f>IF(AND(Riesgos!#REF!="Baja",Riesgos!#REF!="Leve"),CONCATENATE("R",Riesgos!$A$23),"")</f>
        <v>#REF!</v>
      </c>
      <c r="K32" s="732"/>
      <c r="L32" s="732" t="e">
        <f>IF(AND(Riesgos!#REF!="Baja",Riesgos!#REF!="Leve"),CONCATENATE("R",Riesgos!$A$29),"")</f>
        <v>#REF!</v>
      </c>
      <c r="M32" s="732"/>
      <c r="N32" s="732" t="e">
        <f>IF(AND(Riesgos!#REF!="Baja",Riesgos!#REF!="Leve"),CONCATENATE("R",Riesgos!$A$35),"")</f>
        <v>#REF!</v>
      </c>
      <c r="O32" s="733"/>
      <c r="P32" s="735" t="e">
        <f>IF(AND(Riesgos!#REF!="Baja",Riesgos!#REF!="Menor"),CONCATENATE("R",Riesgos!$A$23),"")</f>
        <v>#REF!</v>
      </c>
      <c r="Q32" s="735"/>
      <c r="R32" s="735" t="e">
        <f>IF(AND(Riesgos!#REF!="Baja",Riesgos!#REF!="Menor"),CONCATENATE("R",Riesgos!$A$29),"")</f>
        <v>#REF!</v>
      </c>
      <c r="S32" s="735"/>
      <c r="T32" s="735" t="e">
        <f>IF(AND(Riesgos!#REF!="Baja",Riesgos!#REF!="Menor"),CONCATENATE("R",Riesgos!$A$35),"")</f>
        <v>#REF!</v>
      </c>
      <c r="U32" s="736"/>
      <c r="V32" s="734" t="e">
        <f>IF(AND(Riesgos!#REF!="Baja",Riesgos!#REF!="Moderado"),CONCATENATE("R",Riesgos!$A$23),"")</f>
        <v>#REF!</v>
      </c>
      <c r="W32" s="735"/>
      <c r="X32" s="735" t="e">
        <f>IF(AND(Riesgos!#REF!="Baja",Riesgos!#REF!="Moderado"),CONCATENATE("R",Riesgos!$A$29),"")</f>
        <v>#REF!</v>
      </c>
      <c r="Y32" s="735"/>
      <c r="Z32" s="735" t="e">
        <f>IF(AND(Riesgos!#REF!="Baja",Riesgos!#REF!="Moderado"),CONCATENATE("R",Riesgos!$A$35),"")</f>
        <v>#REF!</v>
      </c>
      <c r="AA32" s="736"/>
      <c r="AB32" s="757" t="e">
        <f>IF(AND(Riesgos!#REF!="Baja",Riesgos!#REF!="Mayor"),CONCATENATE("R",Riesgos!$A$23),"")</f>
        <v>#REF!</v>
      </c>
      <c r="AC32" s="758"/>
      <c r="AD32" s="759" t="e">
        <f>IF(AND(Riesgos!#REF!="Baja",Riesgos!#REF!="Mayor"),CONCATENATE("R",Riesgos!$A$29),"")</f>
        <v>#REF!</v>
      </c>
      <c r="AE32" s="759"/>
      <c r="AF32" s="759" t="e">
        <f>IF(AND(Riesgos!#REF!="Baja",Riesgos!#REF!="Mayor"),CONCATENATE("R",Riesgos!$A$35),"")</f>
        <v>#REF!</v>
      </c>
      <c r="AG32" s="760"/>
      <c r="AH32" s="782" t="e">
        <f>IF(AND(Riesgos!#REF!="Baja",Riesgos!#REF!="Catastrófico"),CONCATENATE("R",Riesgos!$A$23),"")</f>
        <v>#REF!</v>
      </c>
      <c r="AI32" s="783"/>
      <c r="AJ32" s="783" t="e">
        <f>IF(AND(Riesgos!#REF!="Baja",Riesgos!#REF!="Catastrófico"),CONCATENATE("R",Riesgos!$A$29),"")</f>
        <v>#REF!</v>
      </c>
      <c r="AK32" s="783"/>
      <c r="AL32" s="783" t="e">
        <f>IF(AND(Riesgos!#REF!="Baja",Riesgos!#REF!="Catastrófico"),CONCATENATE("R",Riesgos!$A$35),"")</f>
        <v>#REF!</v>
      </c>
      <c r="AM32" s="784"/>
      <c r="AN32" s="18"/>
      <c r="AO32" s="774"/>
      <c r="AP32" s="775"/>
      <c r="AQ32" s="775"/>
      <c r="AR32" s="775"/>
      <c r="AS32" s="775"/>
      <c r="AT32" s="776"/>
      <c r="AU32" s="18"/>
      <c r="AV32" s="18"/>
      <c r="AW32" s="826"/>
      <c r="AX32" s="826"/>
      <c r="AY32" s="827"/>
      <c r="AZ32" s="721"/>
      <c r="BA32" s="722"/>
      <c r="BB32" s="722"/>
      <c r="BC32" s="722"/>
      <c r="BD32" s="780"/>
      <c r="BE32" s="728"/>
      <c r="BF32" s="729"/>
      <c r="BG32" s="729"/>
      <c r="BH32" s="729"/>
      <c r="BI32" s="729"/>
      <c r="BJ32" s="730"/>
      <c r="BK32" s="755"/>
      <c r="BL32" s="755"/>
      <c r="BM32" s="755"/>
      <c r="BN32" s="755"/>
      <c r="BO32" s="755"/>
      <c r="BP32" s="756"/>
      <c r="BQ32" s="731"/>
      <c r="BR32" s="732"/>
      <c r="BS32" s="732"/>
      <c r="BT32" s="732"/>
      <c r="BU32" s="732"/>
      <c r="BV32" s="733"/>
      <c r="BW32" s="734"/>
      <c r="BX32" s="735"/>
      <c r="BY32" s="735"/>
      <c r="BZ32" s="735"/>
      <c r="CA32" s="735"/>
      <c r="CB32" s="736"/>
      <c r="CC32" s="757"/>
      <c r="CD32" s="758"/>
      <c r="CE32" s="759"/>
      <c r="CF32" s="759"/>
      <c r="CG32" s="759"/>
      <c r="CH32" s="760"/>
      <c r="CI32" s="18"/>
      <c r="CJ32" s="774"/>
      <c r="CK32" s="775"/>
      <c r="CL32" s="775"/>
      <c r="CM32" s="775"/>
      <c r="CN32" s="775"/>
      <c r="CO32" s="776"/>
    </row>
    <row r="33" spans="1:93" ht="15" customHeight="1">
      <c r="A33" s="18"/>
      <c r="B33" s="826"/>
      <c r="C33" s="826"/>
      <c r="D33" s="827"/>
      <c r="E33" s="721"/>
      <c r="F33" s="722"/>
      <c r="G33" s="722"/>
      <c r="H33" s="722"/>
      <c r="I33" s="780"/>
      <c r="J33" s="731"/>
      <c r="K33" s="732"/>
      <c r="L33" s="732"/>
      <c r="M33" s="732"/>
      <c r="N33" s="732"/>
      <c r="O33" s="733"/>
      <c r="P33" s="735"/>
      <c r="Q33" s="735"/>
      <c r="R33" s="735"/>
      <c r="S33" s="735"/>
      <c r="T33" s="735"/>
      <c r="U33" s="736"/>
      <c r="V33" s="734"/>
      <c r="W33" s="735"/>
      <c r="X33" s="735"/>
      <c r="Y33" s="735"/>
      <c r="Z33" s="735"/>
      <c r="AA33" s="736"/>
      <c r="AB33" s="757"/>
      <c r="AC33" s="758"/>
      <c r="AD33" s="759"/>
      <c r="AE33" s="759"/>
      <c r="AF33" s="759"/>
      <c r="AG33" s="760"/>
      <c r="AH33" s="782"/>
      <c r="AI33" s="783"/>
      <c r="AJ33" s="783"/>
      <c r="AK33" s="783"/>
      <c r="AL33" s="783"/>
      <c r="AM33" s="784"/>
      <c r="AN33" s="18"/>
      <c r="AO33" s="774"/>
      <c r="AP33" s="775"/>
      <c r="AQ33" s="775"/>
      <c r="AR33" s="775"/>
      <c r="AS33" s="775"/>
      <c r="AT33" s="776"/>
      <c r="AU33" s="18"/>
      <c r="AV33" s="18"/>
      <c r="AW33" s="826"/>
      <c r="AX33" s="826"/>
      <c r="AY33" s="827"/>
      <c r="AZ33" s="721"/>
      <c r="BA33" s="722"/>
      <c r="BB33" s="722"/>
      <c r="BC33" s="722"/>
      <c r="BD33" s="780"/>
      <c r="BE33" s="728"/>
      <c r="BF33" s="729"/>
      <c r="BG33" s="729"/>
      <c r="BH33" s="729"/>
      <c r="BI33" s="729"/>
      <c r="BJ33" s="730"/>
      <c r="BK33" s="755"/>
      <c r="BL33" s="755"/>
      <c r="BM33" s="755"/>
      <c r="BN33" s="755"/>
      <c r="BO33" s="755"/>
      <c r="BP33" s="756"/>
      <c r="BQ33" s="731"/>
      <c r="BR33" s="732"/>
      <c r="BS33" s="732"/>
      <c r="BT33" s="732"/>
      <c r="BU33" s="732"/>
      <c r="BV33" s="733"/>
      <c r="BW33" s="734"/>
      <c r="BX33" s="735"/>
      <c r="BY33" s="735"/>
      <c r="BZ33" s="735"/>
      <c r="CA33" s="735"/>
      <c r="CB33" s="736"/>
      <c r="CC33" s="757"/>
      <c r="CD33" s="758"/>
      <c r="CE33" s="759"/>
      <c r="CF33" s="759"/>
      <c r="CG33" s="759"/>
      <c r="CH33" s="760"/>
      <c r="CI33" s="18"/>
      <c r="CJ33" s="774"/>
      <c r="CK33" s="775"/>
      <c r="CL33" s="775"/>
      <c r="CM33" s="775"/>
      <c r="CN33" s="775"/>
      <c r="CO33" s="776"/>
    </row>
    <row r="34" spans="1:93" ht="15" customHeight="1">
      <c r="A34" s="18"/>
      <c r="B34" s="826"/>
      <c r="C34" s="826"/>
      <c r="D34" s="827"/>
      <c r="E34" s="721"/>
      <c r="F34" s="722"/>
      <c r="G34" s="722"/>
      <c r="H34" s="722"/>
      <c r="I34" s="780"/>
      <c r="J34" s="731" t="e">
        <f>IF(AND(Riesgos!#REF!="Baja",Riesgos!#REF!="Leve"),CONCATENATE("R",Riesgos!$A$41),"")</f>
        <v>#REF!</v>
      </c>
      <c r="K34" s="732"/>
      <c r="L34" s="732" t="e">
        <f>IF(AND(Riesgos!#REF!="Baja",Riesgos!#REF!="Leve"),CONCATENATE("R",Riesgos!$A$47),"")</f>
        <v>#REF!</v>
      </c>
      <c r="M34" s="732"/>
      <c r="N34" s="732" t="e">
        <f>IF(AND(Riesgos!#REF!="Baja",Riesgos!#REF!="Leve"),CONCATENATE("R",Riesgos!$A$53),"")</f>
        <v>#REF!</v>
      </c>
      <c r="O34" s="733"/>
      <c r="P34" s="735" t="e">
        <f>IF(AND(Riesgos!#REF!="Baja",Riesgos!#REF!="Menor"),CONCATENATE("R",Riesgos!$A$41),"")</f>
        <v>#REF!</v>
      </c>
      <c r="Q34" s="735"/>
      <c r="R34" s="735" t="e">
        <f>IF(AND(Riesgos!#REF!="Baja",Riesgos!#REF!="Menor"),CONCATENATE("R",Riesgos!$A$47),"")</f>
        <v>#REF!</v>
      </c>
      <c r="S34" s="735"/>
      <c r="T34" s="735" t="e">
        <f>IF(AND(Riesgos!#REF!="Baja",Riesgos!#REF!="Menor"),CONCATENATE("R",Riesgos!$A$53),"")</f>
        <v>#REF!</v>
      </c>
      <c r="U34" s="736"/>
      <c r="V34" s="734" t="e">
        <f>IF(AND(Riesgos!#REF!="Baja",Riesgos!#REF!="Moderado"),CONCATENATE("R",Riesgos!$A$41),"")</f>
        <v>#REF!</v>
      </c>
      <c r="W34" s="735"/>
      <c r="X34" s="735" t="e">
        <f>IF(AND(Riesgos!#REF!="Baja",Riesgos!#REF!="Moderado"),CONCATENATE("R",Riesgos!$A$47),"")</f>
        <v>#REF!</v>
      </c>
      <c r="Y34" s="735"/>
      <c r="Z34" s="735" t="e">
        <f>IF(AND(Riesgos!#REF!="Baja",Riesgos!#REF!="Moderado"),CONCATENATE("R",Riesgos!$A$53),"")</f>
        <v>#REF!</v>
      </c>
      <c r="AA34" s="736"/>
      <c r="AB34" s="757" t="e">
        <f>IF(AND(Riesgos!#REF!="Baja",Riesgos!#REF!="Mayor"),CONCATENATE("R",Riesgos!$A$41),"")</f>
        <v>#REF!</v>
      </c>
      <c r="AC34" s="758"/>
      <c r="AD34" s="759" t="e">
        <f>IF(AND(Riesgos!#REF!="Baja",Riesgos!#REF!="Mayor"),CONCATENATE("R",Riesgos!$A$47),"")</f>
        <v>#REF!</v>
      </c>
      <c r="AE34" s="759"/>
      <c r="AF34" s="759" t="e">
        <f>IF(AND(Riesgos!#REF!="Baja",Riesgos!#REF!="Mayor"),CONCATENATE("R",Riesgos!$A$53),"")</f>
        <v>#REF!</v>
      </c>
      <c r="AG34" s="760"/>
      <c r="AH34" s="782" t="e">
        <f>IF(AND(Riesgos!#REF!="Baja",Riesgos!#REF!="Catastrófico"),CONCATENATE("R",Riesgos!$A$41),"")</f>
        <v>#REF!</v>
      </c>
      <c r="AI34" s="783"/>
      <c r="AJ34" s="783" t="e">
        <f>IF(AND(Riesgos!#REF!="Baja",Riesgos!#REF!="Catastrófico"),CONCATENATE("R",Riesgos!$A$47),"")</f>
        <v>#REF!</v>
      </c>
      <c r="AK34" s="783"/>
      <c r="AL34" s="783" t="e">
        <f>IF(AND(Riesgos!#REF!="Baja",Riesgos!#REF!="Catastrófico"),CONCATENATE("R",Riesgos!$A$53),"")</f>
        <v>#REF!</v>
      </c>
      <c r="AM34" s="784"/>
      <c r="AN34" s="18"/>
      <c r="AO34" s="774"/>
      <c r="AP34" s="775"/>
      <c r="AQ34" s="775"/>
      <c r="AR34" s="775"/>
      <c r="AS34" s="775"/>
      <c r="AT34" s="776"/>
      <c r="AU34" s="18"/>
      <c r="AV34" s="18"/>
      <c r="AW34" s="826"/>
      <c r="AX34" s="826"/>
      <c r="AY34" s="827"/>
      <c r="AZ34" s="721"/>
      <c r="BA34" s="722"/>
      <c r="BB34" s="722"/>
      <c r="BC34" s="722"/>
      <c r="BD34" s="780"/>
      <c r="BE34" s="728"/>
      <c r="BF34" s="729"/>
      <c r="BG34" s="729"/>
      <c r="BH34" s="729"/>
      <c r="BI34" s="729"/>
      <c r="BJ34" s="730"/>
      <c r="BK34" s="755"/>
      <c r="BL34" s="755"/>
      <c r="BM34" s="755"/>
      <c r="BN34" s="755"/>
      <c r="BO34" s="755"/>
      <c r="BP34" s="756"/>
      <c r="BQ34" s="731"/>
      <c r="BR34" s="732"/>
      <c r="BS34" s="732"/>
      <c r="BT34" s="732"/>
      <c r="BU34" s="732"/>
      <c r="BV34" s="733"/>
      <c r="BW34" s="734"/>
      <c r="BX34" s="735"/>
      <c r="BY34" s="735"/>
      <c r="BZ34" s="735"/>
      <c r="CA34" s="735"/>
      <c r="CB34" s="736"/>
      <c r="CC34" s="757"/>
      <c r="CD34" s="758"/>
      <c r="CE34" s="759"/>
      <c r="CF34" s="759"/>
      <c r="CG34" s="759"/>
      <c r="CH34" s="760"/>
      <c r="CI34" s="18"/>
      <c r="CJ34" s="774"/>
      <c r="CK34" s="775"/>
      <c r="CL34" s="775"/>
      <c r="CM34" s="775"/>
      <c r="CN34" s="775"/>
      <c r="CO34" s="776"/>
    </row>
    <row r="35" spans="1:93" ht="15" customHeight="1">
      <c r="A35" s="18"/>
      <c r="B35" s="826"/>
      <c r="C35" s="826"/>
      <c r="D35" s="827"/>
      <c r="E35" s="721"/>
      <c r="F35" s="722"/>
      <c r="G35" s="722"/>
      <c r="H35" s="722"/>
      <c r="I35" s="780"/>
      <c r="J35" s="731"/>
      <c r="K35" s="732"/>
      <c r="L35" s="732"/>
      <c r="M35" s="732"/>
      <c r="N35" s="732"/>
      <c r="O35" s="733"/>
      <c r="P35" s="735"/>
      <c r="Q35" s="735"/>
      <c r="R35" s="735"/>
      <c r="S35" s="735"/>
      <c r="T35" s="735"/>
      <c r="U35" s="736"/>
      <c r="V35" s="734"/>
      <c r="W35" s="735"/>
      <c r="X35" s="735"/>
      <c r="Y35" s="735"/>
      <c r="Z35" s="735"/>
      <c r="AA35" s="736"/>
      <c r="AB35" s="757"/>
      <c r="AC35" s="758"/>
      <c r="AD35" s="759"/>
      <c r="AE35" s="759"/>
      <c r="AF35" s="759"/>
      <c r="AG35" s="760"/>
      <c r="AH35" s="782"/>
      <c r="AI35" s="783"/>
      <c r="AJ35" s="783"/>
      <c r="AK35" s="783"/>
      <c r="AL35" s="783"/>
      <c r="AM35" s="784"/>
      <c r="AN35" s="18"/>
      <c r="AO35" s="774"/>
      <c r="AP35" s="775"/>
      <c r="AQ35" s="775"/>
      <c r="AR35" s="775"/>
      <c r="AS35" s="775"/>
      <c r="AT35" s="776"/>
      <c r="AU35" s="18"/>
      <c r="AV35" s="18"/>
      <c r="AW35" s="826"/>
      <c r="AX35" s="826"/>
      <c r="AY35" s="827"/>
      <c r="AZ35" s="721"/>
      <c r="BA35" s="722"/>
      <c r="BB35" s="722"/>
      <c r="BC35" s="722"/>
      <c r="BD35" s="780"/>
      <c r="BE35" s="728"/>
      <c r="BF35" s="729"/>
      <c r="BG35" s="729"/>
      <c r="BH35" s="729"/>
      <c r="BI35" s="729"/>
      <c r="BJ35" s="730"/>
      <c r="BK35" s="755"/>
      <c r="BL35" s="755"/>
      <c r="BM35" s="755"/>
      <c r="BN35" s="755"/>
      <c r="BO35" s="755"/>
      <c r="BP35" s="756"/>
      <c r="BQ35" s="731"/>
      <c r="BR35" s="732"/>
      <c r="BS35" s="732"/>
      <c r="BT35" s="732"/>
      <c r="BU35" s="732"/>
      <c r="BV35" s="733"/>
      <c r="BW35" s="734"/>
      <c r="BX35" s="735"/>
      <c r="BY35" s="735"/>
      <c r="BZ35" s="735"/>
      <c r="CA35" s="735"/>
      <c r="CB35" s="736"/>
      <c r="CC35" s="757"/>
      <c r="CD35" s="758"/>
      <c r="CE35" s="759"/>
      <c r="CF35" s="759"/>
      <c r="CG35" s="759"/>
      <c r="CH35" s="760"/>
      <c r="CI35" s="18"/>
      <c r="CJ35" s="774"/>
      <c r="CK35" s="775"/>
      <c r="CL35" s="775"/>
      <c r="CM35" s="775"/>
      <c r="CN35" s="775"/>
      <c r="CO35" s="776"/>
    </row>
    <row r="36" spans="1:93" ht="15" customHeight="1">
      <c r="A36" s="18"/>
      <c r="B36" s="826"/>
      <c r="C36" s="826"/>
      <c r="D36" s="827"/>
      <c r="E36" s="721"/>
      <c r="F36" s="722"/>
      <c r="G36" s="722"/>
      <c r="H36" s="722"/>
      <c r="I36" s="780"/>
      <c r="J36" s="731" t="e">
        <f>IF(AND(Riesgos!#REF!="Baja",Riesgos!#REF!="Leve"),CONCATENATE("R",Riesgos!$A$59),"")</f>
        <v>#REF!</v>
      </c>
      <c r="K36" s="732"/>
      <c r="L36" s="732" t="e">
        <f>IF(AND(Riesgos!#REF!="Baja",Riesgos!#REF!="Leve"),CONCATENATE("R",Riesgos!$A$85),"")</f>
        <v>#REF!</v>
      </c>
      <c r="M36" s="732"/>
      <c r="N36" s="732" t="e">
        <f>IF(AND(Riesgos!#REF!="Baja",Riesgos!#REF!="Leve"),CONCATENATE("R",Riesgos!$A$91),"")</f>
        <v>#REF!</v>
      </c>
      <c r="O36" s="733"/>
      <c r="P36" s="735" t="e">
        <f>IF(AND(Riesgos!#REF!="Baja",Riesgos!#REF!="Menor"),CONCATENATE("R",Riesgos!$A$59),"")</f>
        <v>#REF!</v>
      </c>
      <c r="Q36" s="735"/>
      <c r="R36" s="735" t="e">
        <f>IF(AND(Riesgos!#REF!="Baja",Riesgos!#REF!="Menor"),CONCATENATE("R",Riesgos!$A$85),"")</f>
        <v>#REF!</v>
      </c>
      <c r="S36" s="735"/>
      <c r="T36" s="735" t="e">
        <f>IF(AND(Riesgos!#REF!="Baja",Riesgos!#REF!="Menor"),CONCATENATE("R",Riesgos!$A$91),"")</f>
        <v>#REF!</v>
      </c>
      <c r="U36" s="736"/>
      <c r="V36" s="734" t="e">
        <f>IF(AND(Riesgos!#REF!="Baja",Riesgos!#REF!="Moderado"),CONCATENATE("R",Riesgos!$A$59),"")</f>
        <v>#REF!</v>
      </c>
      <c r="W36" s="735"/>
      <c r="X36" s="735" t="e">
        <f>IF(AND(Riesgos!#REF!="Baja",Riesgos!#REF!="Moderado"),CONCATENATE("R",Riesgos!$A$85),"")</f>
        <v>#REF!</v>
      </c>
      <c r="Y36" s="735"/>
      <c r="Z36" s="735" t="e">
        <f>IF(AND(Riesgos!#REF!="Baja",Riesgos!#REF!="Moderado"),CONCATENATE("R",Riesgos!$A$91),"")</f>
        <v>#REF!</v>
      </c>
      <c r="AA36" s="736"/>
      <c r="AB36" s="757" t="e">
        <f>IF(AND(Riesgos!#REF!="Baja",Riesgos!#REF!="Mayor"),CONCATENATE("R",Riesgos!$A$59),"")</f>
        <v>#REF!</v>
      </c>
      <c r="AC36" s="758"/>
      <c r="AD36" s="759" t="e">
        <f>IF(AND(Riesgos!#REF!="Baja",Riesgos!#REF!="Mayor"),CONCATENATE("R",Riesgos!$A$85),"")</f>
        <v>#REF!</v>
      </c>
      <c r="AE36" s="759"/>
      <c r="AF36" s="759" t="e">
        <f>IF(AND(Riesgos!#REF!="Baja",Riesgos!#REF!="Mayor"),CONCATENATE("R",Riesgos!$A$91),"")</f>
        <v>#REF!</v>
      </c>
      <c r="AG36" s="760"/>
      <c r="AH36" s="782" t="e">
        <f>IF(AND(Riesgos!#REF!="Baja",Riesgos!#REF!="Catastrófico"),CONCATENATE("R",Riesgos!$A$59),"")</f>
        <v>#REF!</v>
      </c>
      <c r="AI36" s="783"/>
      <c r="AJ36" s="783" t="e">
        <f>IF(AND(Riesgos!#REF!="Baja",Riesgos!#REF!="Catastrófico"),CONCATENATE("R",Riesgos!$A$85),"")</f>
        <v>#REF!</v>
      </c>
      <c r="AK36" s="783"/>
      <c r="AL36" s="783" t="e">
        <f>IF(AND(Riesgos!#REF!="Baja",Riesgos!#REF!="Catastrófico"),CONCATENATE("R",Riesgos!$A$91),"")</f>
        <v>#REF!</v>
      </c>
      <c r="AM36" s="784"/>
      <c r="AN36" s="18"/>
      <c r="AO36" s="774"/>
      <c r="AP36" s="775"/>
      <c r="AQ36" s="775"/>
      <c r="AR36" s="775"/>
      <c r="AS36" s="775"/>
      <c r="AT36" s="776"/>
      <c r="AU36" s="18"/>
      <c r="AV36" s="18"/>
      <c r="AW36" s="826"/>
      <c r="AX36" s="826"/>
      <c r="AY36" s="827"/>
      <c r="AZ36" s="721"/>
      <c r="BA36" s="722"/>
      <c r="BB36" s="722"/>
      <c r="BC36" s="722"/>
      <c r="BD36" s="780"/>
      <c r="BE36" s="728"/>
      <c r="BF36" s="729"/>
      <c r="BG36" s="729"/>
      <c r="BH36" s="729"/>
      <c r="BI36" s="729"/>
      <c r="BJ36" s="730"/>
      <c r="BK36" s="755"/>
      <c r="BL36" s="755"/>
      <c r="BM36" s="755"/>
      <c r="BN36" s="755"/>
      <c r="BO36" s="755"/>
      <c r="BP36" s="756"/>
      <c r="BQ36" s="731"/>
      <c r="BR36" s="732"/>
      <c r="BS36" s="732"/>
      <c r="BT36" s="732"/>
      <c r="BU36" s="732"/>
      <c r="BV36" s="733"/>
      <c r="BW36" s="734"/>
      <c r="BX36" s="735"/>
      <c r="BY36" s="735"/>
      <c r="BZ36" s="735"/>
      <c r="CA36" s="735"/>
      <c r="CB36" s="736"/>
      <c r="CC36" s="757"/>
      <c r="CD36" s="758"/>
      <c r="CE36" s="759"/>
      <c r="CF36" s="759"/>
      <c r="CG36" s="759"/>
      <c r="CH36" s="760"/>
      <c r="CI36" s="18"/>
      <c r="CJ36" s="774"/>
      <c r="CK36" s="775"/>
      <c r="CL36" s="775"/>
      <c r="CM36" s="775"/>
      <c r="CN36" s="775"/>
      <c r="CO36" s="776"/>
    </row>
    <row r="37" spans="1:93" ht="15.75" customHeight="1">
      <c r="A37" s="18"/>
      <c r="B37" s="826"/>
      <c r="C37" s="826"/>
      <c r="D37" s="827"/>
      <c r="E37" s="724"/>
      <c r="F37" s="725"/>
      <c r="G37" s="725"/>
      <c r="H37" s="725"/>
      <c r="I37" s="725"/>
      <c r="J37" s="740"/>
      <c r="K37" s="741"/>
      <c r="L37" s="741"/>
      <c r="M37" s="741"/>
      <c r="N37" s="741"/>
      <c r="O37" s="742"/>
      <c r="P37" s="744"/>
      <c r="Q37" s="744"/>
      <c r="R37" s="744"/>
      <c r="S37" s="744"/>
      <c r="T37" s="744"/>
      <c r="U37" s="745"/>
      <c r="V37" s="743"/>
      <c r="W37" s="744"/>
      <c r="X37" s="744"/>
      <c r="Y37" s="744"/>
      <c r="Z37" s="744"/>
      <c r="AA37" s="745"/>
      <c r="AB37" s="763"/>
      <c r="AC37" s="764"/>
      <c r="AD37" s="764"/>
      <c r="AE37" s="764"/>
      <c r="AF37" s="764"/>
      <c r="AG37" s="765"/>
      <c r="AH37" s="786"/>
      <c r="AI37" s="787"/>
      <c r="AJ37" s="787"/>
      <c r="AK37" s="787"/>
      <c r="AL37" s="787"/>
      <c r="AM37" s="788"/>
      <c r="AN37" s="18"/>
      <c r="AO37" s="777"/>
      <c r="AP37" s="778"/>
      <c r="AQ37" s="778"/>
      <c r="AR37" s="778"/>
      <c r="AS37" s="778"/>
      <c r="AT37" s="779"/>
      <c r="AU37" s="18"/>
      <c r="AV37" s="18"/>
      <c r="AW37" s="826"/>
      <c r="AX37" s="826"/>
      <c r="AY37" s="827"/>
      <c r="AZ37" s="724"/>
      <c r="BA37" s="725"/>
      <c r="BB37" s="725"/>
      <c r="BC37" s="725"/>
      <c r="BD37" s="725"/>
      <c r="BE37" s="737"/>
      <c r="BF37" s="738"/>
      <c r="BG37" s="738"/>
      <c r="BH37" s="738"/>
      <c r="BI37" s="738"/>
      <c r="BJ37" s="739"/>
      <c r="BK37" s="761"/>
      <c r="BL37" s="761"/>
      <c r="BM37" s="761"/>
      <c r="BN37" s="761"/>
      <c r="BO37" s="761"/>
      <c r="BP37" s="762"/>
      <c r="BQ37" s="740"/>
      <c r="BR37" s="741"/>
      <c r="BS37" s="741"/>
      <c r="BT37" s="741"/>
      <c r="BU37" s="741"/>
      <c r="BV37" s="742"/>
      <c r="BW37" s="743"/>
      <c r="BX37" s="744"/>
      <c r="BY37" s="744"/>
      <c r="BZ37" s="744"/>
      <c r="CA37" s="744"/>
      <c r="CB37" s="745"/>
      <c r="CC37" s="763"/>
      <c r="CD37" s="764"/>
      <c r="CE37" s="764"/>
      <c r="CF37" s="764"/>
      <c r="CG37" s="764"/>
      <c r="CH37" s="765"/>
      <c r="CI37" s="18"/>
      <c r="CJ37" s="777"/>
      <c r="CK37" s="778"/>
      <c r="CL37" s="778"/>
      <c r="CM37" s="778"/>
      <c r="CN37" s="778"/>
      <c r="CO37" s="779"/>
    </row>
    <row r="38" spans="1:93" ht="15" customHeight="1">
      <c r="A38" s="18"/>
      <c r="B38" s="826"/>
      <c r="C38" s="826"/>
      <c r="D38" s="827"/>
      <c r="E38" s="718" t="s">
        <v>1533</v>
      </c>
      <c r="F38" s="719"/>
      <c r="G38" s="719"/>
      <c r="H38" s="719"/>
      <c r="I38" s="720"/>
      <c r="J38" s="749" t="e">
        <f>IF(AND(Riesgos!#REF!="Muy Baja",Riesgos!#REF!="Leve"),CONCATENATE("R",Riesgos!$A$7),"")</f>
        <v>#REF!</v>
      </c>
      <c r="K38" s="750"/>
      <c r="L38" s="750" t="e">
        <f>IF(AND(Riesgos!#REF!="Muy Baja",Riesgos!#REF!="Leve"),CONCATENATE("R",Riesgos!$A$13),"")</f>
        <v>#REF!</v>
      </c>
      <c r="M38" s="750"/>
      <c r="N38" s="750" t="e">
        <f>IF(AND(Riesgos!#REF!="Muy Baja",Riesgos!#REF!="Leve"),CONCATENATE("R",Riesgos!$A$19),"")</f>
        <v>#REF!</v>
      </c>
      <c r="O38" s="751"/>
      <c r="P38" s="749" t="e">
        <f>IF(AND(Riesgos!#REF!="Muy Baja",Riesgos!#REF!="Menor"),CONCATENATE("R",Riesgos!$A$7),"")</f>
        <v>#REF!</v>
      </c>
      <c r="Q38" s="750"/>
      <c r="R38" s="750" t="e">
        <f>IF(AND(Riesgos!#REF!="Muy Baja",Riesgos!#REF!="Menor"),CONCATENATE("R",Riesgos!$A$13),"")</f>
        <v>#REF!</v>
      </c>
      <c r="S38" s="750"/>
      <c r="T38" s="750" t="e">
        <f>IF(AND(Riesgos!#REF!="Muy Baja",Riesgos!#REF!="Menor"),CONCATENATE("R",Riesgos!$A$19),"")</f>
        <v>#REF!</v>
      </c>
      <c r="U38" s="751"/>
      <c r="V38" s="752" t="e">
        <f>IF(AND(Riesgos!#REF!="Muy Baja",Riesgos!#REF!="Moderado"),CONCATENATE("R",Riesgos!$A$7),"")</f>
        <v>#REF!</v>
      </c>
      <c r="W38" s="753"/>
      <c r="X38" s="753" t="e">
        <f>IF(AND(Riesgos!#REF!="Muy Baja",Riesgos!#REF!="Moderado"),CONCATENATE("R",Riesgos!$A$13),"")</f>
        <v>#REF!</v>
      </c>
      <c r="Y38" s="753"/>
      <c r="Z38" s="753" t="e">
        <f>IF(AND(Riesgos!#REF!="Muy Baja",Riesgos!#REF!="Moderado"),CONCATENATE("R",Riesgos!$A$19),"")</f>
        <v>#REF!</v>
      </c>
      <c r="AA38" s="754"/>
      <c r="AB38" s="768" t="e">
        <f>IF(AND(Riesgos!#REF!="Muy Baja",Riesgos!#REF!="Mayor"),CONCATENATE("R",Riesgos!$A$7),"")</f>
        <v>#REF!</v>
      </c>
      <c r="AC38" s="769"/>
      <c r="AD38" s="769" t="e">
        <f>IF(AND(Riesgos!#REF!="Muy Baja",Riesgos!#REF!="Mayor"),CONCATENATE("R",Riesgos!$A$13),"")</f>
        <v>#REF!</v>
      </c>
      <c r="AE38" s="769"/>
      <c r="AF38" s="769" t="e">
        <f>IF(AND(Riesgos!#REF!="Muy Baja",Riesgos!#REF!="Mayor"),CONCATENATE("R",Riesgos!$A$19),"")</f>
        <v>#REF!</v>
      </c>
      <c r="AG38" s="770"/>
      <c r="AH38" s="790" t="e">
        <f>IF(AND(Riesgos!#REF!="Muy Baja",Riesgos!#REF!="Catastrófico"),CONCATENATE("R",Riesgos!$A$7),"")</f>
        <v>#REF!</v>
      </c>
      <c r="AI38" s="791"/>
      <c r="AJ38" s="791" t="e">
        <f>IF(AND(Riesgos!#REF!="Muy Baja",Riesgos!#REF!="Catastrófico"),CONCATENATE("R",Riesgos!$A$13),"")</f>
        <v>#REF!</v>
      </c>
      <c r="AK38" s="791"/>
      <c r="AL38" s="791" t="e">
        <f>IF(AND(Riesgos!#REF!="Muy Baja",Riesgos!#REF!="Catastrófico"),CONCATENATE("R",Riesgos!$A$19),"")</f>
        <v>#REF!</v>
      </c>
      <c r="AM38" s="792"/>
      <c r="AN38" s="18"/>
      <c r="AO38" s="18"/>
      <c r="AP38" s="18"/>
      <c r="AQ38" s="18"/>
      <c r="AR38" s="18"/>
      <c r="AS38" s="18"/>
      <c r="AT38" s="18"/>
      <c r="AU38" s="18"/>
      <c r="AV38" s="18"/>
      <c r="AW38" s="826"/>
      <c r="AX38" s="826"/>
      <c r="AY38" s="827"/>
      <c r="AZ38" s="718" t="s">
        <v>1495</v>
      </c>
      <c r="BA38" s="719"/>
      <c r="BB38" s="719"/>
      <c r="BC38" s="719"/>
      <c r="BD38" s="720"/>
      <c r="BE38" s="746"/>
      <c r="BF38" s="747"/>
      <c r="BG38" s="747"/>
      <c r="BH38" s="747"/>
      <c r="BI38" s="747"/>
      <c r="BJ38" s="748"/>
      <c r="BK38" s="746"/>
      <c r="BL38" s="747"/>
      <c r="BM38" s="747"/>
      <c r="BN38" s="747"/>
      <c r="BO38" s="747"/>
      <c r="BP38" s="748"/>
      <c r="BQ38" s="749"/>
      <c r="BR38" s="750"/>
      <c r="BS38" s="750"/>
      <c r="BT38" s="750"/>
      <c r="BU38" s="750"/>
      <c r="BV38" s="751"/>
      <c r="BW38" s="749"/>
      <c r="BX38" s="750"/>
      <c r="BY38" s="750"/>
      <c r="BZ38" s="750"/>
      <c r="CA38" s="750"/>
      <c r="CB38" s="751"/>
      <c r="CC38" s="752"/>
      <c r="CD38" s="753"/>
      <c r="CE38" s="753"/>
      <c r="CF38" s="753"/>
      <c r="CG38" s="753"/>
      <c r="CH38" s="754"/>
      <c r="CI38" s="18"/>
      <c r="CJ38" s="18"/>
      <c r="CK38" s="18"/>
      <c r="CL38" s="18"/>
      <c r="CM38" s="18"/>
      <c r="CN38" s="18"/>
      <c r="CO38" s="18"/>
    </row>
    <row r="39" spans="1:93" ht="15" customHeight="1">
      <c r="A39" s="18"/>
      <c r="B39" s="826"/>
      <c r="C39" s="826"/>
      <c r="D39" s="827"/>
      <c r="E39" s="721"/>
      <c r="F39" s="722"/>
      <c r="G39" s="722"/>
      <c r="H39" s="722"/>
      <c r="I39" s="723"/>
      <c r="J39" s="731"/>
      <c r="K39" s="732"/>
      <c r="L39" s="732"/>
      <c r="M39" s="732"/>
      <c r="N39" s="732"/>
      <c r="O39" s="733"/>
      <c r="P39" s="731"/>
      <c r="Q39" s="732"/>
      <c r="R39" s="732"/>
      <c r="S39" s="732"/>
      <c r="T39" s="732"/>
      <c r="U39" s="733"/>
      <c r="V39" s="734"/>
      <c r="W39" s="735"/>
      <c r="X39" s="735"/>
      <c r="Y39" s="735"/>
      <c r="Z39" s="735"/>
      <c r="AA39" s="736"/>
      <c r="AB39" s="757"/>
      <c r="AC39" s="758"/>
      <c r="AD39" s="758"/>
      <c r="AE39" s="758"/>
      <c r="AF39" s="758"/>
      <c r="AG39" s="760"/>
      <c r="AH39" s="782"/>
      <c r="AI39" s="783"/>
      <c r="AJ39" s="783"/>
      <c r="AK39" s="783"/>
      <c r="AL39" s="783"/>
      <c r="AM39" s="784"/>
      <c r="AN39" s="18"/>
      <c r="AO39" s="18"/>
      <c r="AP39" s="18"/>
      <c r="AQ39" s="18"/>
      <c r="AR39" s="18"/>
      <c r="AS39" s="18"/>
      <c r="AT39" s="18"/>
      <c r="AU39" s="18"/>
      <c r="AV39" s="18"/>
      <c r="AW39" s="826"/>
      <c r="AX39" s="826"/>
      <c r="AY39" s="827"/>
      <c r="AZ39" s="721"/>
      <c r="BA39" s="722"/>
      <c r="BB39" s="722"/>
      <c r="BC39" s="722"/>
      <c r="BD39" s="723"/>
      <c r="BE39" s="728"/>
      <c r="BF39" s="729"/>
      <c r="BG39" s="729"/>
      <c r="BH39" s="729"/>
      <c r="BI39" s="729"/>
      <c r="BJ39" s="730"/>
      <c r="BK39" s="728"/>
      <c r="BL39" s="729"/>
      <c r="BM39" s="729"/>
      <c r="BN39" s="729"/>
      <c r="BO39" s="729"/>
      <c r="BP39" s="730"/>
      <c r="BQ39" s="731"/>
      <c r="BR39" s="732"/>
      <c r="BS39" s="732"/>
      <c r="BT39" s="732"/>
      <c r="BU39" s="732"/>
      <c r="BV39" s="733"/>
      <c r="BW39" s="731"/>
      <c r="BX39" s="732"/>
      <c r="BY39" s="732"/>
      <c r="BZ39" s="732"/>
      <c r="CA39" s="732"/>
      <c r="CB39" s="733"/>
      <c r="CC39" s="734"/>
      <c r="CD39" s="735"/>
      <c r="CE39" s="735"/>
      <c r="CF39" s="735"/>
      <c r="CG39" s="735"/>
      <c r="CH39" s="736"/>
      <c r="CI39" s="18"/>
      <c r="CJ39" s="18"/>
      <c r="CK39" s="18"/>
      <c r="CL39" s="18"/>
      <c r="CM39" s="18"/>
      <c r="CN39" s="18"/>
      <c r="CO39" s="18"/>
    </row>
    <row r="40" spans="1:93" ht="15" customHeight="1">
      <c r="A40" s="18"/>
      <c r="B40" s="826"/>
      <c r="C40" s="826"/>
      <c r="D40" s="827"/>
      <c r="E40" s="721"/>
      <c r="F40" s="722"/>
      <c r="G40" s="722"/>
      <c r="H40" s="722"/>
      <c r="I40" s="723"/>
      <c r="J40" s="731" t="e">
        <f>IF(AND(Riesgos!#REF!="Muy Baja",Riesgos!#REF!="Leve"),CONCATENATE("R",Riesgos!$A$23),"")</f>
        <v>#REF!</v>
      </c>
      <c r="K40" s="732"/>
      <c r="L40" s="732" t="e">
        <f>IF(AND(Riesgos!#REF!="Muy Baja",Riesgos!#REF!="Leve"),CONCATENATE("R",Riesgos!$A$29),"")</f>
        <v>#REF!</v>
      </c>
      <c r="M40" s="732"/>
      <c r="N40" s="732" t="e">
        <f>IF(AND(Riesgos!#REF!="Muy Baja",Riesgos!#REF!="Leve"),CONCATENATE("R",Riesgos!$A$35),"")</f>
        <v>#REF!</v>
      </c>
      <c r="O40" s="733"/>
      <c r="P40" s="731" t="e">
        <f>IF(AND(Riesgos!#REF!="Muy Baja",Riesgos!#REF!="Menor"),CONCATENATE("R",Riesgos!$A$23),"")</f>
        <v>#REF!</v>
      </c>
      <c r="Q40" s="732"/>
      <c r="R40" s="732" t="e">
        <f>IF(AND(Riesgos!#REF!="Muy Baja",Riesgos!#REF!="Menor"),CONCATENATE("R",Riesgos!$A$29),"")</f>
        <v>#REF!</v>
      </c>
      <c r="S40" s="732"/>
      <c r="T40" s="732" t="e">
        <f>IF(AND(Riesgos!#REF!="Muy Baja",Riesgos!#REF!="Menor"),CONCATENATE("R",Riesgos!$A$35),"")</f>
        <v>#REF!</v>
      </c>
      <c r="U40" s="733"/>
      <c r="V40" s="734" t="e">
        <f>IF(AND(Riesgos!#REF!="Muy Baja",Riesgos!#REF!="Moderado"),CONCATENATE("R",Riesgos!$A$23),"")</f>
        <v>#REF!</v>
      </c>
      <c r="W40" s="735"/>
      <c r="X40" s="735" t="e">
        <f>IF(AND(Riesgos!#REF!="Muy Baja",Riesgos!#REF!="Moderado"),CONCATENATE("R",Riesgos!$A$29),"")</f>
        <v>#REF!</v>
      </c>
      <c r="Y40" s="735"/>
      <c r="Z40" s="735" t="e">
        <f>IF(AND(Riesgos!#REF!="Muy Baja",Riesgos!#REF!="Moderado"),CONCATENATE("R",Riesgos!$A$35),"")</f>
        <v>#REF!</v>
      </c>
      <c r="AA40" s="736"/>
      <c r="AB40" s="757" t="e">
        <f>IF(AND(Riesgos!#REF!="Muy Baja",Riesgos!#REF!="Mayor"),CONCATENATE("R",Riesgos!$A$23),"")</f>
        <v>#REF!</v>
      </c>
      <c r="AC40" s="758"/>
      <c r="AD40" s="759" t="e">
        <f>IF(AND(Riesgos!#REF!="Muy Baja",Riesgos!#REF!="Mayor"),CONCATENATE("R",Riesgos!$A$29),"")</f>
        <v>#REF!</v>
      </c>
      <c r="AE40" s="759"/>
      <c r="AF40" s="759" t="e">
        <f>IF(AND(Riesgos!#REF!="Muy Baja",Riesgos!#REF!="Mayor"),CONCATENATE("R",Riesgos!$A$35),"")</f>
        <v>#REF!</v>
      </c>
      <c r="AG40" s="760"/>
      <c r="AH40" s="782" t="e">
        <f>IF(AND(Riesgos!#REF!="Muy Baja",Riesgos!#REF!="Catastrófico"),CONCATENATE("R",Riesgos!$A$23),"")</f>
        <v>#REF!</v>
      </c>
      <c r="AI40" s="783"/>
      <c r="AJ40" s="783" t="e">
        <f>IF(AND(Riesgos!#REF!="Muy Baja",Riesgos!#REF!="Catastrófico"),CONCATENATE("R",Riesgos!$A$29),"")</f>
        <v>#REF!</v>
      </c>
      <c r="AK40" s="783"/>
      <c r="AL40" s="783" t="e">
        <f>IF(AND(Riesgos!#REF!="Muy Baja",Riesgos!#REF!="Catastrófico"),CONCATENATE("R",Riesgos!$A$35),"")</f>
        <v>#REF!</v>
      </c>
      <c r="AM40" s="784"/>
      <c r="AN40" s="18"/>
      <c r="AO40" s="18"/>
      <c r="AP40" s="18"/>
      <c r="AQ40" s="18"/>
      <c r="AR40" s="18"/>
      <c r="AS40" s="18"/>
      <c r="AT40" s="18"/>
      <c r="AU40" s="18"/>
      <c r="AV40" s="18"/>
      <c r="AW40" s="826"/>
      <c r="AX40" s="826"/>
      <c r="AY40" s="827"/>
      <c r="AZ40" s="721"/>
      <c r="BA40" s="722"/>
      <c r="BB40" s="722"/>
      <c r="BC40" s="722"/>
      <c r="BD40" s="723"/>
      <c r="BE40" s="728"/>
      <c r="BF40" s="729"/>
      <c r="BG40" s="729"/>
      <c r="BH40" s="729"/>
      <c r="BI40" s="729"/>
      <c r="BJ40" s="730"/>
      <c r="BK40" s="728"/>
      <c r="BL40" s="729"/>
      <c r="BM40" s="729"/>
      <c r="BN40" s="729"/>
      <c r="BO40" s="729"/>
      <c r="BP40" s="730"/>
      <c r="BQ40" s="731"/>
      <c r="BR40" s="732"/>
      <c r="BS40" s="732"/>
      <c r="BT40" s="732"/>
      <c r="BU40" s="732"/>
      <c r="BV40" s="733"/>
      <c r="BW40" s="731"/>
      <c r="BX40" s="732"/>
      <c r="BY40" s="732"/>
      <c r="BZ40" s="732"/>
      <c r="CA40" s="732"/>
      <c r="CB40" s="733"/>
      <c r="CC40" s="734"/>
      <c r="CD40" s="735"/>
      <c r="CE40" s="735"/>
      <c r="CF40" s="735"/>
      <c r="CG40" s="735"/>
      <c r="CH40" s="736"/>
      <c r="CI40" s="18"/>
      <c r="CJ40" s="18"/>
      <c r="CK40" s="18"/>
      <c r="CL40" s="18"/>
      <c r="CM40" s="18"/>
      <c r="CN40" s="18"/>
      <c r="CO40" s="18"/>
    </row>
    <row r="41" spans="1:93" ht="15" customHeight="1">
      <c r="A41" s="18"/>
      <c r="B41" s="826"/>
      <c r="C41" s="826"/>
      <c r="D41" s="827"/>
      <c r="E41" s="721"/>
      <c r="F41" s="722"/>
      <c r="G41" s="722"/>
      <c r="H41" s="722"/>
      <c r="I41" s="723"/>
      <c r="J41" s="731"/>
      <c r="K41" s="732"/>
      <c r="L41" s="732"/>
      <c r="M41" s="732"/>
      <c r="N41" s="732"/>
      <c r="O41" s="733"/>
      <c r="P41" s="731"/>
      <c r="Q41" s="732"/>
      <c r="R41" s="732"/>
      <c r="S41" s="732"/>
      <c r="T41" s="732"/>
      <c r="U41" s="733"/>
      <c r="V41" s="734"/>
      <c r="W41" s="735"/>
      <c r="X41" s="735"/>
      <c r="Y41" s="735"/>
      <c r="Z41" s="735"/>
      <c r="AA41" s="736"/>
      <c r="AB41" s="757"/>
      <c r="AC41" s="758"/>
      <c r="AD41" s="759"/>
      <c r="AE41" s="759"/>
      <c r="AF41" s="759"/>
      <c r="AG41" s="760"/>
      <c r="AH41" s="782"/>
      <c r="AI41" s="783"/>
      <c r="AJ41" s="783"/>
      <c r="AK41" s="783"/>
      <c r="AL41" s="783"/>
      <c r="AM41" s="784"/>
      <c r="AN41" s="18"/>
      <c r="AO41" s="18"/>
      <c r="AP41" s="18"/>
      <c r="AQ41" s="18"/>
      <c r="AR41" s="18"/>
      <c r="AS41" s="18"/>
      <c r="AT41" s="18"/>
      <c r="AU41" s="18"/>
      <c r="AV41" s="18"/>
      <c r="AW41" s="826"/>
      <c r="AX41" s="826"/>
      <c r="AY41" s="827"/>
      <c r="AZ41" s="721"/>
      <c r="BA41" s="722"/>
      <c r="BB41" s="722"/>
      <c r="BC41" s="722"/>
      <c r="BD41" s="723"/>
      <c r="BE41" s="728"/>
      <c r="BF41" s="729"/>
      <c r="BG41" s="729"/>
      <c r="BH41" s="729"/>
      <c r="BI41" s="729"/>
      <c r="BJ41" s="730"/>
      <c r="BK41" s="728"/>
      <c r="BL41" s="729"/>
      <c r="BM41" s="729"/>
      <c r="BN41" s="729"/>
      <c r="BO41" s="729"/>
      <c r="BP41" s="730"/>
      <c r="BQ41" s="731"/>
      <c r="BR41" s="732"/>
      <c r="BS41" s="732"/>
      <c r="BT41" s="732"/>
      <c r="BU41" s="732"/>
      <c r="BV41" s="733"/>
      <c r="BW41" s="731"/>
      <c r="BX41" s="732"/>
      <c r="BY41" s="732"/>
      <c r="BZ41" s="732"/>
      <c r="CA41" s="732"/>
      <c r="CB41" s="733"/>
      <c r="CC41" s="734"/>
      <c r="CD41" s="735"/>
      <c r="CE41" s="735"/>
      <c r="CF41" s="735"/>
      <c r="CG41" s="735"/>
      <c r="CH41" s="736"/>
      <c r="CI41" s="18"/>
      <c r="CJ41" s="18"/>
      <c r="CK41" s="18"/>
      <c r="CL41" s="18"/>
      <c r="CM41" s="18"/>
      <c r="CN41" s="18"/>
      <c r="CO41" s="18"/>
    </row>
    <row r="42" spans="1:93" ht="15" customHeight="1">
      <c r="A42" s="18"/>
      <c r="B42" s="826"/>
      <c r="C42" s="826"/>
      <c r="D42" s="827"/>
      <c r="E42" s="721"/>
      <c r="F42" s="722"/>
      <c r="G42" s="722"/>
      <c r="H42" s="722"/>
      <c r="I42" s="723"/>
      <c r="J42" s="731" t="e">
        <f>IF(AND(Riesgos!#REF!="Muy Baja",Riesgos!#REF!="Leve"),CONCATENATE("R",Riesgos!$A$41),"")</f>
        <v>#REF!</v>
      </c>
      <c r="K42" s="732"/>
      <c r="L42" s="732" t="e">
        <f>IF(AND(Riesgos!#REF!="Muy Baja",Riesgos!#REF!="Leve"),CONCATENATE("R",Riesgos!$A$47),"")</f>
        <v>#REF!</v>
      </c>
      <c r="M42" s="732"/>
      <c r="N42" s="732" t="e">
        <f>IF(AND(Riesgos!#REF!="Muy Baja",Riesgos!#REF!="Leve"),CONCATENATE("R",Riesgos!$A$53),"")</f>
        <v>#REF!</v>
      </c>
      <c r="O42" s="733"/>
      <c r="P42" s="731" t="e">
        <f>IF(AND(Riesgos!#REF!="Muy Baja",Riesgos!#REF!="Menor"),CONCATENATE("R",Riesgos!$A$41),"")</f>
        <v>#REF!</v>
      </c>
      <c r="Q42" s="732"/>
      <c r="R42" s="732" t="e">
        <f>IF(AND(Riesgos!#REF!="Muy Baja",Riesgos!#REF!="Menor"),CONCATENATE("R",Riesgos!$A$47),"")</f>
        <v>#REF!</v>
      </c>
      <c r="S42" s="732"/>
      <c r="T42" s="732" t="e">
        <f>IF(AND(Riesgos!#REF!="Muy Baja",Riesgos!#REF!="Menor"),CONCATENATE("R",Riesgos!$A$53),"")</f>
        <v>#REF!</v>
      </c>
      <c r="U42" s="733"/>
      <c r="V42" s="734" t="e">
        <f>IF(AND(Riesgos!#REF!="Muy Baja",Riesgos!#REF!="Moderado"),CONCATENATE("R",Riesgos!$A$41),"")</f>
        <v>#REF!</v>
      </c>
      <c r="W42" s="735"/>
      <c r="X42" s="735" t="e">
        <f>IF(AND(Riesgos!#REF!="Muy Baja",Riesgos!#REF!="Moderado"),CONCATENATE("R",Riesgos!$A$47),"")</f>
        <v>#REF!</v>
      </c>
      <c r="Y42" s="735"/>
      <c r="Z42" s="735" t="e">
        <f>IF(AND(Riesgos!#REF!="Muy Baja",Riesgos!#REF!="Moderado"),CONCATENATE("R",Riesgos!$A$53),"")</f>
        <v>#REF!</v>
      </c>
      <c r="AA42" s="736"/>
      <c r="AB42" s="757" t="e">
        <f>IF(AND(Riesgos!#REF!="Muy Baja",Riesgos!#REF!="Mayor"),CONCATENATE("R",Riesgos!$A$41),"")</f>
        <v>#REF!</v>
      </c>
      <c r="AC42" s="758"/>
      <c r="AD42" s="759" t="e">
        <f>IF(AND(Riesgos!#REF!="Muy Baja",Riesgos!#REF!="Mayor"),CONCATENATE("R",Riesgos!$A$47),"")</f>
        <v>#REF!</v>
      </c>
      <c r="AE42" s="759"/>
      <c r="AF42" s="759" t="e">
        <f>IF(AND(Riesgos!#REF!="Muy Baja",Riesgos!#REF!="Mayor"),CONCATENATE("R",Riesgos!$A$53),"")</f>
        <v>#REF!</v>
      </c>
      <c r="AG42" s="760"/>
      <c r="AH42" s="782" t="e">
        <f>IF(AND(Riesgos!#REF!="Muy Baja",Riesgos!#REF!="Catastrófico"),CONCATENATE("R",Riesgos!$A$41),"")</f>
        <v>#REF!</v>
      </c>
      <c r="AI42" s="783"/>
      <c r="AJ42" s="783" t="e">
        <f>IF(AND(Riesgos!#REF!="Muy Baja",Riesgos!#REF!="Catastrófico"),CONCATENATE("R",Riesgos!$A$47),"")</f>
        <v>#REF!</v>
      </c>
      <c r="AK42" s="783"/>
      <c r="AL42" s="783" t="e">
        <f>IF(AND(Riesgos!#REF!="Muy Baja",Riesgos!#REF!="Catastrófico"),CONCATENATE("R",Riesgos!$A$53),"")</f>
        <v>#REF!</v>
      </c>
      <c r="AM42" s="784"/>
      <c r="AN42" s="18"/>
      <c r="AO42" s="18"/>
      <c r="AP42" s="18"/>
      <c r="AQ42" s="18"/>
      <c r="AR42" s="18"/>
      <c r="AS42" s="18"/>
      <c r="AT42" s="18"/>
      <c r="AU42" s="18"/>
      <c r="AV42" s="18"/>
      <c r="AW42" s="826"/>
      <c r="AX42" s="826"/>
      <c r="AY42" s="827"/>
      <c r="AZ42" s="721"/>
      <c r="BA42" s="722"/>
      <c r="BB42" s="722"/>
      <c r="BC42" s="722"/>
      <c r="BD42" s="723"/>
      <c r="BE42" s="728"/>
      <c r="BF42" s="729"/>
      <c r="BG42" s="729"/>
      <c r="BH42" s="729"/>
      <c r="BI42" s="729"/>
      <c r="BJ42" s="730"/>
      <c r="BK42" s="728"/>
      <c r="BL42" s="729"/>
      <c r="BM42" s="729"/>
      <c r="BN42" s="729"/>
      <c r="BO42" s="729"/>
      <c r="BP42" s="730"/>
      <c r="BQ42" s="731"/>
      <c r="BR42" s="732"/>
      <c r="BS42" s="732"/>
      <c r="BT42" s="732"/>
      <c r="BU42" s="732"/>
      <c r="BV42" s="733"/>
      <c r="BW42" s="731"/>
      <c r="BX42" s="732"/>
      <c r="BY42" s="732"/>
      <c r="BZ42" s="732"/>
      <c r="CA42" s="732"/>
      <c r="CB42" s="733"/>
      <c r="CC42" s="734"/>
      <c r="CD42" s="735"/>
      <c r="CE42" s="735"/>
      <c r="CF42" s="735"/>
      <c r="CG42" s="735"/>
      <c r="CH42" s="736"/>
      <c r="CI42" s="18"/>
      <c r="CJ42" s="18"/>
      <c r="CK42" s="18"/>
      <c r="CL42" s="18"/>
      <c r="CM42" s="18"/>
      <c r="CN42" s="18"/>
      <c r="CO42" s="18"/>
    </row>
    <row r="43" spans="1:93" ht="15" customHeight="1">
      <c r="A43" s="18"/>
      <c r="B43" s="826"/>
      <c r="C43" s="826"/>
      <c r="D43" s="827"/>
      <c r="E43" s="721"/>
      <c r="F43" s="722"/>
      <c r="G43" s="722"/>
      <c r="H43" s="722"/>
      <c r="I43" s="723"/>
      <c r="J43" s="731"/>
      <c r="K43" s="732"/>
      <c r="L43" s="732"/>
      <c r="M43" s="732"/>
      <c r="N43" s="732"/>
      <c r="O43" s="733"/>
      <c r="P43" s="731"/>
      <c r="Q43" s="732"/>
      <c r="R43" s="732"/>
      <c r="S43" s="732"/>
      <c r="T43" s="732"/>
      <c r="U43" s="733"/>
      <c r="V43" s="734"/>
      <c r="W43" s="735"/>
      <c r="X43" s="735"/>
      <c r="Y43" s="735"/>
      <c r="Z43" s="735"/>
      <c r="AA43" s="736"/>
      <c r="AB43" s="757"/>
      <c r="AC43" s="758"/>
      <c r="AD43" s="759"/>
      <c r="AE43" s="759"/>
      <c r="AF43" s="759"/>
      <c r="AG43" s="760"/>
      <c r="AH43" s="782"/>
      <c r="AI43" s="783"/>
      <c r="AJ43" s="783"/>
      <c r="AK43" s="783"/>
      <c r="AL43" s="783"/>
      <c r="AM43" s="784"/>
      <c r="AN43" s="18"/>
      <c r="AO43" s="18"/>
      <c r="AP43" s="18"/>
      <c r="AQ43" s="18"/>
      <c r="AR43" s="18"/>
      <c r="AS43" s="18"/>
      <c r="AT43" s="18"/>
      <c r="AU43" s="18"/>
      <c r="AV43" s="18"/>
      <c r="AW43" s="826"/>
      <c r="AX43" s="826"/>
      <c r="AY43" s="827"/>
      <c r="AZ43" s="721"/>
      <c r="BA43" s="722"/>
      <c r="BB43" s="722"/>
      <c r="BC43" s="722"/>
      <c r="BD43" s="723"/>
      <c r="BE43" s="728"/>
      <c r="BF43" s="729"/>
      <c r="BG43" s="729"/>
      <c r="BH43" s="729"/>
      <c r="BI43" s="729"/>
      <c r="BJ43" s="730"/>
      <c r="BK43" s="728"/>
      <c r="BL43" s="729"/>
      <c r="BM43" s="729"/>
      <c r="BN43" s="729"/>
      <c r="BO43" s="729"/>
      <c r="BP43" s="730"/>
      <c r="BQ43" s="731"/>
      <c r="BR43" s="732"/>
      <c r="BS43" s="732"/>
      <c r="BT43" s="732"/>
      <c r="BU43" s="732"/>
      <c r="BV43" s="733"/>
      <c r="BW43" s="731"/>
      <c r="BX43" s="732"/>
      <c r="BY43" s="732"/>
      <c r="BZ43" s="732"/>
      <c r="CA43" s="732"/>
      <c r="CB43" s="733"/>
      <c r="CC43" s="734"/>
      <c r="CD43" s="735"/>
      <c r="CE43" s="735"/>
      <c r="CF43" s="735"/>
      <c r="CG43" s="735"/>
      <c r="CH43" s="736"/>
      <c r="CI43" s="18"/>
      <c r="CJ43" s="18"/>
      <c r="CK43" s="18"/>
      <c r="CL43" s="18"/>
      <c r="CM43" s="18"/>
      <c r="CN43" s="18"/>
      <c r="CO43" s="18"/>
    </row>
    <row r="44" spans="1:93" ht="15" customHeight="1">
      <c r="A44" s="18"/>
      <c r="B44" s="826"/>
      <c r="C44" s="826"/>
      <c r="D44" s="827"/>
      <c r="E44" s="721"/>
      <c r="F44" s="722"/>
      <c r="G44" s="722"/>
      <c r="H44" s="722"/>
      <c r="I44" s="723"/>
      <c r="J44" s="731" t="e">
        <f>IF(AND(Riesgos!#REF!="Muy Baja",Riesgos!#REF!="Leve"),CONCATENATE("R",Riesgos!$A$59),"")</f>
        <v>#REF!</v>
      </c>
      <c r="K44" s="732"/>
      <c r="L44" s="732" t="e">
        <f>IF(AND(Riesgos!#REF!="Muy Baja",Riesgos!#REF!="Leve"),CONCATENATE("R",Riesgos!$A$85),"")</f>
        <v>#REF!</v>
      </c>
      <c r="M44" s="732"/>
      <c r="N44" s="732" t="e">
        <f>IF(AND(Riesgos!#REF!="Muy Baja",Riesgos!#REF!="Leve"),CONCATENATE("R",Riesgos!$A$91),"")</f>
        <v>#REF!</v>
      </c>
      <c r="O44" s="733"/>
      <c r="P44" s="731" t="e">
        <f>IF(AND(Riesgos!#REF!="Muy Baja",Riesgos!#REF!="Menor"),CONCATENATE("R",Riesgos!$A$59),"")</f>
        <v>#REF!</v>
      </c>
      <c r="Q44" s="732"/>
      <c r="R44" s="732" t="e">
        <f>IF(AND(Riesgos!#REF!="Muy Baja",Riesgos!#REF!="Menor"),CONCATENATE("R",Riesgos!$A$85),"")</f>
        <v>#REF!</v>
      </c>
      <c r="S44" s="732"/>
      <c r="T44" s="732" t="e">
        <f>IF(AND(Riesgos!#REF!="Muy Baja",Riesgos!#REF!="Menor"),CONCATENATE("R",Riesgos!$A$91),"")</f>
        <v>#REF!</v>
      </c>
      <c r="U44" s="733"/>
      <c r="V44" s="734" t="e">
        <f>IF(AND(Riesgos!#REF!="Muy Baja",Riesgos!#REF!="Moderado"),CONCATENATE("R",Riesgos!$A$59),"")</f>
        <v>#REF!</v>
      </c>
      <c r="W44" s="735"/>
      <c r="X44" s="735" t="e">
        <f>IF(AND(Riesgos!#REF!="Muy Baja",Riesgos!#REF!="Moderado"),CONCATENATE("R",Riesgos!$A$85),"")</f>
        <v>#REF!</v>
      </c>
      <c r="Y44" s="735"/>
      <c r="Z44" s="735" t="e">
        <f>IF(AND(Riesgos!#REF!="Muy Baja",Riesgos!#REF!="Moderado"),CONCATENATE("R",Riesgos!$A$91),"")</f>
        <v>#REF!</v>
      </c>
      <c r="AA44" s="736"/>
      <c r="AB44" s="757" t="e">
        <f>IF(AND(Riesgos!#REF!="Muy Baja",Riesgos!#REF!="Mayor"),CONCATENATE("R",Riesgos!$A$59),"")</f>
        <v>#REF!</v>
      </c>
      <c r="AC44" s="758"/>
      <c r="AD44" s="759" t="e">
        <f>IF(AND(Riesgos!#REF!="Muy Baja",Riesgos!#REF!="Mayor"),CONCATENATE("R",Riesgos!$A$85),"")</f>
        <v>#REF!</v>
      </c>
      <c r="AE44" s="759"/>
      <c r="AF44" s="759" t="e">
        <f>IF(AND(Riesgos!#REF!="Muy Baja",Riesgos!#REF!="Mayor"),CONCATENATE("R",Riesgos!$A$91),"")</f>
        <v>#REF!</v>
      </c>
      <c r="AG44" s="760"/>
      <c r="AH44" s="782" t="e">
        <f>IF(AND(Riesgos!#REF!="Muy Baja",Riesgos!#REF!="Catastrófico"),CONCATENATE("R",Riesgos!$A$59),"")</f>
        <v>#REF!</v>
      </c>
      <c r="AI44" s="783"/>
      <c r="AJ44" s="783" t="e">
        <f>IF(AND(Riesgos!#REF!="Muy Baja",Riesgos!#REF!="Catastrófico"),CONCATENATE("R",Riesgos!$A$85),"")</f>
        <v>#REF!</v>
      </c>
      <c r="AK44" s="783"/>
      <c r="AL44" s="783" t="e">
        <f>IF(AND(Riesgos!#REF!="Muy Baja",Riesgos!#REF!="Catastrófico"),CONCATENATE("R",Riesgos!$A$91),"")</f>
        <v>#REF!</v>
      </c>
      <c r="AM44" s="784"/>
      <c r="AN44" s="18"/>
      <c r="AO44" s="18"/>
      <c r="AP44" s="18"/>
      <c r="AQ44" s="18"/>
      <c r="AR44" s="18"/>
      <c r="AS44" s="18"/>
      <c r="AT44" s="18"/>
      <c r="AU44" s="18"/>
      <c r="AV44" s="18"/>
      <c r="AW44" s="826"/>
      <c r="AX44" s="826"/>
      <c r="AY44" s="827"/>
      <c r="AZ44" s="721"/>
      <c r="BA44" s="722"/>
      <c r="BB44" s="722"/>
      <c r="BC44" s="722"/>
      <c r="BD44" s="723"/>
      <c r="BE44" s="728"/>
      <c r="BF44" s="729"/>
      <c r="BG44" s="729"/>
      <c r="BH44" s="729"/>
      <c r="BI44" s="729"/>
      <c r="BJ44" s="730"/>
      <c r="BK44" s="728"/>
      <c r="BL44" s="729"/>
      <c r="BM44" s="729"/>
      <c r="BN44" s="729"/>
      <c r="BO44" s="729"/>
      <c r="BP44" s="730"/>
      <c r="BQ44" s="731"/>
      <c r="BR44" s="732"/>
      <c r="BS44" s="732"/>
      <c r="BT44" s="732"/>
      <c r="BU44" s="732"/>
      <c r="BV44" s="733"/>
      <c r="BW44" s="731"/>
      <c r="BX44" s="732"/>
      <c r="BY44" s="732"/>
      <c r="BZ44" s="732"/>
      <c r="CA44" s="732"/>
      <c r="CB44" s="733"/>
      <c r="CC44" s="734"/>
      <c r="CD44" s="735"/>
      <c r="CE44" s="735"/>
      <c r="CF44" s="735"/>
      <c r="CG44" s="735"/>
      <c r="CH44" s="736"/>
      <c r="CI44" s="18"/>
      <c r="CJ44" s="18"/>
      <c r="CK44" s="18"/>
      <c r="CL44" s="18"/>
      <c r="CM44" s="18"/>
      <c r="CN44" s="18"/>
      <c r="CO44" s="18"/>
    </row>
    <row r="45" spans="1:93" ht="15.75" customHeight="1">
      <c r="A45" s="18"/>
      <c r="B45" s="826"/>
      <c r="C45" s="826"/>
      <c r="D45" s="827"/>
      <c r="E45" s="724"/>
      <c r="F45" s="725"/>
      <c r="G45" s="725"/>
      <c r="H45" s="725"/>
      <c r="I45" s="726"/>
      <c r="J45" s="740"/>
      <c r="K45" s="741"/>
      <c r="L45" s="741"/>
      <c r="M45" s="741"/>
      <c r="N45" s="741"/>
      <c r="O45" s="742"/>
      <c r="P45" s="740"/>
      <c r="Q45" s="741"/>
      <c r="R45" s="741"/>
      <c r="S45" s="741"/>
      <c r="T45" s="741"/>
      <c r="U45" s="742"/>
      <c r="V45" s="743"/>
      <c r="W45" s="744"/>
      <c r="X45" s="744"/>
      <c r="Y45" s="744"/>
      <c r="Z45" s="744"/>
      <c r="AA45" s="745"/>
      <c r="AB45" s="763"/>
      <c r="AC45" s="764"/>
      <c r="AD45" s="764"/>
      <c r="AE45" s="764"/>
      <c r="AF45" s="764"/>
      <c r="AG45" s="765"/>
      <c r="AH45" s="786"/>
      <c r="AI45" s="787"/>
      <c r="AJ45" s="787"/>
      <c r="AK45" s="787"/>
      <c r="AL45" s="787"/>
      <c r="AM45" s="788"/>
      <c r="AN45" s="18"/>
      <c r="AO45" s="18"/>
      <c r="AP45" s="18"/>
      <c r="AQ45" s="18"/>
      <c r="AR45" s="18"/>
      <c r="AS45" s="18"/>
      <c r="AT45" s="18"/>
      <c r="AU45" s="18"/>
      <c r="AV45" s="18"/>
      <c r="AW45" s="826"/>
      <c r="AX45" s="826"/>
      <c r="AY45" s="827"/>
      <c r="AZ45" s="724"/>
      <c r="BA45" s="725"/>
      <c r="BB45" s="725"/>
      <c r="BC45" s="725"/>
      <c r="BD45" s="726"/>
      <c r="BE45" s="737"/>
      <c r="BF45" s="738"/>
      <c r="BG45" s="738"/>
      <c r="BH45" s="738"/>
      <c r="BI45" s="738"/>
      <c r="BJ45" s="739"/>
      <c r="BK45" s="737"/>
      <c r="BL45" s="738"/>
      <c r="BM45" s="738"/>
      <c r="BN45" s="738"/>
      <c r="BO45" s="738"/>
      <c r="BP45" s="739"/>
      <c r="BQ45" s="740"/>
      <c r="BR45" s="741"/>
      <c r="BS45" s="741"/>
      <c r="BT45" s="741"/>
      <c r="BU45" s="741"/>
      <c r="BV45" s="742"/>
      <c r="BW45" s="740"/>
      <c r="BX45" s="741"/>
      <c r="BY45" s="741"/>
      <c r="BZ45" s="741"/>
      <c r="CA45" s="741"/>
      <c r="CB45" s="742"/>
      <c r="CC45" s="743"/>
      <c r="CD45" s="744"/>
      <c r="CE45" s="744"/>
      <c r="CF45" s="744"/>
      <c r="CG45" s="744"/>
      <c r="CH45" s="745"/>
      <c r="CI45" s="18"/>
      <c r="CJ45" s="18"/>
      <c r="CK45" s="18"/>
      <c r="CL45" s="18"/>
      <c r="CM45" s="18"/>
      <c r="CN45" s="18"/>
      <c r="CO45" s="18"/>
    </row>
    <row r="46" spans="1:93">
      <c r="A46" s="18"/>
      <c r="B46" s="18"/>
      <c r="C46" s="18"/>
      <c r="D46" s="18"/>
      <c r="E46" s="18"/>
      <c r="F46" s="18"/>
      <c r="G46" s="18"/>
      <c r="H46" s="18"/>
      <c r="I46" s="18"/>
      <c r="J46" s="718" t="s">
        <v>1534</v>
      </c>
      <c r="K46" s="719"/>
      <c r="L46" s="719"/>
      <c r="M46" s="719"/>
      <c r="N46" s="719"/>
      <c r="O46" s="720"/>
      <c r="P46" s="718" t="s">
        <v>1535</v>
      </c>
      <c r="Q46" s="719"/>
      <c r="R46" s="719"/>
      <c r="S46" s="719"/>
      <c r="T46" s="719"/>
      <c r="U46" s="720"/>
      <c r="V46" s="718" t="s">
        <v>1536</v>
      </c>
      <c r="W46" s="719"/>
      <c r="X46" s="719"/>
      <c r="Y46" s="719"/>
      <c r="Z46" s="719"/>
      <c r="AA46" s="720"/>
      <c r="AB46" s="718" t="s">
        <v>1537</v>
      </c>
      <c r="AC46" s="727"/>
      <c r="AD46" s="719"/>
      <c r="AE46" s="719"/>
      <c r="AF46" s="719"/>
      <c r="AG46" s="720"/>
      <c r="AH46" s="718" t="s">
        <v>1538</v>
      </c>
      <c r="AI46" s="719"/>
      <c r="AJ46" s="719"/>
      <c r="AK46" s="719"/>
      <c r="AL46" s="719"/>
      <c r="AM46" s="720"/>
      <c r="AN46" s="18"/>
      <c r="AO46" s="18"/>
      <c r="AP46" s="18"/>
      <c r="AQ46" s="18"/>
      <c r="AR46" s="18"/>
      <c r="AS46" s="18"/>
      <c r="AT46" s="18"/>
      <c r="AU46" s="18"/>
      <c r="AV46" s="18"/>
      <c r="AW46" s="18"/>
      <c r="AX46" s="18"/>
      <c r="AY46" s="18"/>
      <c r="AZ46" s="18"/>
      <c r="BA46" s="18"/>
      <c r="BB46" s="18"/>
      <c r="BC46" s="18"/>
      <c r="BD46" s="18"/>
      <c r="BE46" s="709" t="s">
        <v>1449</v>
      </c>
      <c r="BF46" s="710"/>
      <c r="BG46" s="710"/>
      <c r="BH46" s="710"/>
      <c r="BI46" s="710"/>
      <c r="BJ46" s="711"/>
      <c r="BK46" s="709" t="s">
        <v>1460</v>
      </c>
      <c r="BL46" s="710"/>
      <c r="BM46" s="710"/>
      <c r="BN46" s="710"/>
      <c r="BO46" s="710"/>
      <c r="BP46" s="711"/>
      <c r="BQ46" s="718" t="s">
        <v>1471</v>
      </c>
      <c r="BR46" s="719"/>
      <c r="BS46" s="719"/>
      <c r="BT46" s="719"/>
      <c r="BU46" s="719"/>
      <c r="BV46" s="720"/>
      <c r="BW46" s="718" t="s">
        <v>1483</v>
      </c>
      <c r="BX46" s="727"/>
      <c r="BY46" s="719"/>
      <c r="BZ46" s="719"/>
      <c r="CA46" s="719"/>
      <c r="CB46" s="720"/>
      <c r="CC46" s="718" t="s">
        <v>1491</v>
      </c>
      <c r="CD46" s="719"/>
      <c r="CE46" s="719"/>
      <c r="CF46" s="719"/>
      <c r="CG46" s="719"/>
      <c r="CH46" s="720"/>
      <c r="CI46" s="18"/>
      <c r="CJ46" s="18"/>
      <c r="CK46" s="18"/>
      <c r="CL46" s="18"/>
      <c r="CM46" s="18"/>
      <c r="CN46" s="18"/>
      <c r="CO46" s="18"/>
    </row>
    <row r="47" spans="1:93">
      <c r="A47" s="18"/>
      <c r="B47" s="18"/>
      <c r="C47" s="18"/>
      <c r="D47" s="18"/>
      <c r="E47" s="18"/>
      <c r="F47" s="18"/>
      <c r="G47" s="18"/>
      <c r="H47" s="18"/>
      <c r="I47" s="18"/>
      <c r="J47" s="721"/>
      <c r="K47" s="722"/>
      <c r="L47" s="722"/>
      <c r="M47" s="722"/>
      <c r="N47" s="722"/>
      <c r="O47" s="723"/>
      <c r="P47" s="721"/>
      <c r="Q47" s="722"/>
      <c r="R47" s="722"/>
      <c r="S47" s="722"/>
      <c r="T47" s="722"/>
      <c r="U47" s="723"/>
      <c r="V47" s="721"/>
      <c r="W47" s="722"/>
      <c r="X47" s="722"/>
      <c r="Y47" s="722"/>
      <c r="Z47" s="722"/>
      <c r="AA47" s="723"/>
      <c r="AB47" s="721"/>
      <c r="AC47" s="722"/>
      <c r="AD47" s="722"/>
      <c r="AE47" s="722"/>
      <c r="AF47" s="722"/>
      <c r="AG47" s="723"/>
      <c r="AH47" s="721"/>
      <c r="AI47" s="722"/>
      <c r="AJ47" s="722"/>
      <c r="AK47" s="722"/>
      <c r="AL47" s="722"/>
      <c r="AM47" s="723"/>
      <c r="AN47" s="18"/>
      <c r="AO47" s="18"/>
      <c r="AP47" s="18"/>
      <c r="AQ47" s="18"/>
      <c r="AR47" s="18"/>
      <c r="AS47" s="18"/>
      <c r="AT47" s="18"/>
      <c r="AU47" s="18"/>
      <c r="AV47" s="18"/>
      <c r="AW47" s="18"/>
      <c r="AX47" s="18"/>
      <c r="AY47" s="18"/>
      <c r="AZ47" s="18"/>
      <c r="BA47" s="18"/>
      <c r="BB47" s="18"/>
      <c r="BC47" s="18"/>
      <c r="BD47" s="18"/>
      <c r="BE47" s="712"/>
      <c r="BF47" s="713"/>
      <c r="BG47" s="713"/>
      <c r="BH47" s="713"/>
      <c r="BI47" s="713"/>
      <c r="BJ47" s="714"/>
      <c r="BK47" s="712"/>
      <c r="BL47" s="713"/>
      <c r="BM47" s="713"/>
      <c r="BN47" s="713"/>
      <c r="BO47" s="713"/>
      <c r="BP47" s="714"/>
      <c r="BQ47" s="721"/>
      <c r="BR47" s="722"/>
      <c r="BS47" s="722"/>
      <c r="BT47" s="722"/>
      <c r="BU47" s="722"/>
      <c r="BV47" s="723"/>
      <c r="BW47" s="721"/>
      <c r="BX47" s="722"/>
      <c r="BY47" s="722"/>
      <c r="BZ47" s="722"/>
      <c r="CA47" s="722"/>
      <c r="CB47" s="723"/>
      <c r="CC47" s="721"/>
      <c r="CD47" s="722"/>
      <c r="CE47" s="722"/>
      <c r="CF47" s="722"/>
      <c r="CG47" s="722"/>
      <c r="CH47" s="723"/>
      <c r="CI47" s="18"/>
      <c r="CJ47" s="18"/>
      <c r="CK47" s="18"/>
      <c r="CL47" s="18"/>
      <c r="CM47" s="18"/>
      <c r="CN47" s="18"/>
      <c r="CO47" s="18"/>
    </row>
    <row r="48" spans="1:93">
      <c r="A48" s="18"/>
      <c r="B48" s="18"/>
      <c r="C48" s="18"/>
      <c r="D48" s="18"/>
      <c r="E48" s="18"/>
      <c r="F48" s="18"/>
      <c r="G48" s="18"/>
      <c r="H48" s="18"/>
      <c r="I48" s="18"/>
      <c r="J48" s="721"/>
      <c r="K48" s="722"/>
      <c r="L48" s="722"/>
      <c r="M48" s="722"/>
      <c r="N48" s="722"/>
      <c r="O48" s="723"/>
      <c r="P48" s="721"/>
      <c r="Q48" s="722"/>
      <c r="R48" s="722"/>
      <c r="S48" s="722"/>
      <c r="T48" s="722"/>
      <c r="U48" s="723"/>
      <c r="V48" s="721"/>
      <c r="W48" s="722"/>
      <c r="X48" s="722"/>
      <c r="Y48" s="722"/>
      <c r="Z48" s="722"/>
      <c r="AA48" s="723"/>
      <c r="AB48" s="721"/>
      <c r="AC48" s="722"/>
      <c r="AD48" s="722"/>
      <c r="AE48" s="722"/>
      <c r="AF48" s="722"/>
      <c r="AG48" s="723"/>
      <c r="AH48" s="721"/>
      <c r="AI48" s="722"/>
      <c r="AJ48" s="722"/>
      <c r="AK48" s="722"/>
      <c r="AL48" s="722"/>
      <c r="AM48" s="723"/>
      <c r="AN48" s="18"/>
      <c r="AO48" s="18"/>
      <c r="AP48" s="18"/>
      <c r="AQ48" s="18"/>
      <c r="AR48" s="18"/>
      <c r="AS48" s="18"/>
      <c r="AT48" s="18"/>
      <c r="AU48" s="18"/>
      <c r="AV48" s="18"/>
      <c r="AW48" s="18"/>
      <c r="AX48" s="18"/>
      <c r="AY48" s="18"/>
      <c r="AZ48" s="18"/>
      <c r="BA48" s="18"/>
      <c r="BB48" s="18"/>
      <c r="BC48" s="18"/>
      <c r="BD48" s="18"/>
      <c r="BE48" s="712"/>
      <c r="BF48" s="713"/>
      <c r="BG48" s="713"/>
      <c r="BH48" s="713"/>
      <c r="BI48" s="713"/>
      <c r="BJ48" s="714"/>
      <c r="BK48" s="712"/>
      <c r="BL48" s="713"/>
      <c r="BM48" s="713"/>
      <c r="BN48" s="713"/>
      <c r="BO48" s="713"/>
      <c r="BP48" s="714"/>
      <c r="BQ48" s="721"/>
      <c r="BR48" s="722"/>
      <c r="BS48" s="722"/>
      <c r="BT48" s="722"/>
      <c r="BU48" s="722"/>
      <c r="BV48" s="723"/>
      <c r="BW48" s="721"/>
      <c r="BX48" s="722"/>
      <c r="BY48" s="722"/>
      <c r="BZ48" s="722"/>
      <c r="CA48" s="722"/>
      <c r="CB48" s="723"/>
      <c r="CC48" s="721"/>
      <c r="CD48" s="722"/>
      <c r="CE48" s="722"/>
      <c r="CF48" s="722"/>
      <c r="CG48" s="722"/>
      <c r="CH48" s="723"/>
      <c r="CI48" s="18"/>
      <c r="CJ48" s="18"/>
      <c r="CK48" s="18"/>
      <c r="CL48" s="18"/>
      <c r="CM48" s="18"/>
      <c r="CN48" s="18"/>
      <c r="CO48" s="18"/>
    </row>
    <row r="49" spans="1:93">
      <c r="A49" s="18"/>
      <c r="B49" s="18"/>
      <c r="C49" s="18"/>
      <c r="D49" s="18"/>
      <c r="E49" s="18"/>
      <c r="F49" s="18"/>
      <c r="G49" s="18"/>
      <c r="H49" s="18"/>
      <c r="I49" s="18"/>
      <c r="J49" s="721"/>
      <c r="K49" s="722"/>
      <c r="L49" s="722"/>
      <c r="M49" s="722"/>
      <c r="N49" s="722"/>
      <c r="O49" s="723"/>
      <c r="P49" s="721"/>
      <c r="Q49" s="722"/>
      <c r="R49" s="722"/>
      <c r="S49" s="722"/>
      <c r="T49" s="722"/>
      <c r="U49" s="723"/>
      <c r="V49" s="721"/>
      <c r="W49" s="722"/>
      <c r="X49" s="722"/>
      <c r="Y49" s="722"/>
      <c r="Z49" s="722"/>
      <c r="AA49" s="723"/>
      <c r="AB49" s="721"/>
      <c r="AC49" s="722"/>
      <c r="AD49" s="722"/>
      <c r="AE49" s="722"/>
      <c r="AF49" s="722"/>
      <c r="AG49" s="723"/>
      <c r="AH49" s="721"/>
      <c r="AI49" s="722"/>
      <c r="AJ49" s="722"/>
      <c r="AK49" s="722"/>
      <c r="AL49" s="722"/>
      <c r="AM49" s="723"/>
      <c r="AN49" s="18"/>
      <c r="AO49" s="18"/>
      <c r="AP49" s="18"/>
      <c r="AQ49" s="18"/>
      <c r="AR49" s="18"/>
      <c r="AS49" s="18"/>
      <c r="AT49" s="18"/>
      <c r="AU49" s="18"/>
      <c r="AV49" s="18"/>
      <c r="AW49" s="18"/>
      <c r="AX49" s="18"/>
      <c r="AY49" s="18"/>
      <c r="AZ49" s="18"/>
      <c r="BA49" s="18"/>
      <c r="BB49" s="18"/>
      <c r="BC49" s="18"/>
      <c r="BD49" s="18"/>
      <c r="BE49" s="712"/>
      <c r="BF49" s="713"/>
      <c r="BG49" s="713"/>
      <c r="BH49" s="713"/>
      <c r="BI49" s="713"/>
      <c r="BJ49" s="714"/>
      <c r="BK49" s="712"/>
      <c r="BL49" s="713"/>
      <c r="BM49" s="713"/>
      <c r="BN49" s="713"/>
      <c r="BO49" s="713"/>
      <c r="BP49" s="714"/>
      <c r="BQ49" s="721"/>
      <c r="BR49" s="722"/>
      <c r="BS49" s="722"/>
      <c r="BT49" s="722"/>
      <c r="BU49" s="722"/>
      <c r="BV49" s="723"/>
      <c r="BW49" s="721"/>
      <c r="BX49" s="722"/>
      <c r="BY49" s="722"/>
      <c r="BZ49" s="722"/>
      <c r="CA49" s="722"/>
      <c r="CB49" s="723"/>
      <c r="CC49" s="721"/>
      <c r="CD49" s="722"/>
      <c r="CE49" s="722"/>
      <c r="CF49" s="722"/>
      <c r="CG49" s="722"/>
      <c r="CH49" s="723"/>
      <c r="CI49" s="18"/>
      <c r="CJ49" s="18"/>
      <c r="CK49" s="18"/>
      <c r="CL49" s="18"/>
      <c r="CM49" s="18"/>
      <c r="CN49" s="18"/>
      <c r="CO49" s="18"/>
    </row>
    <row r="50" spans="1:93">
      <c r="A50" s="18"/>
      <c r="B50" s="18"/>
      <c r="C50" s="18"/>
      <c r="D50" s="18"/>
      <c r="E50" s="18"/>
      <c r="F50" s="18"/>
      <c r="G50" s="18"/>
      <c r="H50" s="18"/>
      <c r="I50" s="18"/>
      <c r="J50" s="721"/>
      <c r="K50" s="722"/>
      <c r="L50" s="722"/>
      <c r="M50" s="722"/>
      <c r="N50" s="722"/>
      <c r="O50" s="723"/>
      <c r="P50" s="721"/>
      <c r="Q50" s="722"/>
      <c r="R50" s="722"/>
      <c r="S50" s="722"/>
      <c r="T50" s="722"/>
      <c r="U50" s="723"/>
      <c r="V50" s="721"/>
      <c r="W50" s="722"/>
      <c r="X50" s="722"/>
      <c r="Y50" s="722"/>
      <c r="Z50" s="722"/>
      <c r="AA50" s="723"/>
      <c r="AB50" s="721"/>
      <c r="AC50" s="722"/>
      <c r="AD50" s="722"/>
      <c r="AE50" s="722"/>
      <c r="AF50" s="722"/>
      <c r="AG50" s="723"/>
      <c r="AH50" s="721"/>
      <c r="AI50" s="722"/>
      <c r="AJ50" s="722"/>
      <c r="AK50" s="722"/>
      <c r="AL50" s="722"/>
      <c r="AM50" s="723"/>
      <c r="AN50" s="18"/>
      <c r="AO50" s="18"/>
      <c r="AP50" s="18"/>
      <c r="AQ50" s="18"/>
      <c r="AR50" s="18"/>
      <c r="AS50" s="18"/>
      <c r="AT50" s="18"/>
      <c r="AU50" s="18"/>
      <c r="AV50" s="18"/>
      <c r="AW50" s="18"/>
      <c r="AX50" s="18"/>
      <c r="AY50" s="18"/>
      <c r="AZ50" s="18"/>
      <c r="BA50" s="18"/>
      <c r="BB50" s="18"/>
      <c r="BC50" s="18"/>
      <c r="BD50" s="18"/>
      <c r="BE50" s="712"/>
      <c r="BF50" s="713"/>
      <c r="BG50" s="713"/>
      <c r="BH50" s="713"/>
      <c r="BI50" s="713"/>
      <c r="BJ50" s="714"/>
      <c r="BK50" s="712"/>
      <c r="BL50" s="713"/>
      <c r="BM50" s="713"/>
      <c r="BN50" s="713"/>
      <c r="BO50" s="713"/>
      <c r="BP50" s="714"/>
      <c r="BQ50" s="721"/>
      <c r="BR50" s="722"/>
      <c r="BS50" s="722"/>
      <c r="BT50" s="722"/>
      <c r="BU50" s="722"/>
      <c r="BV50" s="723"/>
      <c r="BW50" s="721"/>
      <c r="BX50" s="722"/>
      <c r="BY50" s="722"/>
      <c r="BZ50" s="722"/>
      <c r="CA50" s="722"/>
      <c r="CB50" s="723"/>
      <c r="CC50" s="721"/>
      <c r="CD50" s="722"/>
      <c r="CE50" s="722"/>
      <c r="CF50" s="722"/>
      <c r="CG50" s="722"/>
      <c r="CH50" s="723"/>
      <c r="CI50" s="18"/>
      <c r="CJ50" s="18"/>
      <c r="CK50" s="18"/>
      <c r="CL50" s="18"/>
      <c r="CM50" s="18"/>
      <c r="CN50" s="18"/>
      <c r="CO50" s="18"/>
    </row>
    <row r="51" spans="1:93">
      <c r="A51" s="18"/>
      <c r="B51" s="18"/>
      <c r="C51" s="18"/>
      <c r="D51" s="18"/>
      <c r="E51" s="18"/>
      <c r="F51" s="18"/>
      <c r="G51" s="18"/>
      <c r="H51" s="18"/>
      <c r="I51" s="18"/>
      <c r="J51" s="724"/>
      <c r="K51" s="725"/>
      <c r="L51" s="725"/>
      <c r="M51" s="725"/>
      <c r="N51" s="725"/>
      <c r="O51" s="726"/>
      <c r="P51" s="724"/>
      <c r="Q51" s="725"/>
      <c r="R51" s="725"/>
      <c r="S51" s="725"/>
      <c r="T51" s="725"/>
      <c r="U51" s="726"/>
      <c r="V51" s="724"/>
      <c r="W51" s="725"/>
      <c r="X51" s="725"/>
      <c r="Y51" s="725"/>
      <c r="Z51" s="725"/>
      <c r="AA51" s="726"/>
      <c r="AB51" s="724"/>
      <c r="AC51" s="725"/>
      <c r="AD51" s="725"/>
      <c r="AE51" s="725"/>
      <c r="AF51" s="725"/>
      <c r="AG51" s="726"/>
      <c r="AH51" s="724"/>
      <c r="AI51" s="725"/>
      <c r="AJ51" s="725"/>
      <c r="AK51" s="725"/>
      <c r="AL51" s="725"/>
      <c r="AM51" s="726"/>
      <c r="AN51" s="18"/>
      <c r="AO51" s="18"/>
      <c r="AP51" s="18"/>
      <c r="AQ51" s="18"/>
      <c r="AR51" s="18"/>
      <c r="AS51" s="18"/>
      <c r="AT51" s="18"/>
      <c r="AU51" s="18"/>
      <c r="AV51" s="18"/>
      <c r="AW51" s="18"/>
      <c r="AX51" s="18"/>
      <c r="AY51" s="18"/>
      <c r="AZ51" s="18"/>
      <c r="BA51" s="18"/>
      <c r="BB51" s="18"/>
      <c r="BC51" s="18"/>
      <c r="BD51" s="18"/>
      <c r="BE51" s="715"/>
      <c r="BF51" s="716"/>
      <c r="BG51" s="716"/>
      <c r="BH51" s="716"/>
      <c r="BI51" s="716"/>
      <c r="BJ51" s="717"/>
      <c r="BK51" s="715"/>
      <c r="BL51" s="716"/>
      <c r="BM51" s="716"/>
      <c r="BN51" s="716"/>
      <c r="BO51" s="716"/>
      <c r="BP51" s="717"/>
      <c r="BQ51" s="724"/>
      <c r="BR51" s="725"/>
      <c r="BS51" s="725"/>
      <c r="BT51" s="725"/>
      <c r="BU51" s="725"/>
      <c r="BV51" s="726"/>
      <c r="BW51" s="724"/>
      <c r="BX51" s="725"/>
      <c r="BY51" s="725"/>
      <c r="BZ51" s="725"/>
      <c r="CA51" s="725"/>
      <c r="CB51" s="726"/>
      <c r="CC51" s="724"/>
      <c r="CD51" s="725"/>
      <c r="CE51" s="725"/>
      <c r="CF51" s="725"/>
      <c r="CG51" s="725"/>
      <c r="CH51" s="726"/>
      <c r="CI51" s="18"/>
      <c r="CJ51" s="18"/>
      <c r="CK51" s="18"/>
      <c r="CL51" s="18"/>
      <c r="CM51" s="18"/>
      <c r="CN51" s="18"/>
      <c r="CO51" s="18"/>
    </row>
    <row r="52" spans="1:93">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row>
    <row r="53" spans="1:93" ht="15" customHeight="1">
      <c r="A53" s="18"/>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row>
    <row r="54" spans="1:93" ht="15" customHeight="1">
      <c r="A54" s="18"/>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row>
    <row r="55" spans="1:93">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row>
    <row r="56" spans="1:93">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row>
    <row r="57" spans="1:93">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row>
    <row r="58" spans="1:93">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row>
    <row r="59" spans="1:93">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row>
    <row r="60" spans="1:93">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row>
    <row r="61" spans="1:93">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row>
    <row r="62" spans="1:93">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18"/>
    </row>
    <row r="63" spans="1:93">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c r="CA63" s="18"/>
      <c r="CB63" s="18"/>
    </row>
    <row r="64" spans="1:93">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c r="CA64" s="18"/>
      <c r="CB64" s="18"/>
    </row>
    <row r="65" spans="1:80">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c r="CA65" s="18"/>
      <c r="CB65" s="18"/>
    </row>
    <row r="66" spans="1:80">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row>
    <row r="67" spans="1:80">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c r="CA67" s="18"/>
      <c r="CB67" s="18"/>
    </row>
    <row r="68" spans="1:80">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c r="CA68" s="18"/>
      <c r="CB68" s="18"/>
    </row>
    <row r="69" spans="1:80">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row>
    <row r="70" spans="1:80">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row>
    <row r="71" spans="1:80">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row>
    <row r="72" spans="1:80">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row>
    <row r="73" spans="1:80">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row>
    <row r="74" spans="1:80">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c r="CA74" s="18"/>
      <c r="CB74" s="18"/>
    </row>
    <row r="75" spans="1:80">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c r="CA75" s="18"/>
      <c r="CB75" s="18"/>
    </row>
    <row r="76" spans="1:80">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c r="CA76" s="18"/>
      <c r="CB76" s="18"/>
    </row>
    <row r="77" spans="1:80">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row>
    <row r="78" spans="1:80">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c r="CA78" s="18"/>
      <c r="CB78" s="18"/>
    </row>
    <row r="79" spans="1:80">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row>
    <row r="80" spans="1:80">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row>
    <row r="81" spans="1:63">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row>
    <row r="82" spans="1:63">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row>
    <row r="83" spans="1:63">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row>
    <row r="84" spans="1:63">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row>
    <row r="85" spans="1:63">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row>
    <row r="86" spans="1:63">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row>
    <row r="87" spans="1:63">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row>
    <row r="88" spans="1:63">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row>
    <row r="89" spans="1:63">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row>
    <row r="90" spans="1:63">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row>
    <row r="91" spans="1:63">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row>
    <row r="92" spans="1:63">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row>
    <row r="93" spans="1:63">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row>
    <row r="94" spans="1:63">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row>
    <row r="95" spans="1:63">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row>
    <row r="96" spans="1:63">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row>
    <row r="97" spans="1:63">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row>
    <row r="98" spans="1:63">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row>
    <row r="99" spans="1:63">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row>
    <row r="100" spans="1:63">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row>
    <row r="101" spans="1:63">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row>
    <row r="102" spans="1:63">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row>
    <row r="103" spans="1:63">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row>
    <row r="104" spans="1:63">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row>
    <row r="105" spans="1:63">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row>
    <row r="106" spans="1:63">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row>
    <row r="107" spans="1:63">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row>
    <row r="108" spans="1:63">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row>
    <row r="109" spans="1:63">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row>
    <row r="110" spans="1:63">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row>
    <row r="111" spans="1:63">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row>
    <row r="112" spans="1:63">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row>
    <row r="113" spans="1:63">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row>
    <row r="114" spans="1:63">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row>
    <row r="115" spans="1:63">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row>
    <row r="116" spans="1:63">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row>
    <row r="117" spans="1:63">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row>
    <row r="118" spans="1:63">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row>
    <row r="119" spans="1:63">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row>
    <row r="120" spans="1:63">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row>
    <row r="121" spans="1:63">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row>
    <row r="122" spans="1:63">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row>
    <row r="123" spans="1:63">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row>
    <row r="124" spans="1:63">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row>
    <row r="125" spans="1:63">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row>
    <row r="126" spans="1:63">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row>
    <row r="127" spans="1:63">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row>
    <row r="128" spans="1:63">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row>
    <row r="129" spans="2:63">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row>
    <row r="130" spans="2:63">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row>
    <row r="131" spans="2:63">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row>
    <row r="132" spans="2:63">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row>
    <row r="133" spans="2:63">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row>
    <row r="134" spans="2:63">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row>
    <row r="135" spans="2:63">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row>
    <row r="136" spans="2:63">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row>
    <row r="137" spans="2:63">
      <c r="B137" s="18"/>
      <c r="C137" s="18"/>
      <c r="D137" s="18"/>
      <c r="E137" s="18"/>
      <c r="F137" s="18"/>
      <c r="G137" s="18"/>
      <c r="H137" s="18"/>
      <c r="I137" s="18"/>
    </row>
    <row r="138" spans="2:63">
      <c r="B138" s="18"/>
      <c r="C138" s="18"/>
      <c r="D138" s="18"/>
      <c r="E138" s="18"/>
      <c r="F138" s="18"/>
      <c r="G138" s="18"/>
      <c r="H138" s="18"/>
      <c r="I138" s="18"/>
    </row>
    <row r="139" spans="2:63">
      <c r="B139" s="18"/>
      <c r="C139" s="18"/>
      <c r="D139" s="18"/>
      <c r="E139" s="18"/>
      <c r="F139" s="18"/>
      <c r="G139" s="18"/>
      <c r="H139" s="18"/>
      <c r="I139" s="18"/>
    </row>
    <row r="140" spans="2:63">
      <c r="B140" s="18"/>
      <c r="C140" s="18"/>
      <c r="D140" s="18"/>
      <c r="E140" s="18"/>
      <c r="F140" s="18"/>
      <c r="G140" s="18"/>
      <c r="H140" s="18"/>
      <c r="I140" s="18"/>
    </row>
  </sheetData>
  <mergeCells count="622">
    <mergeCell ref="B6:D45"/>
    <mergeCell ref="AO6:AT13"/>
    <mergeCell ref="AO14:AT21"/>
    <mergeCell ref="AO22:AT29"/>
    <mergeCell ref="AO30:AT37"/>
    <mergeCell ref="E22:I29"/>
    <mergeCell ref="E38:I45"/>
    <mergeCell ref="J2:AM4"/>
    <mergeCell ref="E6:I13"/>
    <mergeCell ref="E14:I21"/>
    <mergeCell ref="J46:O51"/>
    <mergeCell ref="P46:U51"/>
    <mergeCell ref="V46:AA51"/>
    <mergeCell ref="AB46:AG51"/>
    <mergeCell ref="AH46:AM51"/>
    <mergeCell ref="E30:I37"/>
    <mergeCell ref="AB6:AC7"/>
    <mergeCell ref="AD6:AE7"/>
    <mergeCell ref="AF6:AG7"/>
    <mergeCell ref="AH6:AI7"/>
    <mergeCell ref="AJ6:AK7"/>
    <mergeCell ref="AL6:AM7"/>
    <mergeCell ref="J8:K9"/>
    <mergeCell ref="L8:M9"/>
    <mergeCell ref="N8:O9"/>
    <mergeCell ref="P8:Q9"/>
    <mergeCell ref="R8:S9"/>
    <mergeCell ref="T8:U9"/>
    <mergeCell ref="V8:W9"/>
    <mergeCell ref="X8:Y9"/>
    <mergeCell ref="Z8:AA9"/>
    <mergeCell ref="AB8:AC9"/>
    <mergeCell ref="AD8:AE9"/>
    <mergeCell ref="AF8:AG9"/>
    <mergeCell ref="AH8:AI9"/>
    <mergeCell ref="AJ8:AK9"/>
    <mergeCell ref="AL8:AM9"/>
    <mergeCell ref="J6:K7"/>
    <mergeCell ref="L6:M7"/>
    <mergeCell ref="N6:O7"/>
    <mergeCell ref="P6:Q7"/>
    <mergeCell ref="R6:S7"/>
    <mergeCell ref="T6:U7"/>
    <mergeCell ref="V6:W7"/>
    <mergeCell ref="X6:Y7"/>
    <mergeCell ref="Z6:AA7"/>
    <mergeCell ref="AB10:AC11"/>
    <mergeCell ref="AD10:AE11"/>
    <mergeCell ref="AF10:AG11"/>
    <mergeCell ref="AH10:AI11"/>
    <mergeCell ref="AJ10:AK11"/>
    <mergeCell ref="AL10:AM11"/>
    <mergeCell ref="J12:K13"/>
    <mergeCell ref="L12:M13"/>
    <mergeCell ref="N12:O13"/>
    <mergeCell ref="P12:Q13"/>
    <mergeCell ref="R12:S13"/>
    <mergeCell ref="T12:U13"/>
    <mergeCell ref="V12:W13"/>
    <mergeCell ref="X12:Y13"/>
    <mergeCell ref="Z12:AA13"/>
    <mergeCell ref="AB12:AC13"/>
    <mergeCell ref="AD12:AE13"/>
    <mergeCell ref="AF12:AG13"/>
    <mergeCell ref="AH12:AI13"/>
    <mergeCell ref="AJ12:AK13"/>
    <mergeCell ref="AL12:AM13"/>
    <mergeCell ref="J10:K11"/>
    <mergeCell ref="L10:M11"/>
    <mergeCell ref="N10:O11"/>
    <mergeCell ref="P10:Q11"/>
    <mergeCell ref="R10:S11"/>
    <mergeCell ref="T10:U11"/>
    <mergeCell ref="V10:W11"/>
    <mergeCell ref="X10:Y11"/>
    <mergeCell ref="Z10:AA11"/>
    <mergeCell ref="AB14:AC15"/>
    <mergeCell ref="AD14:AE15"/>
    <mergeCell ref="AF14:AG15"/>
    <mergeCell ref="AH14:AI15"/>
    <mergeCell ref="AJ14:AK15"/>
    <mergeCell ref="AL14:AM15"/>
    <mergeCell ref="J16:K17"/>
    <mergeCell ref="L16:M17"/>
    <mergeCell ref="N16:O17"/>
    <mergeCell ref="P16:Q17"/>
    <mergeCell ref="R16:S17"/>
    <mergeCell ref="T16:U17"/>
    <mergeCell ref="V16:W17"/>
    <mergeCell ref="X16:Y17"/>
    <mergeCell ref="Z16:AA17"/>
    <mergeCell ref="AB16:AC17"/>
    <mergeCell ref="AD16:AE17"/>
    <mergeCell ref="AF16:AG17"/>
    <mergeCell ref="AH16:AI17"/>
    <mergeCell ref="AJ16:AK17"/>
    <mergeCell ref="AL16:AM17"/>
    <mergeCell ref="J14:K15"/>
    <mergeCell ref="L14:M15"/>
    <mergeCell ref="N14:O15"/>
    <mergeCell ref="P14:Q15"/>
    <mergeCell ref="R14:S15"/>
    <mergeCell ref="T14:U15"/>
    <mergeCell ref="V14:W15"/>
    <mergeCell ref="X14:Y15"/>
    <mergeCell ref="Z14:AA15"/>
    <mergeCell ref="AB18:AC19"/>
    <mergeCell ref="AD18:AE19"/>
    <mergeCell ref="AF18:AG19"/>
    <mergeCell ref="AH18:AI19"/>
    <mergeCell ref="AJ18:AK19"/>
    <mergeCell ref="AL18:AM19"/>
    <mergeCell ref="J20:K21"/>
    <mergeCell ref="L20:M21"/>
    <mergeCell ref="N20:O21"/>
    <mergeCell ref="P20:Q21"/>
    <mergeCell ref="R20:S21"/>
    <mergeCell ref="T20:U21"/>
    <mergeCell ref="V20:W21"/>
    <mergeCell ref="X20:Y21"/>
    <mergeCell ref="Z20:AA21"/>
    <mergeCell ref="AB20:AC21"/>
    <mergeCell ref="AD20:AE21"/>
    <mergeCell ref="AF20:AG21"/>
    <mergeCell ref="AH20:AI21"/>
    <mergeCell ref="AJ20:AK21"/>
    <mergeCell ref="AL20:AM21"/>
    <mergeCell ref="J18:K19"/>
    <mergeCell ref="L18:M19"/>
    <mergeCell ref="N18:O19"/>
    <mergeCell ref="P18:Q19"/>
    <mergeCell ref="R18:S19"/>
    <mergeCell ref="T18:U19"/>
    <mergeCell ref="V18:W19"/>
    <mergeCell ref="X18:Y19"/>
    <mergeCell ref="Z18:AA19"/>
    <mergeCell ref="AB22:AC23"/>
    <mergeCell ref="AD22:AE23"/>
    <mergeCell ref="AF22:AG23"/>
    <mergeCell ref="AH22:AI23"/>
    <mergeCell ref="AJ22:AK23"/>
    <mergeCell ref="AL22:AM23"/>
    <mergeCell ref="J24:K25"/>
    <mergeCell ref="L24:M25"/>
    <mergeCell ref="N24:O25"/>
    <mergeCell ref="P24:Q25"/>
    <mergeCell ref="R24:S25"/>
    <mergeCell ref="T24:U25"/>
    <mergeCell ref="V24:W25"/>
    <mergeCell ref="X24:Y25"/>
    <mergeCell ref="Z24:AA25"/>
    <mergeCell ref="AB24:AC25"/>
    <mergeCell ref="AD24:AE25"/>
    <mergeCell ref="AF24:AG25"/>
    <mergeCell ref="AH24:AI25"/>
    <mergeCell ref="AJ24:AK25"/>
    <mergeCell ref="AL24:AM25"/>
    <mergeCell ref="J22:K23"/>
    <mergeCell ref="L22:M23"/>
    <mergeCell ref="N22:O23"/>
    <mergeCell ref="P22:Q23"/>
    <mergeCell ref="R22:S23"/>
    <mergeCell ref="T22:U23"/>
    <mergeCell ref="V22:W23"/>
    <mergeCell ref="X22:Y23"/>
    <mergeCell ref="Z22:AA23"/>
    <mergeCell ref="AB26:AC27"/>
    <mergeCell ref="AD26:AE27"/>
    <mergeCell ref="AF26:AG27"/>
    <mergeCell ref="AH26:AI27"/>
    <mergeCell ref="AJ26:AK27"/>
    <mergeCell ref="AL26:AM27"/>
    <mergeCell ref="J28:K29"/>
    <mergeCell ref="L28:M29"/>
    <mergeCell ref="N28:O29"/>
    <mergeCell ref="P28:Q29"/>
    <mergeCell ref="R28:S29"/>
    <mergeCell ref="T28:U29"/>
    <mergeCell ref="V28:W29"/>
    <mergeCell ref="X28:Y29"/>
    <mergeCell ref="Z28:AA29"/>
    <mergeCell ref="AB28:AC29"/>
    <mergeCell ref="AD28:AE29"/>
    <mergeCell ref="AF28:AG29"/>
    <mergeCell ref="AH28:AI29"/>
    <mergeCell ref="AJ28:AK29"/>
    <mergeCell ref="AL28:AM29"/>
    <mergeCell ref="J26:K27"/>
    <mergeCell ref="L26:M27"/>
    <mergeCell ref="N26:O27"/>
    <mergeCell ref="P26:Q27"/>
    <mergeCell ref="R26:S27"/>
    <mergeCell ref="T26:U27"/>
    <mergeCell ref="V26:W27"/>
    <mergeCell ref="X26:Y27"/>
    <mergeCell ref="Z26:AA27"/>
    <mergeCell ref="AB30:AC31"/>
    <mergeCell ref="AD30:AE31"/>
    <mergeCell ref="AF30:AG31"/>
    <mergeCell ref="AH30:AI31"/>
    <mergeCell ref="AJ30:AK31"/>
    <mergeCell ref="AL30:AM31"/>
    <mergeCell ref="J32:K33"/>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J30:K31"/>
    <mergeCell ref="L30:M31"/>
    <mergeCell ref="N30:O31"/>
    <mergeCell ref="P30:Q31"/>
    <mergeCell ref="R30:S31"/>
    <mergeCell ref="T30:U31"/>
    <mergeCell ref="V30:W31"/>
    <mergeCell ref="X30:Y31"/>
    <mergeCell ref="Z30:AA31"/>
    <mergeCell ref="X34:Y35"/>
    <mergeCell ref="Z34:AA35"/>
    <mergeCell ref="AB34:AC35"/>
    <mergeCell ref="AD34:AE35"/>
    <mergeCell ref="AF34:AG35"/>
    <mergeCell ref="AH34:AI35"/>
    <mergeCell ref="AJ34:AK35"/>
    <mergeCell ref="AL34:AM35"/>
    <mergeCell ref="J36:K37"/>
    <mergeCell ref="L36:M37"/>
    <mergeCell ref="N36:O37"/>
    <mergeCell ref="P36:Q37"/>
    <mergeCell ref="R36:S37"/>
    <mergeCell ref="T36:U37"/>
    <mergeCell ref="V36:W37"/>
    <mergeCell ref="X36:Y37"/>
    <mergeCell ref="Z36:AA37"/>
    <mergeCell ref="AB36:AC37"/>
    <mergeCell ref="AD36:AE37"/>
    <mergeCell ref="AF36:AG37"/>
    <mergeCell ref="AH36:AI37"/>
    <mergeCell ref="AJ36:AK37"/>
    <mergeCell ref="AL36:AM37"/>
    <mergeCell ref="Z38:AA39"/>
    <mergeCell ref="AB38:AC39"/>
    <mergeCell ref="AD38:AE39"/>
    <mergeCell ref="AF38:AG39"/>
    <mergeCell ref="AH38:AI39"/>
    <mergeCell ref="AJ38:AK39"/>
    <mergeCell ref="AL38:AM39"/>
    <mergeCell ref="J40:K41"/>
    <mergeCell ref="L40:M41"/>
    <mergeCell ref="N40:O41"/>
    <mergeCell ref="P40:Q41"/>
    <mergeCell ref="R40:S41"/>
    <mergeCell ref="T40:U41"/>
    <mergeCell ref="V40:W41"/>
    <mergeCell ref="X40:Y41"/>
    <mergeCell ref="Z40:AA41"/>
    <mergeCell ref="AB40:AC41"/>
    <mergeCell ref="AD40:AE41"/>
    <mergeCell ref="AF40:AG41"/>
    <mergeCell ref="AH40:AI41"/>
    <mergeCell ref="AJ40:AK41"/>
    <mergeCell ref="AL40:AM41"/>
    <mergeCell ref="Z42:AA43"/>
    <mergeCell ref="AB42:AC43"/>
    <mergeCell ref="AD42:AE43"/>
    <mergeCell ref="AF42:AG43"/>
    <mergeCell ref="AH42:AI43"/>
    <mergeCell ref="AJ42:AK43"/>
    <mergeCell ref="AL42:AM43"/>
    <mergeCell ref="J44:K45"/>
    <mergeCell ref="L44:M45"/>
    <mergeCell ref="N44:O45"/>
    <mergeCell ref="P44:Q45"/>
    <mergeCell ref="R44:S45"/>
    <mergeCell ref="T44:U45"/>
    <mergeCell ref="V44:W45"/>
    <mergeCell ref="X44:Y45"/>
    <mergeCell ref="Z44:AA45"/>
    <mergeCell ref="AB44:AC45"/>
    <mergeCell ref="AD44:AE45"/>
    <mergeCell ref="AF44:AG45"/>
    <mergeCell ref="AH44:AI45"/>
    <mergeCell ref="AJ44:AK45"/>
    <mergeCell ref="AL44:AM45"/>
    <mergeCell ref="B2:I4"/>
    <mergeCell ref="J42:K43"/>
    <mergeCell ref="L42:M43"/>
    <mergeCell ref="N42:O43"/>
    <mergeCell ref="P42:Q43"/>
    <mergeCell ref="R42:S43"/>
    <mergeCell ref="T42:U43"/>
    <mergeCell ref="V42:W43"/>
    <mergeCell ref="X42:Y43"/>
    <mergeCell ref="J38:K39"/>
    <mergeCell ref="L38:M39"/>
    <mergeCell ref="N38:O39"/>
    <mergeCell ref="P38:Q39"/>
    <mergeCell ref="R38:S39"/>
    <mergeCell ref="T38:U39"/>
    <mergeCell ref="V38:W39"/>
    <mergeCell ref="X38:Y39"/>
    <mergeCell ref="J34:K35"/>
    <mergeCell ref="L34:M35"/>
    <mergeCell ref="N34:O35"/>
    <mergeCell ref="P34:Q35"/>
    <mergeCell ref="R34:S35"/>
    <mergeCell ref="T34:U35"/>
    <mergeCell ref="V34:W35"/>
    <mergeCell ref="BY10:BZ11"/>
    <mergeCell ref="CA10:CB11"/>
    <mergeCell ref="CC10:CD11"/>
    <mergeCell ref="CE10:CF11"/>
    <mergeCell ref="CG10:CH11"/>
    <mergeCell ref="AW2:BD4"/>
    <mergeCell ref="BE2:CH4"/>
    <mergeCell ref="AW6:AY45"/>
    <mergeCell ref="AZ6:BD13"/>
    <mergeCell ref="BE6:BF7"/>
    <mergeCell ref="BG6:BH7"/>
    <mergeCell ref="BI6:BJ7"/>
    <mergeCell ref="BK6:BL7"/>
    <mergeCell ref="BM6:BN7"/>
    <mergeCell ref="BO6:BP7"/>
    <mergeCell ref="BW6:BX7"/>
    <mergeCell ref="BY6:BZ7"/>
    <mergeCell ref="CA6:CB7"/>
    <mergeCell ref="CC6:CD7"/>
    <mergeCell ref="CE6:CF7"/>
    <mergeCell ref="CG6:CH7"/>
    <mergeCell ref="CC12:CD13"/>
    <mergeCell ref="CE12:CF13"/>
    <mergeCell ref="CG12:CH13"/>
    <mergeCell ref="AZ14:BD21"/>
    <mergeCell ref="CJ6:CO13"/>
    <mergeCell ref="BE8:BF9"/>
    <mergeCell ref="BG8:BH9"/>
    <mergeCell ref="BI8:BJ9"/>
    <mergeCell ref="BK8:BL9"/>
    <mergeCell ref="BM8:BN9"/>
    <mergeCell ref="BO8:BP9"/>
    <mergeCell ref="BW8:BX9"/>
    <mergeCell ref="BY8:BZ9"/>
    <mergeCell ref="CA8:CB9"/>
    <mergeCell ref="CC8:CD9"/>
    <mergeCell ref="CE8:CF9"/>
    <mergeCell ref="CG8:CH9"/>
    <mergeCell ref="BE10:BF11"/>
    <mergeCell ref="BG10:BH11"/>
    <mergeCell ref="BI10:BJ11"/>
    <mergeCell ref="BK10:BL11"/>
    <mergeCell ref="BM10:BN11"/>
    <mergeCell ref="BO10:BP11"/>
    <mergeCell ref="BW10:BX11"/>
    <mergeCell ref="BE12:BF13"/>
    <mergeCell ref="BG12:BH13"/>
    <mergeCell ref="BI12:BJ13"/>
    <mergeCell ref="BK12:BL13"/>
    <mergeCell ref="BM12:BN13"/>
    <mergeCell ref="BO12:BP13"/>
    <mergeCell ref="BW12:BX13"/>
    <mergeCell ref="BY12:BZ13"/>
    <mergeCell ref="CA12:CB13"/>
    <mergeCell ref="BW14:BX15"/>
    <mergeCell ref="BY14:BZ15"/>
    <mergeCell ref="CA14:CB15"/>
    <mergeCell ref="CC14:CD15"/>
    <mergeCell ref="CE14:CF15"/>
    <mergeCell ref="CG14:CH15"/>
    <mergeCell ref="CJ14:CO21"/>
    <mergeCell ref="BE16:BF17"/>
    <mergeCell ref="BG16:BH17"/>
    <mergeCell ref="BI16:BJ17"/>
    <mergeCell ref="BK16:BL17"/>
    <mergeCell ref="BM16:BN17"/>
    <mergeCell ref="BO16:BP17"/>
    <mergeCell ref="BQ16:BR17"/>
    <mergeCell ref="BS16:BT17"/>
    <mergeCell ref="BU16:BV17"/>
    <mergeCell ref="BW16:BX17"/>
    <mergeCell ref="BY16:BZ17"/>
    <mergeCell ref="CA16:CB17"/>
    <mergeCell ref="CC16:CD17"/>
    <mergeCell ref="CE16:CF17"/>
    <mergeCell ref="CG16:CH17"/>
    <mergeCell ref="BE14:BF15"/>
    <mergeCell ref="BG14:BH15"/>
    <mergeCell ref="BI14:BJ15"/>
    <mergeCell ref="BK14:BL15"/>
    <mergeCell ref="BM14:BN15"/>
    <mergeCell ref="BO14:BP15"/>
    <mergeCell ref="BQ14:BR15"/>
    <mergeCell ref="BS14:BT15"/>
    <mergeCell ref="BU14:BV15"/>
    <mergeCell ref="BW18:BX19"/>
    <mergeCell ref="BY18:BZ19"/>
    <mergeCell ref="CA18:CB19"/>
    <mergeCell ref="CC18:CD19"/>
    <mergeCell ref="CE18:CF19"/>
    <mergeCell ref="CG18:CH19"/>
    <mergeCell ref="BE20:BF21"/>
    <mergeCell ref="BG20:BH21"/>
    <mergeCell ref="BI20:BJ21"/>
    <mergeCell ref="BK20:BL21"/>
    <mergeCell ref="BM20:BN21"/>
    <mergeCell ref="BO20:BP21"/>
    <mergeCell ref="BQ20:BR21"/>
    <mergeCell ref="BS20:BT21"/>
    <mergeCell ref="BU20:BV21"/>
    <mergeCell ref="BW20:BX21"/>
    <mergeCell ref="BY20:BZ21"/>
    <mergeCell ref="CA20:CB21"/>
    <mergeCell ref="CC20:CD21"/>
    <mergeCell ref="CE20:CF21"/>
    <mergeCell ref="CG20:CH21"/>
    <mergeCell ref="BE18:BF19"/>
    <mergeCell ref="BG18:BH19"/>
    <mergeCell ref="BI18:BJ19"/>
    <mergeCell ref="BK18:BL19"/>
    <mergeCell ref="BM18:BN19"/>
    <mergeCell ref="BO18:BP19"/>
    <mergeCell ref="BQ18:BR19"/>
    <mergeCell ref="BS18:BT19"/>
    <mergeCell ref="BU18:BV19"/>
    <mergeCell ref="BW22:BX23"/>
    <mergeCell ref="BY22:BZ23"/>
    <mergeCell ref="CA22:CB23"/>
    <mergeCell ref="CC22:CD23"/>
    <mergeCell ref="CE22:CF23"/>
    <mergeCell ref="CG22:CH23"/>
    <mergeCell ref="CJ22:CO29"/>
    <mergeCell ref="BE24:BF25"/>
    <mergeCell ref="BG24:BH25"/>
    <mergeCell ref="BI24:BJ25"/>
    <mergeCell ref="BK24:BL25"/>
    <mergeCell ref="BM24:BN25"/>
    <mergeCell ref="BO24:BP25"/>
    <mergeCell ref="BQ24:BR25"/>
    <mergeCell ref="BS24:BT25"/>
    <mergeCell ref="BU24:BV25"/>
    <mergeCell ref="BW24:BX25"/>
    <mergeCell ref="BY24:BZ25"/>
    <mergeCell ref="CA24:CB25"/>
    <mergeCell ref="CC24:CD25"/>
    <mergeCell ref="CE24:CF25"/>
    <mergeCell ref="CG24:CH25"/>
    <mergeCell ref="BE22:BF23"/>
    <mergeCell ref="BG22:BH23"/>
    <mergeCell ref="BI22:BJ23"/>
    <mergeCell ref="BK22:BL23"/>
    <mergeCell ref="BM22:BN23"/>
    <mergeCell ref="BO22:BP23"/>
    <mergeCell ref="BQ22:BR23"/>
    <mergeCell ref="BS22:BT23"/>
    <mergeCell ref="BU22:BV23"/>
    <mergeCell ref="BU26:BV27"/>
    <mergeCell ref="BW26:BX27"/>
    <mergeCell ref="BY26:BZ27"/>
    <mergeCell ref="CA26:CB27"/>
    <mergeCell ref="CC26:CD27"/>
    <mergeCell ref="CE26:CF27"/>
    <mergeCell ref="CG26:CH27"/>
    <mergeCell ref="BE28:BF29"/>
    <mergeCell ref="BG28:BH29"/>
    <mergeCell ref="BI28:BJ29"/>
    <mergeCell ref="BK28:BL29"/>
    <mergeCell ref="BM28:BN29"/>
    <mergeCell ref="BO28:BP29"/>
    <mergeCell ref="BQ28:BR29"/>
    <mergeCell ref="BS28:BT29"/>
    <mergeCell ref="BU28:BV29"/>
    <mergeCell ref="BW28:BX29"/>
    <mergeCell ref="BY28:BZ29"/>
    <mergeCell ref="CA28:CB29"/>
    <mergeCell ref="CC28:CD29"/>
    <mergeCell ref="CE28:CF29"/>
    <mergeCell ref="CG28:CH29"/>
    <mergeCell ref="AZ30:BD37"/>
    <mergeCell ref="BE26:BF27"/>
    <mergeCell ref="BG26:BH27"/>
    <mergeCell ref="BI26:BJ27"/>
    <mergeCell ref="BK26:BL27"/>
    <mergeCell ref="BM26:BN27"/>
    <mergeCell ref="BO26:BP27"/>
    <mergeCell ref="BQ26:BR27"/>
    <mergeCell ref="BS26:BT27"/>
    <mergeCell ref="AZ22:BD29"/>
    <mergeCell ref="CJ30:CO37"/>
    <mergeCell ref="BE32:BF33"/>
    <mergeCell ref="BG32:BH33"/>
    <mergeCell ref="BI32:BJ33"/>
    <mergeCell ref="BK32:BL33"/>
    <mergeCell ref="BM32:BN33"/>
    <mergeCell ref="BO32:BP33"/>
    <mergeCell ref="BQ32:BR33"/>
    <mergeCell ref="BS32:BT33"/>
    <mergeCell ref="BU32:BV33"/>
    <mergeCell ref="BW32:BX33"/>
    <mergeCell ref="BY32:BZ33"/>
    <mergeCell ref="CA32:CB33"/>
    <mergeCell ref="CC32:CD33"/>
    <mergeCell ref="CE32:CF33"/>
    <mergeCell ref="CG32:CH33"/>
    <mergeCell ref="CA36:CB37"/>
    <mergeCell ref="CC36:CD37"/>
    <mergeCell ref="CE36:CF37"/>
    <mergeCell ref="CG36:CH37"/>
    <mergeCell ref="BE30:BF31"/>
    <mergeCell ref="BG30:BH31"/>
    <mergeCell ref="BI30:BJ31"/>
    <mergeCell ref="BK30:BL31"/>
    <mergeCell ref="BM30:BN31"/>
    <mergeCell ref="BO30:BP31"/>
    <mergeCell ref="BQ30:BR31"/>
    <mergeCell ref="BS30:BT31"/>
    <mergeCell ref="BU30:BV31"/>
    <mergeCell ref="BW30:BX31"/>
    <mergeCell ref="BY30:BZ31"/>
    <mergeCell ref="CA30:CB31"/>
    <mergeCell ref="CC30:CD31"/>
    <mergeCell ref="CE30:CF31"/>
    <mergeCell ref="CG30:CH31"/>
    <mergeCell ref="BI36:BJ37"/>
    <mergeCell ref="BK36:BL37"/>
    <mergeCell ref="BM36:BN37"/>
    <mergeCell ref="BO36:BP37"/>
    <mergeCell ref="BQ36:BR37"/>
    <mergeCell ref="BS36:BT37"/>
    <mergeCell ref="BU36:BV37"/>
    <mergeCell ref="BW36:BX37"/>
    <mergeCell ref="BY36:BZ37"/>
    <mergeCell ref="BW38:BX39"/>
    <mergeCell ref="BY38:BZ39"/>
    <mergeCell ref="CA38:CB39"/>
    <mergeCell ref="CC38:CD39"/>
    <mergeCell ref="CE38:CF39"/>
    <mergeCell ref="CG38:CH39"/>
    <mergeCell ref="AZ38:BD45"/>
    <mergeCell ref="BE34:BF35"/>
    <mergeCell ref="BG34:BH35"/>
    <mergeCell ref="BI34:BJ35"/>
    <mergeCell ref="BK34:BL35"/>
    <mergeCell ref="BM34:BN35"/>
    <mergeCell ref="BO34:BP35"/>
    <mergeCell ref="BQ34:BR35"/>
    <mergeCell ref="BS34:BT35"/>
    <mergeCell ref="BU34:BV35"/>
    <mergeCell ref="BW34:BX35"/>
    <mergeCell ref="BY34:BZ35"/>
    <mergeCell ref="CA34:CB35"/>
    <mergeCell ref="CC34:CD35"/>
    <mergeCell ref="CE34:CF35"/>
    <mergeCell ref="CG34:CH35"/>
    <mergeCell ref="BE36:BF37"/>
    <mergeCell ref="BG36:BH37"/>
    <mergeCell ref="BE38:BF39"/>
    <mergeCell ref="BG38:BH39"/>
    <mergeCell ref="BI38:BJ39"/>
    <mergeCell ref="BK38:BL39"/>
    <mergeCell ref="BM38:BN39"/>
    <mergeCell ref="BO38:BP39"/>
    <mergeCell ref="BQ38:BR39"/>
    <mergeCell ref="BS38:BT39"/>
    <mergeCell ref="BU38:BV39"/>
    <mergeCell ref="CE44:CF45"/>
    <mergeCell ref="CG44:CH45"/>
    <mergeCell ref="BE40:BF41"/>
    <mergeCell ref="BG40:BH41"/>
    <mergeCell ref="BI40:BJ41"/>
    <mergeCell ref="BK40:BL41"/>
    <mergeCell ref="BM40:BN41"/>
    <mergeCell ref="BO40:BP41"/>
    <mergeCell ref="BQ40:BR41"/>
    <mergeCell ref="BS40:BT41"/>
    <mergeCell ref="BU40:BV41"/>
    <mergeCell ref="BW40:BX41"/>
    <mergeCell ref="BY40:BZ41"/>
    <mergeCell ref="CA40:CB41"/>
    <mergeCell ref="CC40:CD41"/>
    <mergeCell ref="CE40:CF41"/>
    <mergeCell ref="CG40:CH41"/>
    <mergeCell ref="BM44:BN45"/>
    <mergeCell ref="BO44:BP45"/>
    <mergeCell ref="BQ44:BR45"/>
    <mergeCell ref="BS44:BT45"/>
    <mergeCell ref="BU44:BV45"/>
    <mergeCell ref="BW44:BX45"/>
    <mergeCell ref="BY44:BZ45"/>
    <mergeCell ref="CA44:CB45"/>
    <mergeCell ref="CC44:CD45"/>
    <mergeCell ref="BE46:BJ51"/>
    <mergeCell ref="BK46:BP51"/>
    <mergeCell ref="BQ46:BV51"/>
    <mergeCell ref="BW46:CB51"/>
    <mergeCell ref="CC46:CH51"/>
    <mergeCell ref="BE42:BF43"/>
    <mergeCell ref="BG42:BH43"/>
    <mergeCell ref="BI42:BJ43"/>
    <mergeCell ref="BK42:BL43"/>
    <mergeCell ref="BM42:BN43"/>
    <mergeCell ref="BO42:BP43"/>
    <mergeCell ref="BQ42:BR43"/>
    <mergeCell ref="BS42:BT43"/>
    <mergeCell ref="BU42:BV43"/>
    <mergeCell ref="BW42:BX43"/>
    <mergeCell ref="BY42:BZ43"/>
    <mergeCell ref="CA42:CB43"/>
    <mergeCell ref="CC42:CD43"/>
    <mergeCell ref="CE42:CF43"/>
    <mergeCell ref="CG42:CH43"/>
    <mergeCell ref="BE44:BF45"/>
    <mergeCell ref="BG44:BH45"/>
    <mergeCell ref="BI44:BJ45"/>
    <mergeCell ref="BK44:BL45"/>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Instructivo</vt:lpstr>
      <vt:lpstr>Contexto</vt:lpstr>
      <vt:lpstr>Riesgos</vt:lpstr>
      <vt:lpstr>Control Riesgos de Gestión 2025</vt:lpstr>
      <vt:lpstr>Controles Riesgos de Corrupción</vt:lpstr>
      <vt:lpstr>Seguimiento Riesgos</vt:lpstr>
      <vt:lpstr>Listas y tablas</vt:lpstr>
      <vt:lpstr>Hoja2</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Carlos Hernando Sandoval Mora</cp:lastModifiedBy>
  <cp:lastPrinted>2022-05-02T22:33:00Z</cp:lastPrinted>
  <dcterms:created xsi:type="dcterms:W3CDTF">2020-03-24T23:12:00Z</dcterms:created>
  <dcterms:modified xsi:type="dcterms:W3CDTF">2025-01-31T21:54:33Z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7089185AA01648EEBBAFA9DED90D24A4_13</vt:lpwstr>
  </property>
  <property fmtid="{D5CDD505-2E9C-101B-9397-08002B2CF9AE}" pid="3" name="KSOProductBuildVer">
    <vt:lpwstr>3082-12.2.0.19805</vt:lpwstr>
  </property>
</Properties>
</file>