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IDPC 2025\PUBLICACION INFORMACION OAP 2025\"/>
    </mc:Choice>
  </mc:AlternateContent>
  <bookViews>
    <workbookView xWindow="0" yWindow="6480" windowWidth="28770" windowHeight="9120" tabRatio="773"/>
  </bookViews>
  <sheets>
    <sheet name="7601 (VIG)" sheetId="3" r:id="rId1"/>
    <sheet name="7611 (VIG)" sheetId="4" r:id="rId2"/>
    <sheet name="7639 (VIG)" sheetId="5" r:id="rId3"/>
    <sheet name="7649 (VIG)" sheetId="6" r:id="rId4"/>
    <sheet name="7612 (VIG)" sheetId="7" r:id="rId5"/>
    <sheet name="7597 (VIG)" sheetId="8" r:id="rId6"/>
  </sheets>
  <externalReferences>
    <externalReference r:id="rId7"/>
  </externalReferences>
  <definedNames>
    <definedName name="_xlnm._FilterDatabase" localSheetId="5" hidden="1">'7597 (VIG)'!$B$19:$AB$24</definedName>
    <definedName name="_xlnm._FilterDatabase" localSheetId="0" hidden="1">'7601 (VIG)'!$B$19:$AB$23</definedName>
    <definedName name="_xlnm._FilterDatabase" localSheetId="1" hidden="1">'7611 (VIG)'!$B$19:$AB$25</definedName>
    <definedName name="_xlnm._FilterDatabase" localSheetId="4" hidden="1">'7612 (VIG)'!$B$19:$AB$24</definedName>
    <definedName name="_xlnm._FilterDatabase" localSheetId="2" hidden="1">'7639 (VIG)'!$B$19:$AB$24</definedName>
    <definedName name="_xlnm._FilterDatabase" localSheetId="3" hidden="1">'7649 (VIG)'!$B$19:$AB$23</definedName>
    <definedName name="_xlnm.Print_Area" localSheetId="5">'7597 (VIG)'!$B$2:$AC$26</definedName>
    <definedName name="_xlnm.Print_Area" localSheetId="0">'7601 (VIG)'!$B$2:$AC$26</definedName>
    <definedName name="_xlnm.Print_Area" localSheetId="1">'7611 (VIG)'!$B$2:$AC$28</definedName>
    <definedName name="_xlnm.Print_Area" localSheetId="4">'7612 (VIG)'!$B$2:$AC$26</definedName>
    <definedName name="_xlnm.Print_Area" localSheetId="2">'7639 (VIG)'!$B$2:$AC$26</definedName>
    <definedName name="_xlnm.Print_Area" localSheetId="3">'7649 (VIG)'!$B$2:$AC$25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4" l="1"/>
  <c r="V23" i="4"/>
  <c r="U23" i="4"/>
  <c r="T23" i="4"/>
  <c r="S23" i="4"/>
  <c r="R23" i="4"/>
  <c r="Q23" i="4"/>
  <c r="P23" i="4"/>
  <c r="Q21" i="3"/>
  <c r="S24" i="4"/>
  <c r="Q24" i="4"/>
  <c r="W20" i="4"/>
  <c r="V20" i="4"/>
  <c r="S20" i="4"/>
  <c r="R20" i="4"/>
  <c r="Q20" i="4"/>
  <c r="W20" i="5"/>
  <c r="S20" i="5"/>
  <c r="R20" i="5"/>
  <c r="Q20" i="5"/>
  <c r="U21" i="6"/>
  <c r="T21" i="6"/>
  <c r="T21" i="8"/>
  <c r="S21" i="8"/>
  <c r="R21" i="8"/>
  <c r="Q21" i="8"/>
  <c r="T20" i="8"/>
  <c r="S20" i="8"/>
  <c r="Q20" i="8"/>
  <c r="W20" i="6"/>
  <c r="V20" i="6"/>
  <c r="T20" i="6"/>
  <c r="R20" i="6"/>
  <c r="W22" i="8"/>
  <c r="T22" i="5"/>
  <c r="N20" i="5" l="1"/>
  <c r="S22" i="8"/>
  <c r="S20" i="6"/>
  <c r="AA21" i="3"/>
  <c r="N22" i="8"/>
  <c r="N21" i="8"/>
  <c r="N20" i="8"/>
  <c r="N21" i="7"/>
  <c r="N20" i="7"/>
  <c r="N23" i="6"/>
  <c r="N22" i="6"/>
  <c r="N21" i="6"/>
  <c r="N23" i="5"/>
  <c r="N22" i="5"/>
  <c r="N21" i="5"/>
  <c r="N24" i="4"/>
  <c r="N23" i="4"/>
  <c r="N22" i="4"/>
  <c r="N21" i="4"/>
  <c r="N20" i="4"/>
  <c r="AA20" i="3" l="1"/>
  <c r="AB20" i="3" s="1"/>
  <c r="AA21" i="8" l="1"/>
  <c r="AB21" i="8" s="1"/>
  <c r="AA22" i="8"/>
  <c r="AB22" i="8" s="1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O24" i="6"/>
  <c r="P24" i="6"/>
  <c r="Q24" i="6"/>
  <c r="R24" i="6"/>
  <c r="S24" i="6"/>
  <c r="T24" i="6"/>
  <c r="AA24" i="4"/>
  <c r="AB24" i="4" s="1"/>
  <c r="AA23" i="4"/>
  <c r="AB23" i="4" s="1"/>
  <c r="AA20" i="8" l="1"/>
  <c r="AA21" i="7"/>
  <c r="AB21" i="7" s="1"/>
  <c r="AA20" i="7"/>
  <c r="AB20" i="7" s="1"/>
  <c r="AA23" i="6"/>
  <c r="AB23" i="6" s="1"/>
  <c r="AA22" i="6"/>
  <c r="AB22" i="6" s="1"/>
  <c r="AA21" i="6"/>
  <c r="AB21" i="6" s="1"/>
  <c r="AA20" i="6"/>
  <c r="AB20" i="6" s="1"/>
  <c r="AB20" i="8" l="1"/>
  <c r="AB25" i="8" s="1"/>
  <c r="AA25" i="8"/>
  <c r="AA23" i="5"/>
  <c r="AB23" i="5" s="1"/>
  <c r="AA22" i="5"/>
  <c r="AB22" i="5" s="1"/>
  <c r="AA21" i="5"/>
  <c r="AB21" i="5" s="1"/>
  <c r="AA20" i="5"/>
  <c r="AB20" i="5" s="1"/>
  <c r="AA22" i="4"/>
  <c r="AB22" i="4" s="1"/>
  <c r="AA21" i="4"/>
  <c r="AB21" i="4" s="1"/>
  <c r="AA20" i="4"/>
  <c r="AB20" i="4" s="1"/>
  <c r="Q28" i="4"/>
  <c r="P28" i="4"/>
  <c r="AB21" i="3" l="1"/>
  <c r="L25" i="8" l="1"/>
  <c r="F17" i="8"/>
  <c r="G17" i="8" s="1"/>
  <c r="H17" i="8" s="1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F17" i="7"/>
  <c r="G17" i="7" s="1"/>
  <c r="AB24" i="6"/>
  <c r="AA24" i="6"/>
  <c r="Z24" i="6"/>
  <c r="Y24" i="6"/>
  <c r="X24" i="6"/>
  <c r="W24" i="6"/>
  <c r="V24" i="6"/>
  <c r="U24" i="6"/>
  <c r="N24" i="6"/>
  <c r="M24" i="6"/>
  <c r="L24" i="6"/>
  <c r="F17" i="6"/>
  <c r="G17" i="6" s="1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F17" i="5"/>
  <c r="G17" i="5" s="1"/>
  <c r="AB26" i="4"/>
  <c r="AA26" i="4"/>
  <c r="Z26" i="4"/>
  <c r="Z29" i="4" s="1"/>
  <c r="Y26" i="4"/>
  <c r="Y29" i="4" s="1"/>
  <c r="X26" i="4"/>
  <c r="X29" i="4" s="1"/>
  <c r="W26" i="4"/>
  <c r="W29" i="4" s="1"/>
  <c r="V26" i="4"/>
  <c r="V29" i="4" s="1"/>
  <c r="U26" i="4"/>
  <c r="U29" i="4" s="1"/>
  <c r="T26" i="4"/>
  <c r="T29" i="4" s="1"/>
  <c r="S26" i="4"/>
  <c r="R26" i="4"/>
  <c r="R29" i="4" s="1"/>
  <c r="Q26" i="4"/>
  <c r="P26" i="4"/>
  <c r="P29" i="4" s="1"/>
  <c r="O26" i="4"/>
  <c r="O29" i="4" s="1"/>
  <c r="N26" i="4"/>
  <c r="M26" i="4"/>
  <c r="L26" i="4"/>
  <c r="L29" i="4" s="1"/>
  <c r="F17" i="4"/>
  <c r="G17" i="4" s="1"/>
  <c r="H17" i="4" l="1"/>
  <c r="Q29" i="4"/>
  <c r="S29" i="4"/>
  <c r="AB29" i="4"/>
  <c r="H17" i="6"/>
  <c r="N29" i="4"/>
  <c r="AA29" i="4"/>
  <c r="M29" i="4"/>
  <c r="H17" i="7"/>
  <c r="L24" i="3"/>
  <c r="AB24" i="3"/>
  <c r="AA24" i="3"/>
  <c r="Z24" i="3"/>
  <c r="Z27" i="3" s="1"/>
  <c r="Y24" i="3"/>
  <c r="Y27" i="3" s="1"/>
  <c r="X24" i="3"/>
  <c r="X27" i="3" s="1"/>
  <c r="W24" i="3"/>
  <c r="W27" i="3" s="1"/>
  <c r="V24" i="3"/>
  <c r="V27" i="3" s="1"/>
  <c r="U24" i="3"/>
  <c r="U27" i="3" s="1"/>
  <c r="T24" i="3"/>
  <c r="T27" i="3" s="1"/>
  <c r="S24" i="3"/>
  <c r="S27" i="3" s="1"/>
  <c r="R24" i="3"/>
  <c r="R27" i="3" s="1"/>
  <c r="Q24" i="3"/>
  <c r="Q27" i="3" s="1"/>
  <c r="P24" i="3"/>
  <c r="P27" i="3" s="1"/>
  <c r="O24" i="3"/>
  <c r="O27" i="3" s="1"/>
  <c r="N24" i="3"/>
  <c r="M24" i="3"/>
  <c r="L27" i="3" l="1"/>
  <c r="AB27" i="3"/>
  <c r="AA27" i="3"/>
  <c r="M27" i="3"/>
  <c r="N27" i="3"/>
  <c r="F17" i="3"/>
  <c r="G17" i="3" s="1"/>
  <c r="H17" i="3" s="1"/>
  <c r="L25" i="5"/>
</calcChain>
</file>

<file path=xl/sharedStrings.xml><?xml version="1.0" encoding="utf-8"?>
<sst xmlns="http://schemas.openxmlformats.org/spreadsheetml/2006/main" count="602" uniqueCount="194">
  <si>
    <t>Producto PMR</t>
  </si>
  <si>
    <t>Total Giros</t>
  </si>
  <si>
    <t>INSTITUTO DISTRITAL DE PATRIMONIO CULTURAL</t>
  </si>
  <si>
    <t>Adición</t>
  </si>
  <si>
    <t>Reducción</t>
  </si>
  <si>
    <t>PROCESO DE DIRECCIONAMIENTO ESTRATÉGICO</t>
  </si>
  <si>
    <t xml:space="preserve">LOGROS DE CIUDAD: </t>
  </si>
  <si>
    <t>Fecha de Actualización:</t>
  </si>
  <si>
    <t>PROPÓSITO: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</si>
  <si>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</si>
  <si>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</si>
  <si>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</si>
  <si>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</si>
  <si>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</si>
  <si>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</si>
  <si>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</si>
  <si>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</si>
  <si>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Trazador Presupuestal</t>
  </si>
  <si>
    <t>Categoría</t>
  </si>
  <si>
    <t>Sub-Categoría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</si>
  <si>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</si>
  <si>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</si>
  <si>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</si>
  <si>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</si>
  <si>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</si>
  <si>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</si>
  <si>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</si>
  <si>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</si>
  <si>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</si>
  <si>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</si>
  <si>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</si>
  <si>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</si>
  <si>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</si>
  <si>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</si>
  <si>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Meta Plan de Desarrollo</t>
  </si>
  <si>
    <t>TOTAL INVERSIÓN</t>
  </si>
  <si>
    <t>VIGENCIA</t>
  </si>
  <si>
    <t xml:space="preserve">PROGRAMA ESTRATÉGICO: </t>
  </si>
  <si>
    <t xml:space="preserve">Plan de Desarrollo </t>
  </si>
  <si>
    <t xml:space="preserve">PROGRAMA: </t>
  </si>
  <si>
    <t>2020-2024: Un Nuevo Contrato Social y Ambiental para la Bogotá del Siglo XXI</t>
  </si>
  <si>
    <t>01 - Hacer un nuevo contrato social con igualdad de oportunidades para la inclusión social, productiva y política</t>
  </si>
  <si>
    <t>05 - Cerrar las brechas digitales de cobertura, calidad y competencias a lo largo del ciclo de la formación integral, desde primera infancia hasta la educación superior y continua para la vida</t>
  </si>
  <si>
    <t>05 - Cerrar las brechas DIGITALES, de cobertura, calidad y competencias a lo largo del ciclo de la formación integral, desde primera infancia hasta la educación superior y continua para la vida</t>
  </si>
  <si>
    <t>01 - Oportunidades de educación, salud y cultura para mujeres, jóvenes, niños, niñas y adolescentes</t>
  </si>
  <si>
    <t>14 - Formación integral: más y mejor tiempo en los colegios</t>
  </si>
  <si>
    <t>7601-Formación en patrimonio cultural en el ciclo integral de educación para la vida en Bogotá</t>
  </si>
  <si>
    <t>133011601140000007601</t>
  </si>
  <si>
    <t>2020110010174</t>
  </si>
  <si>
    <t>96 - 257.000 Beneficiarios de procesos integrales de formación a lo largo de la vida con énfasis en el arte, la cultura y el patrimonio.</t>
  </si>
  <si>
    <t>Documentos normativos</t>
  </si>
  <si>
    <t>Documentos normativos realizados</t>
  </si>
  <si>
    <t>4. Educación de calidad</t>
  </si>
  <si>
    <t>Sin asociación a la fecha</t>
  </si>
  <si>
    <t>Servicio de asistencia técnica en educación artística y cultural</t>
  </si>
  <si>
    <t>Asistencias técnicas realizadas</t>
  </si>
  <si>
    <t>Servicio de educación informal al sector artístico y cultural</t>
  </si>
  <si>
    <t>Personas capacitadas</t>
  </si>
  <si>
    <t>09 - Promover la participación, la transformación cultural, deportiva, recreativa, patrimonial y artística que propicien espacios de encuentro, tejido social y reconocimiento del otro</t>
  </si>
  <si>
    <t>21 - Creación y vida cotidiana: Apropiación ciudadana del arte, la cultura y el patrimonio, para la democracia cultural</t>
  </si>
  <si>
    <t>7611-Desarrollo de acciones integrales de valoración y recuperación de Bienes y Sectores de Interés Cultural de Bogotá</t>
  </si>
  <si>
    <t>133011601210000007611</t>
  </si>
  <si>
    <t>2020110010062</t>
  </si>
  <si>
    <t>Servicios de restauración del patrimonio cultural material inmueble</t>
  </si>
  <si>
    <t>Restauraciones realizadas</t>
  </si>
  <si>
    <t>11. Ciudades y comunidades sostenibles</t>
  </si>
  <si>
    <t>157 - Realizar 700 intervenciones en Bienes de Interés Cultural de Bogotá</t>
  </si>
  <si>
    <t>154 - Implementar una (1) estrategia que permita reconocer y difundir manifestaciones de patrimonio cultural material e inmaterial, para generar conocimiento en la ciudadanía.</t>
  </si>
  <si>
    <t>2 - Realizar un (1) proceso de identificación, valoración y documentación de Bienes de Interés Cultural y espacios públicos patrimoniales</t>
  </si>
  <si>
    <t>Documentos de lineamientos técnicos</t>
  </si>
  <si>
    <t>Documentos de lineamientos técnicos realizados</t>
  </si>
  <si>
    <t>3. Orientar y atender el 100% de las solicitudes de recuperación, protección y conservación del patrimonio cultural del Distrito Capita</t>
  </si>
  <si>
    <t>Servicio de protección del patrimonio arqueológico, antropológico e histórico</t>
  </si>
  <si>
    <t>Actos administrativos generados</t>
  </si>
  <si>
    <t>7639-Consolidación de la capacidad institucional y ciudadana para la territorialización, apropiación, fomento, salvaguardia y divulgación del Patrimonio Cultural en Bogotá</t>
  </si>
  <si>
    <t>133011601210000007639</t>
  </si>
  <si>
    <t>2020110010058</t>
  </si>
  <si>
    <t>153 -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</si>
  <si>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1 -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</si>
  <si>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Servicio de promoción de actividades culturales</t>
  </si>
  <si>
    <t>Actividades culturales realizadas en Museos del Ministerio de Cultura</t>
  </si>
  <si>
    <t>158 - Realizar el 100% de las acciones para el fortalecimiento de los estímulos, apoyos concertados y alianzas estratégicas para dinamizar la estrategia sectorial dirigida a fomentar los procesos culturales, artísticos, patrimoniales</t>
  </si>
  <si>
    <t>2 - Otorgar 250 estímulos, apoyos concertados y alianzas estratégicas para dinamizar la estrategia sectorial dirigida a fomentar los procesos patrimoniales de la ciudad</t>
  </si>
  <si>
    <t>Documentos Investigación</t>
  </si>
  <si>
    <t>Estímulos otorgados</t>
  </si>
  <si>
    <t>152 - Gestionar tres (3) declaratorias de patrimonio cultural inmaterial del orden distrital</t>
  </si>
  <si>
    <t>3 - Gestionar tres (3) declaratorias de patrimonio cultural inmaterial del orden distrital</t>
  </si>
  <si>
    <t>4 - Realizar un (1) proceso de diagnóstico, identificación y documentación de manifestaciones de patrimonio cultural</t>
  </si>
  <si>
    <t>Servicio de salvaguardia al patrimonio inmaterial</t>
  </si>
  <si>
    <t>Procesos de salvaguardia efectiva del patrimonio inmaterial realizados</t>
  </si>
  <si>
    <t>02 - Cambiar nuestros hábitos de vida para reverdecer a Bogotá y adaptarnos y mitigar la crisis climática</t>
  </si>
  <si>
    <t>15 - Intervenir integralmente áreas estratégicas de Bogotá teniendo en cuenta las dinámicas patrimoniales, ambientales, sociales y culturales</t>
  </si>
  <si>
    <t>08 - Cuidado de todas las formas de vida</t>
  </si>
  <si>
    <t>31 - Protección y valoración del patrimonio tangible e intangible en Bogotá y la región</t>
  </si>
  <si>
    <t>133011602310000007649</t>
  </si>
  <si>
    <t>2020110010055</t>
  </si>
  <si>
    <t>229 - Generar la activación de un (1) parque arqueológico de la Hacienda El Carmen (Usme) integrando borde urbano y rural de Bogotá</t>
  </si>
  <si>
    <t>1 - Generar la activación de un (1) parque arqueológico de la Hacienda El Carmen (Usme) integrando borde urbano y rural de Bogotá</t>
  </si>
  <si>
    <t>Servicio de preservación de los parques y áreas arqueológicaspatrimoniales</t>
  </si>
  <si>
    <t>Parques arqueológicos patrimoniales preservados</t>
  </si>
  <si>
    <t>228 - Formular cuatro (4) instrumentos de planeación territorial en entornos patrimoniales como determinante del ordenamiento territorial de Bogotá</t>
  </si>
  <si>
    <t>2. Formular cuatro (4) instrumentos de planeación territorial en entornos patrimoniales como determinante del ordenamiento territorial de Bogotá.</t>
  </si>
  <si>
    <t>231 - Gestionar una (1) declaratoria de Sumapaz como Patrimonio de la Humanidad por la Unesco</t>
  </si>
  <si>
    <t>3 - Gestionar una (1) declaratoria de Sumapaz como Patrimonio de la Humanidad por la Unesco</t>
  </si>
  <si>
    <t>227 - Activación de siete (7) entornos con presencia representativa de patrimonio cultural material e inmaterial a través de procesos de interacción social, artística y cultural</t>
  </si>
  <si>
    <t>4 - Activación de siete (7)  entornos con presencia representativa de patrimonio cultural material e inmaterial a través de procesos de interacción social, artística y cultural</t>
  </si>
  <si>
    <t>Servicio de asistencia técnica en asuntos patrimoniales nacionales e internacionales</t>
  </si>
  <si>
    <t>3 - Inspirar confianza y legitimidad para vivir sin miedo y ser epicentro de cultura ciudadana, paz y reconciliación</t>
  </si>
  <si>
    <t xml:space="preserve">23 - Fomentar la auto regulación, regulación mutua, la concertación y el dialogo social generando confianza y convivencia entre la ciudadanía y entre esta y las instituciones </t>
  </si>
  <si>
    <t xml:space="preserve">10 - Cambio cultural y diálogo social </t>
  </si>
  <si>
    <t>42 - Conciencia y cultura ciudadana para la seguridad, la convivencia y la construcción de confianza</t>
  </si>
  <si>
    <t>133011603420000007612</t>
  </si>
  <si>
    <t>2020110010032</t>
  </si>
  <si>
    <t>312 - Crear un (1)  espacio que integre dimensiones patrimoniales y de memoria en la ciudad</t>
  </si>
  <si>
    <t>1 - Crear un (1)  espacio que integre dimensiones patrimoniales y de memoria en la ciudad</t>
  </si>
  <si>
    <t>2 - Realizar 50 talleres participativos con la comunidad y actores sociales</t>
  </si>
  <si>
    <t>493 - Desarrollar y mantener al 100% la capacidad institucional a través de la mejora en la infraestructura física, tecnológica y de gestión en beneficio de la ciudadanía.</t>
  </si>
  <si>
    <t>1 - Aumentar en 10 puntos el Índice de Desempeño Institucional, mediante la implemntación del Modelo de Gestión y Desempeño</t>
  </si>
  <si>
    <t>Servicio de implementación del Sistema de Gestión</t>
  </si>
  <si>
    <t>16. Paz, justicia e instituciones sólidas</t>
  </si>
  <si>
    <t>539 - Realizar el 100% de las acciones para el fortalecimiento de la comunicación pública</t>
  </si>
  <si>
    <t>3. Implementar el 100% de las estrategias de fortalecimiento de la comunicación pública</t>
  </si>
  <si>
    <t>2 - Realizar el 100% de la administración, mantenimiento y adecuación de la infraestuctura institucional</t>
  </si>
  <si>
    <t>Sedes adecuadas</t>
  </si>
  <si>
    <t>5 - Construir Bogotá Región con gobierno abierto, transparente y ciudadanía consciente</t>
  </si>
  <si>
    <t>30 - Incrementar la efectividad de la gestión pública distrital y local.</t>
  </si>
  <si>
    <t xml:space="preserve">15 - Gestión pública efectiva, abierta y transparente </t>
  </si>
  <si>
    <t>56 - Gestión pública efectiva</t>
  </si>
  <si>
    <t>133011605560000007597</t>
  </si>
  <si>
    <t>2020110010078</t>
  </si>
  <si>
    <t>157 - Realizar 1100 intervenciones en Bienes de Interés Cultural de Bogotá</t>
  </si>
  <si>
    <t>Servicios de formación en patrimonio cultural con enfoque territorial y poblacional-diferencial.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</si>
  <si>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</si>
  <si>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</si>
  <si>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Servicios de intervención y recuperación del patrimonio cultural.</t>
  </si>
  <si>
    <t>Número intervenciones en bienes de interés cultural realizadas.</t>
  </si>
  <si>
    <t>Porcentaje de solicitudes atendidas para la recuperación y preservación de Bienes de Interés Cultural</t>
  </si>
  <si>
    <t>Servicio de asistencia técnica para identificación, valoración y salvaguardia del patrimonio cultural.</t>
  </si>
  <si>
    <t>Número de actividades culturales y servicios de mediaciones realizadas.</t>
  </si>
  <si>
    <t>Servicio de divulgación del patrimonio cultural con enfoque territorial y poblacional-diferencial</t>
  </si>
  <si>
    <t xml:space="preserve">Servicios de estímulos y apoyos para la oferta artística, cultural y patrimonial. </t>
  </si>
  <si>
    <t>Número de estímulos y apoyos concertados entregados a creadores, actores y gestores patrimoniales, con enfoque territorial y poblacional-diferencial.</t>
  </si>
  <si>
    <t>Porcentaje de Avance en la Formulación de  planes y proyectos de salvaguardia del Patrimonio Cultural Inmaterial</t>
  </si>
  <si>
    <t>Número de talleres y espacios participativos para la identificación, documentación y registro de manifestaciones culturales realizados
'Número de fichas de registro de manifestaciones elaboradas.</t>
  </si>
  <si>
    <t>Servicio de activación de los patrimonios integrados.</t>
  </si>
  <si>
    <t>Número de acciones de activación social, cultural y física realizadas en Sectores de Interés Cultural.</t>
  </si>
  <si>
    <t>Número de acciones de activación social, cultural y física realizadas en áreas arqueológicas.</t>
  </si>
  <si>
    <t>Servicios de gestión y ordenamiento territorial del patrimonio cultural.</t>
  </si>
  <si>
    <t>Porcentaje de avance en la formulación de instrumentos de gestión y ordenamiento territorial</t>
  </si>
  <si>
    <t>Estrategias de mejoramiento del desempeño institucional y del servicio a la ciudadanía orientada a la entrega efectiva de productos, servicios e información.</t>
  </si>
  <si>
    <t>Sedes adecuadas y/o mantenidas</t>
  </si>
  <si>
    <t>Número de estrategias para la mejora del desempeño institucional desarrolladas</t>
  </si>
  <si>
    <t>Número de sedes institucionales mantenidas física y tecnológicamente</t>
  </si>
  <si>
    <t>TPGE</t>
  </si>
  <si>
    <t>Comunidades Negras, Afrocolombianos  y Palenquera (NAP) - Comunidad Raizal - Pueblos y Comunidades Indígenas - Pueblo Rrom o Gitano</t>
  </si>
  <si>
    <t>Prácticas culturales con enfoque étnico diferencial.</t>
  </si>
  <si>
    <t>Participación de la Ciudadanía</t>
  </si>
  <si>
    <t>Ciudananía activa promovida a través de la construcción de capacidades culturales</t>
  </si>
  <si>
    <t>1 - Realizar 1100 intervenciones en Bienes de Interés Cultural de Bogotá</t>
  </si>
  <si>
    <t>TPCC</t>
  </si>
  <si>
    <t>Diseño e implementación de estrategias y acciones de transformación cultural y comportamental</t>
  </si>
  <si>
    <t>Fortalecimiento de capacidades y conocimientos para la transformación cultural y comportamental</t>
  </si>
  <si>
    <t>TPCC
TPIEG</t>
  </si>
  <si>
    <t>-Diseño e implementación de estrategias y acciones de transformación cultural y comportamental
-Autonomía económica</t>
  </si>
  <si>
    <t>TPGE
TPIEG</t>
  </si>
  <si>
    <t>-Pueblos y Comunidades Indígenas
-Participación de la Ciudadanía</t>
  </si>
  <si>
    <t>-Prácticas culturales con enfoque étnico diferencial.
-Ciudananía activa promovida a través de la construcción de capacidades culturales</t>
  </si>
  <si>
    <t xml:space="preserve">-Reconciliación
-Participación de la Ciudadanía
-ARTE, CULTURA, RECREACIÓN Y DEPORTE
-Ciudad accesible e incluyente </t>
  </si>
  <si>
    <t>TPCP
TPIEG
TPJ
TPPD</t>
  </si>
  <si>
    <t>-Cultura, arte, recreación y deporte transformador para la reconciliación
-Ciudadanía activa promovida a través de la construcción de capacidades culturales
-Actividades de apreciación, creación, producción y estímulos culturales
-Prácticas culturales, artísticas, recreativas y deportivas accesibles e incluyentes</t>
  </si>
  <si>
    <t>TPGE
TPPD
TPIEG
TPJ
TPCP</t>
  </si>
  <si>
    <t>-Comunidades Negras, Afrocolombianos  y Palenquera (NAP) - Comunidad Raizal - Pueblos y Comunidades Indígenas - Pueblo Rrom o Gitano
-Ciudad accesible e incluyente 
-Participación de la Ciudadanía
-Ciudad accesible e incluyente
'-Reconciliación</t>
  </si>
  <si>
    <t>-Prácticas culturales con enfoque étnico diferencial.
-Prácticas culturales, artísticas, recreativas y deportivas accesibles e incluyentes
-Ciudadanía activa promovida a través de la construcción de capacidades culturales
-Prácticas culturales, artísticas, recreativas y deportivas accesibles e incluyentes
'-Cultura, arte, recreación y deporte transformador para la reconciliación</t>
  </si>
  <si>
    <t>-Comunidades Negras, Afrocolombianos  y Palenquera (NAP) - Comunidad Raizal - Pueblos y Comunidades Indígenas - Pueblo Rrom o Gitano
-Participación de la Ciudadanía
-ARTE, CULTURA, RECREACIÓN Y DEPORTE</t>
  </si>
  <si>
    <t>TPGE
TPIEG
TPJ</t>
  </si>
  <si>
    <t>-Educación diferencial.
-Ciudadanía activa promovida a través de la construcción de capacidades culturales
-Actividades de apreciación, creación, producción y estímulos culturales</t>
  </si>
  <si>
    <t>-Participación de la Ciudadanía
-ARTE, CULTURA, RECREACIÓN Y DEPORTE
-Reconciliación</t>
  </si>
  <si>
    <t>TPIEG
TPJ
TPCP</t>
  </si>
  <si>
    <t>-Ciudadanía activa promovida a través de la construcción de capacidades culturales
-Actividades de apreciación, creación, producción y estímulos culturales
-Cultura, arte, recreación y deporte transformador para la reconciliación</t>
  </si>
  <si>
    <t>5. Avanzar el 100  por ciento de la primera fase del proyecto de mejora y adecuación del auditorio principal de la FUGA. (*)</t>
  </si>
  <si>
    <t>2 - Beneficiar a 306 personas en el proceso de formación a formadores en patrimonio cultural</t>
  </si>
  <si>
    <t>1 - Beneficiar a 6.694 personas en procesos integrales de formación en patrimonio cultural</t>
  </si>
  <si>
    <t>|</t>
  </si>
  <si>
    <t>7612-Recuperación de Columbarios ubicados en el Globo B del Cementerio Central de Bogotá</t>
  </si>
  <si>
    <t>2024</t>
  </si>
  <si>
    <t>PLAN OPERATIVO ANUAL DE INVERSIÓN - POAI (RESERVA PRESUPUESTAL)</t>
  </si>
  <si>
    <t>Reserva constituida</t>
  </si>
  <si>
    <t>Reserva Definitiva</t>
  </si>
  <si>
    <t>Anulaciones</t>
  </si>
  <si>
    <t>Reserva a fenecer</t>
  </si>
  <si>
    <t>-</t>
  </si>
  <si>
    <t>6. Avanzar en un (1) proceso de gestión, articulación y seguimiento a la implementación del Plan Especial de Manejo y Protección del Hospital San Juan de Dios e Instituto Materno Infantil. (*)</t>
  </si>
  <si>
    <t>7649-Consolidación de los patrimonios como referente de ordenamiento territorial en la ciudad de Bogotá</t>
  </si>
  <si>
    <t xml:space="preserve">7597-Fortalecimiento de la gestión del Instituto Distrital de Patrimonio Cultural de Bogotá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</si>
</sst>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/>
      <top style="thin">
        <color theme="1" tint="0.24994659260841701"/>
      </top>
      <bottom/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/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7" applyNumberFormat="0" applyAlignment="0" applyProtection="0"/>
    <xf numFmtId="0" fontId="28" fillId="10" borderId="8" applyNumberFormat="0" applyAlignment="0" applyProtection="0"/>
    <xf numFmtId="0" fontId="29" fillId="10" borderId="7" applyNumberFormat="0" applyAlignment="0" applyProtection="0"/>
    <xf numFmtId="0" fontId="30" fillId="0" borderId="9" applyNumberFormat="0" applyFill="0" applyAlignment="0" applyProtection="0"/>
    <xf numFmtId="0" fontId="31" fillId="1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35" fillId="36" borderId="0" applyNumberFormat="0" applyBorder="0" applyAlignment="0" applyProtection="0"/>
    <xf numFmtId="0" fontId="16" fillId="0" borderId="0"/>
    <xf numFmtId="0" fontId="16" fillId="12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2" borderId="11" applyNumberFormat="0" applyFont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38" fillId="5" borderId="13" xfId="0" applyFont="1" applyFill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8" borderId="29" xfId="0" applyFont="1" applyFill="1" applyBorder="1" applyAlignment="1">
      <alignment vertical="center" wrapText="1"/>
    </xf>
    <xf numFmtId="166" fontId="42" fillId="38" borderId="35" xfId="1" applyNumberFormat="1" applyFont="1" applyFill="1" applyBorder="1" applyAlignment="1">
      <alignment horizontal="center" vertical="center" wrapText="1"/>
    </xf>
    <xf numFmtId="166" fontId="42" fillId="38" borderId="36" xfId="1" applyNumberFormat="1" applyFont="1" applyFill="1" applyBorder="1" applyAlignment="1">
      <alignment horizontal="center" vertical="center" wrapText="1"/>
    </xf>
    <xf numFmtId="166" fontId="42" fillId="38" borderId="37" xfId="1" applyNumberFormat="1" applyFont="1" applyFill="1" applyBorder="1" applyAlignment="1">
      <alignment horizontal="center" vertical="center" wrapText="1"/>
    </xf>
    <xf numFmtId="166" fontId="42" fillId="38" borderId="30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7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7" borderId="26" xfId="1" applyNumberFormat="1" applyFont="1" applyFill="1" applyBorder="1" applyAlignment="1">
      <alignment horizontal="center" vertical="center" wrapText="1"/>
    </xf>
    <xf numFmtId="3" fontId="38" fillId="37" borderId="26" xfId="1" applyNumberFormat="1" applyFont="1" applyFill="1" applyBorder="1" applyAlignment="1">
      <alignment horizontal="center" vertical="center" wrapText="1"/>
    </xf>
    <xf numFmtId="0" fontId="42" fillId="39" borderId="20" xfId="0" applyFont="1" applyFill="1" applyBorder="1" applyAlignment="1">
      <alignment horizontal="center" vertical="center" wrapText="1"/>
    </xf>
    <xf numFmtId="0" fontId="42" fillId="39" borderId="18" xfId="0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7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38" borderId="35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7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8" borderId="35" xfId="1" applyNumberFormat="1" applyFont="1" applyFill="1" applyBorder="1" applyAlignment="1">
      <alignment horizontal="right" vertical="center" wrapText="1"/>
    </xf>
    <xf numFmtId="0" fontId="42" fillId="39" borderId="57" xfId="0" applyFont="1" applyFill="1" applyBorder="1" applyAlignment="1">
      <alignment horizontal="center" vertical="center" wrapText="1"/>
    </xf>
    <xf numFmtId="166" fontId="42" fillId="38" borderId="31" xfId="1" applyNumberFormat="1" applyFont="1" applyFill="1" applyBorder="1" applyAlignment="1">
      <alignment horizontal="center" vertical="center" wrapText="1"/>
    </xf>
    <xf numFmtId="167" fontId="42" fillId="38" borderId="38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8" borderId="29" xfId="1" applyNumberFormat="1" applyFont="1" applyFill="1" applyBorder="1" applyAlignment="1">
      <alignment horizontal="center" vertical="center" wrapText="1"/>
    </xf>
    <xf numFmtId="0" fontId="42" fillId="4" borderId="57" xfId="0" applyFont="1" applyFill="1" applyBorder="1" applyAlignment="1">
      <alignment horizontal="center" vertical="center" wrapText="1"/>
    </xf>
    <xf numFmtId="166" fontId="42" fillId="38" borderId="32" xfId="1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5" borderId="65" xfId="0" applyFont="1" applyFill="1" applyBorder="1" applyAlignment="1">
      <alignment vertical="center" wrapText="1"/>
    </xf>
    <xf numFmtId="0" fontId="45" fillId="5" borderId="64" xfId="0" applyFont="1" applyFill="1" applyBorder="1" applyAlignment="1">
      <alignment vertical="center"/>
    </xf>
    <xf numFmtId="0" fontId="45" fillId="5" borderId="65" xfId="0" applyFont="1" applyFill="1" applyBorder="1" applyAlignment="1">
      <alignment vertical="center"/>
    </xf>
    <xf numFmtId="0" fontId="45" fillId="5" borderId="66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7" borderId="40" xfId="0" applyFont="1" applyFill="1" applyBorder="1" applyAlignment="1">
      <alignment horizontal="left" vertical="center" wrapText="1"/>
    </xf>
    <xf numFmtId="0" fontId="40" fillId="37" borderId="42" xfId="0" applyFont="1" applyFill="1" applyBorder="1" applyAlignment="1">
      <alignment horizontal="left" vertical="center" wrapText="1"/>
    </xf>
    <xf numFmtId="0" fontId="40" fillId="37" borderId="39" xfId="0" applyFont="1" applyFill="1" applyBorder="1" applyAlignment="1">
      <alignment horizontal="left" vertical="center" wrapText="1"/>
    </xf>
    <xf numFmtId="0" fontId="40" fillId="37" borderId="61" xfId="0" applyFont="1" applyFill="1" applyBorder="1" applyAlignment="1">
      <alignment horizontal="left" vertical="center" wrapText="1"/>
    </xf>
    <xf numFmtId="0" fontId="40" fillId="40" borderId="39" xfId="0" applyFont="1" applyFill="1" applyBorder="1" applyAlignment="1">
      <alignment horizontal="left" vertical="center" wrapText="1"/>
    </xf>
    <xf numFmtId="0" fontId="40" fillId="40" borderId="40" xfId="0" applyFont="1" applyFill="1" applyBorder="1" applyAlignment="1">
      <alignment horizontal="left" vertical="center" wrapText="1"/>
    </xf>
    <xf numFmtId="0" fontId="40" fillId="40" borderId="58" xfId="0" applyFont="1" applyFill="1" applyBorder="1" applyAlignment="1">
      <alignment horizontal="left" vertical="center" wrapText="1"/>
    </xf>
    <xf numFmtId="3" fontId="40" fillId="41" borderId="39" xfId="0" applyNumberFormat="1" applyFont="1" applyFill="1" applyBorder="1" applyAlignment="1">
      <alignment horizontal="center" vertical="center" wrapText="1"/>
    </xf>
    <xf numFmtId="3" fontId="40" fillId="41" borderId="40" xfId="0" applyNumberFormat="1" applyFont="1" applyFill="1" applyBorder="1" applyAlignment="1">
      <alignment horizontal="center" vertical="center" wrapText="1"/>
    </xf>
    <xf numFmtId="3" fontId="40" fillId="41" borderId="41" xfId="0" applyNumberFormat="1" applyFont="1" applyFill="1" applyBorder="1" applyAlignment="1">
      <alignment horizontal="center" vertical="center"/>
    </xf>
    <xf numFmtId="3" fontId="40" fillId="41" borderId="40" xfId="0" applyNumberFormat="1" applyFont="1" applyFill="1" applyBorder="1" applyAlignment="1">
      <alignment horizontal="center" vertical="center"/>
    </xf>
    <xf numFmtId="3" fontId="40" fillId="41" borderId="42" xfId="0" applyNumberFormat="1" applyFont="1" applyFill="1" applyBorder="1" applyAlignment="1">
      <alignment horizontal="center" vertical="center"/>
    </xf>
    <xf numFmtId="3" fontId="40" fillId="41" borderId="43" xfId="0" applyNumberFormat="1" applyFont="1" applyFill="1" applyBorder="1" applyAlignment="1">
      <alignment horizontal="center" vertical="center"/>
    </xf>
    <xf numFmtId="3" fontId="40" fillId="41" borderId="44" xfId="0" applyNumberFormat="1" applyFont="1" applyFill="1" applyBorder="1" applyAlignment="1">
      <alignment horizontal="center" vertical="center"/>
    </xf>
    <xf numFmtId="0" fontId="40" fillId="37" borderId="46" xfId="0" applyFont="1" applyFill="1" applyBorder="1" applyAlignment="1">
      <alignment horizontal="left" vertical="center" wrapText="1"/>
    </xf>
    <xf numFmtId="0" fontId="40" fillId="37" borderId="48" xfId="0" applyFont="1" applyFill="1" applyBorder="1" applyAlignment="1">
      <alignment horizontal="left" vertical="center" wrapText="1"/>
    </xf>
    <xf numFmtId="0" fontId="40" fillId="37" borderId="45" xfId="0" applyFont="1" applyFill="1" applyBorder="1" applyAlignment="1">
      <alignment horizontal="left" vertical="center" wrapText="1"/>
    </xf>
    <xf numFmtId="0" fontId="40" fillId="37" borderId="62" xfId="0" applyFont="1" applyFill="1" applyBorder="1" applyAlignment="1">
      <alignment horizontal="left" vertical="center" wrapText="1"/>
    </xf>
    <xf numFmtId="0" fontId="40" fillId="40" borderId="45" xfId="0" applyFont="1" applyFill="1" applyBorder="1" applyAlignment="1">
      <alignment horizontal="left" vertical="center" wrapText="1"/>
    </xf>
    <xf numFmtId="0" fontId="40" fillId="40" borderId="46" xfId="0" applyFont="1" applyFill="1" applyBorder="1" applyAlignment="1">
      <alignment horizontal="left" vertical="center" wrapText="1"/>
    </xf>
    <xf numFmtId="0" fontId="40" fillId="40" borderId="59" xfId="0" applyFont="1" applyFill="1" applyBorder="1" applyAlignment="1">
      <alignment horizontal="left" vertical="center" wrapText="1"/>
    </xf>
    <xf numFmtId="3" fontId="40" fillId="41" borderId="45" xfId="0" applyNumberFormat="1" applyFont="1" applyFill="1" applyBorder="1" applyAlignment="1">
      <alignment horizontal="center" vertical="center" wrapText="1"/>
    </xf>
    <xf numFmtId="3" fontId="40" fillId="41" borderId="46" xfId="0" applyNumberFormat="1" applyFont="1" applyFill="1" applyBorder="1" applyAlignment="1">
      <alignment horizontal="center" vertical="center" wrapText="1"/>
    </xf>
    <xf numFmtId="3" fontId="40" fillId="41" borderId="47" xfId="0" applyNumberFormat="1" applyFont="1" applyFill="1" applyBorder="1" applyAlignment="1">
      <alignment horizontal="center" vertical="center"/>
    </xf>
    <xf numFmtId="3" fontId="40" fillId="41" borderId="46" xfId="0" applyNumberFormat="1" applyFont="1" applyFill="1" applyBorder="1" applyAlignment="1">
      <alignment horizontal="center" vertical="center"/>
    </xf>
    <xf numFmtId="3" fontId="40" fillId="41" borderId="48" xfId="0" applyNumberFormat="1" applyFont="1" applyFill="1" applyBorder="1" applyAlignment="1">
      <alignment horizontal="center" vertical="center"/>
    </xf>
    <xf numFmtId="3" fontId="40" fillId="41" borderId="49" xfId="0" applyNumberFormat="1" applyFont="1" applyFill="1" applyBorder="1" applyAlignment="1">
      <alignment horizontal="center" vertical="center"/>
    </xf>
    <xf numFmtId="3" fontId="40" fillId="41" borderId="50" xfId="0" applyNumberFormat="1" applyFont="1" applyFill="1" applyBorder="1" applyAlignment="1">
      <alignment horizontal="center" vertical="center"/>
    </xf>
    <xf numFmtId="0" fontId="40" fillId="37" borderId="52" xfId="0" applyFont="1" applyFill="1" applyBorder="1" applyAlignment="1">
      <alignment horizontal="left" vertical="center" wrapText="1"/>
    </xf>
    <xf numFmtId="0" fontId="40" fillId="37" borderId="54" xfId="0" applyFont="1" applyFill="1" applyBorder="1" applyAlignment="1">
      <alignment horizontal="left" vertical="center" wrapText="1"/>
    </xf>
    <xf numFmtId="0" fontId="40" fillId="37" borderId="51" xfId="0" applyFont="1" applyFill="1" applyBorder="1" applyAlignment="1">
      <alignment horizontal="left" vertical="center" wrapText="1"/>
    </xf>
    <xf numFmtId="0" fontId="40" fillId="37" borderId="63" xfId="0" applyFont="1" applyFill="1" applyBorder="1" applyAlignment="1">
      <alignment horizontal="left" vertical="center" wrapText="1"/>
    </xf>
    <xf numFmtId="0" fontId="40" fillId="40" borderId="51" xfId="0" applyFont="1" applyFill="1" applyBorder="1" applyAlignment="1">
      <alignment horizontal="left" vertical="center" wrapText="1"/>
    </xf>
    <xf numFmtId="0" fontId="40" fillId="40" borderId="52" xfId="0" applyFont="1" applyFill="1" applyBorder="1" applyAlignment="1">
      <alignment horizontal="left" vertical="center" wrapText="1"/>
    </xf>
    <xf numFmtId="0" fontId="40" fillId="40" borderId="60" xfId="0" applyFont="1" applyFill="1" applyBorder="1" applyAlignment="1">
      <alignment horizontal="left" vertical="center" wrapText="1"/>
    </xf>
    <xf numFmtId="3" fontId="40" fillId="41" borderId="51" xfId="0" applyNumberFormat="1" applyFont="1" applyFill="1" applyBorder="1" applyAlignment="1">
      <alignment horizontal="center" vertical="center" wrapText="1"/>
    </xf>
    <xf numFmtId="3" fontId="40" fillId="41" borderId="52" xfId="0" applyNumberFormat="1" applyFont="1" applyFill="1" applyBorder="1" applyAlignment="1">
      <alignment horizontal="center" vertical="center" wrapText="1"/>
    </xf>
    <xf numFmtId="3" fontId="40" fillId="41" borderId="53" xfId="0" applyNumberFormat="1" applyFont="1" applyFill="1" applyBorder="1" applyAlignment="1">
      <alignment horizontal="center" vertical="center"/>
    </xf>
    <xf numFmtId="3" fontId="40" fillId="41" borderId="52" xfId="0" applyNumberFormat="1" applyFont="1" applyFill="1" applyBorder="1" applyAlignment="1">
      <alignment horizontal="center" vertical="center"/>
    </xf>
    <xf numFmtId="3" fontId="40" fillId="41" borderId="54" xfId="0" applyNumberFormat="1" applyFont="1" applyFill="1" applyBorder="1" applyAlignment="1">
      <alignment horizontal="center" vertical="center"/>
    </xf>
    <xf numFmtId="3" fontId="40" fillId="41" borderId="55" xfId="0" applyNumberFormat="1" applyFont="1" applyFill="1" applyBorder="1" applyAlignment="1">
      <alignment horizontal="center" vertical="center"/>
    </xf>
    <xf numFmtId="3" fontId="40" fillId="41" borderId="56" xfId="0" applyNumberFormat="1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left" vertical="center" wrapText="1"/>
    </xf>
    <xf numFmtId="3" fontId="40" fillId="37" borderId="40" xfId="72" applyNumberFormat="1" applyFont="1" applyFill="1" applyBorder="1" applyAlignment="1">
      <alignment horizontal="left" vertical="center" wrapText="1"/>
    </xf>
    <xf numFmtId="0" fontId="40" fillId="5" borderId="45" xfId="0" applyFont="1" applyFill="1" applyBorder="1" applyAlignment="1">
      <alignment horizontal="left" vertical="center" wrapText="1"/>
    </xf>
    <xf numFmtId="3" fontId="40" fillId="37" borderId="46" xfId="72" applyNumberFormat="1" applyFont="1" applyFill="1" applyBorder="1" applyAlignment="1">
      <alignment horizontal="left" vertical="center" wrapText="1"/>
    </xf>
    <xf numFmtId="0" fontId="40" fillId="5" borderId="51" xfId="0" applyFont="1" applyFill="1" applyBorder="1" applyAlignment="1">
      <alignment horizontal="left" vertical="center" wrapText="1"/>
    </xf>
    <xf numFmtId="3" fontId="40" fillId="37" borderId="52" xfId="72" applyNumberFormat="1" applyFont="1" applyFill="1" applyBorder="1" applyAlignment="1">
      <alignment horizontal="left" vertical="center" wrapText="1"/>
    </xf>
    <xf numFmtId="167" fontId="42" fillId="38" borderId="36" xfId="1" applyNumberFormat="1" applyFont="1" applyFill="1" applyBorder="1" applyAlignment="1">
      <alignment horizontal="center" vertical="center"/>
    </xf>
    <xf numFmtId="167" fontId="42" fillId="38" borderId="30" xfId="1" applyNumberFormat="1" applyFont="1" applyFill="1" applyBorder="1" applyAlignment="1">
      <alignment horizontal="center" vertical="center"/>
    </xf>
    <xf numFmtId="167" fontId="42" fillId="38" borderId="34" xfId="1" applyNumberFormat="1" applyFont="1" applyFill="1" applyBorder="1" applyAlignment="1">
      <alignment horizontal="center" vertical="center"/>
    </xf>
    <xf numFmtId="167" fontId="42" fillId="38" borderId="21" xfId="1" applyNumberFormat="1" applyFont="1" applyFill="1" applyBorder="1" applyAlignment="1">
      <alignment horizontal="center" vertical="center"/>
    </xf>
    <xf numFmtId="3" fontId="40" fillId="41" borderId="39" xfId="0" applyNumberFormat="1" applyFont="1" applyFill="1" applyBorder="1" applyAlignment="1">
      <alignment horizontal="right" vertical="center" wrapText="1"/>
    </xf>
    <xf numFmtId="3" fontId="40" fillId="41" borderId="45" xfId="0" applyNumberFormat="1" applyFont="1" applyFill="1" applyBorder="1" applyAlignment="1">
      <alignment horizontal="right" vertical="center" wrapText="1"/>
    </xf>
    <xf numFmtId="3" fontId="40" fillId="41" borderId="51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0" fontId="40" fillId="40" borderId="40" xfId="0" quotePrefix="1" applyFont="1" applyFill="1" applyBorder="1" applyAlignment="1">
      <alignment horizontal="left" vertical="center" wrapText="1"/>
    </xf>
    <xf numFmtId="0" fontId="40" fillId="40" borderId="46" xfId="0" quotePrefix="1" applyFont="1" applyFill="1" applyBorder="1" applyAlignment="1">
      <alignment horizontal="left" vertical="center" wrapText="1"/>
    </xf>
    <xf numFmtId="0" fontId="40" fillId="40" borderId="59" xfId="0" quotePrefix="1" applyFont="1" applyFill="1" applyBorder="1" applyAlignment="1">
      <alignment horizontal="left" vertical="center" wrapText="1"/>
    </xf>
    <xf numFmtId="3" fontId="40" fillId="41" borderId="71" xfId="0" applyNumberFormat="1" applyFont="1" applyFill="1" applyBorder="1" applyAlignment="1">
      <alignment horizontal="center" vertical="center" wrapText="1"/>
    </xf>
    <xf numFmtId="3" fontId="40" fillId="37" borderId="73" xfId="72" applyNumberFormat="1" applyFont="1" applyFill="1" applyBorder="1" applyAlignment="1">
      <alignment horizontal="left" vertical="center" wrapText="1"/>
    </xf>
    <xf numFmtId="0" fontId="40" fillId="37" borderId="73" xfId="0" applyFont="1" applyFill="1" applyBorder="1" applyAlignment="1">
      <alignment horizontal="left" vertical="center" wrapText="1"/>
    </xf>
    <xf numFmtId="0" fontId="40" fillId="37" borderId="74" xfId="0" applyFont="1" applyFill="1" applyBorder="1" applyAlignment="1">
      <alignment horizontal="left" vertical="center" wrapText="1"/>
    </xf>
    <xf numFmtId="0" fontId="40" fillId="37" borderId="72" xfId="0" applyFont="1" applyFill="1" applyBorder="1" applyAlignment="1">
      <alignment horizontal="left" vertical="center" wrapText="1"/>
    </xf>
    <xf numFmtId="0" fontId="40" fillId="37" borderId="75" xfId="0" applyFont="1" applyFill="1" applyBorder="1" applyAlignment="1">
      <alignment horizontal="left" vertical="center" wrapText="1"/>
    </xf>
    <xf numFmtId="0" fontId="40" fillId="40" borderId="72" xfId="0" applyFont="1" applyFill="1" applyBorder="1" applyAlignment="1">
      <alignment horizontal="left" vertical="center" wrapText="1"/>
    </xf>
    <xf numFmtId="0" fontId="40" fillId="40" borderId="73" xfId="0" applyFont="1" applyFill="1" applyBorder="1" applyAlignment="1">
      <alignment horizontal="left" vertical="center" wrapText="1"/>
    </xf>
    <xf numFmtId="0" fontId="40" fillId="40" borderId="76" xfId="0" applyFont="1" applyFill="1" applyBorder="1" applyAlignment="1">
      <alignment horizontal="left" vertical="center" wrapText="1"/>
    </xf>
    <xf numFmtId="3" fontId="40" fillId="41" borderId="72" xfId="0" applyNumberFormat="1" applyFont="1" applyFill="1" applyBorder="1" applyAlignment="1">
      <alignment horizontal="right" vertical="center" wrapText="1"/>
    </xf>
    <xf numFmtId="3" fontId="40" fillId="41" borderId="73" xfId="0" applyNumberFormat="1" applyFont="1" applyFill="1" applyBorder="1" applyAlignment="1">
      <alignment horizontal="center" vertical="center"/>
    </xf>
    <xf numFmtId="3" fontId="40" fillId="41" borderId="74" xfId="0" applyNumberFormat="1" applyFont="1" applyFill="1" applyBorder="1" applyAlignment="1">
      <alignment horizontal="center" vertical="center"/>
    </xf>
    <xf numFmtId="164" fontId="40" fillId="0" borderId="0" xfId="1" applyFont="1" applyAlignment="1">
      <alignment vertical="center"/>
    </xf>
    <xf numFmtId="165" fontId="40" fillId="0" borderId="0" xfId="0" applyNumberFormat="1" applyFont="1" applyAlignment="1">
      <alignment vertical="center"/>
    </xf>
    <xf numFmtId="3" fontId="40" fillId="41" borderId="70" xfId="0" applyNumberFormat="1" applyFont="1" applyFill="1" applyBorder="1" applyAlignment="1">
      <alignment horizontal="right" vertical="center" wrapText="1"/>
    </xf>
    <xf numFmtId="3" fontId="42" fillId="42" borderId="21" xfId="0" applyNumberFormat="1" applyFont="1" applyFill="1" applyBorder="1" applyAlignment="1">
      <alignment horizontal="center" vertical="center" wrapText="1"/>
    </xf>
    <xf numFmtId="3" fontId="40" fillId="0" borderId="0" xfId="0" applyNumberFormat="1" applyFont="1" applyAlignment="1">
      <alignment horizontal="right" vertical="center"/>
    </xf>
    <xf numFmtId="3" fontId="40" fillId="41" borderId="40" xfId="0" applyNumberFormat="1" applyFont="1" applyFill="1" applyBorder="1" applyAlignment="1">
      <alignment horizontal="right" vertical="center" wrapText="1"/>
    </xf>
    <xf numFmtId="3" fontId="40" fillId="41" borderId="46" xfId="0" applyNumberFormat="1" applyFont="1" applyFill="1" applyBorder="1" applyAlignment="1">
      <alignment horizontal="right" vertical="center" wrapText="1"/>
    </xf>
    <xf numFmtId="3" fontId="40" fillId="41" borderId="73" xfId="0" applyNumberFormat="1" applyFont="1" applyFill="1" applyBorder="1" applyAlignment="1">
      <alignment horizontal="right" vertical="center" wrapText="1"/>
    </xf>
    <xf numFmtId="3" fontId="42" fillId="41" borderId="40" xfId="0" applyNumberFormat="1" applyFont="1" applyFill="1" applyBorder="1" applyAlignment="1">
      <alignment horizontal="center" vertical="center" wrapText="1"/>
    </xf>
    <xf numFmtId="3" fontId="42" fillId="41" borderId="46" xfId="0" applyNumberFormat="1" applyFont="1" applyFill="1" applyBorder="1" applyAlignment="1">
      <alignment horizontal="center" vertical="center" wrapText="1"/>
    </xf>
    <xf numFmtId="0" fontId="40" fillId="37" borderId="68" xfId="0" applyFont="1" applyFill="1" applyBorder="1" applyAlignment="1">
      <alignment horizontal="left" vertical="center"/>
    </xf>
    <xf numFmtId="0" fontId="40" fillId="37" borderId="67" xfId="0" applyFont="1" applyFill="1" applyBorder="1" applyAlignment="1">
      <alignment horizontal="left" vertical="center"/>
    </xf>
    <xf numFmtId="0" fontId="40" fillId="37" borderId="69" xfId="0" applyFont="1" applyFill="1" applyBorder="1" applyAlignment="1">
      <alignment horizontal="left" vertical="center"/>
    </xf>
    <xf numFmtId="0" fontId="40" fillId="37" borderId="1" xfId="0" applyFont="1" applyFill="1" applyBorder="1" applyAlignment="1">
      <alignment horizontal="left" vertical="center"/>
    </xf>
    <xf numFmtId="0" fontId="40" fillId="37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7" borderId="17" xfId="0" applyFont="1" applyFill="1" applyBorder="1" applyAlignment="1">
      <alignment horizontal="left" vertical="center"/>
    </xf>
    <xf numFmtId="0" fontId="40" fillId="37" borderId="22" xfId="0" applyFont="1" applyFill="1" applyBorder="1" applyAlignment="1">
      <alignment horizontal="left" vertical="center"/>
    </xf>
    <xf numFmtId="0" fontId="38" fillId="5" borderId="23" xfId="0" applyFont="1" applyFill="1" applyBorder="1" applyAlignment="1">
      <alignment horizontal="center" vertical="center" wrapText="1"/>
    </xf>
    <xf numFmtId="0" fontId="38" fillId="5" borderId="25" xfId="0" applyFont="1" applyFill="1" applyBorder="1" applyAlignment="1">
      <alignment horizontal="center" vertical="center" wrapText="1"/>
    </xf>
    <xf numFmtId="168" fontId="43" fillId="37" borderId="14" xfId="0" quotePrefix="1" applyNumberFormat="1" applyFont="1" applyFill="1" applyBorder="1" applyAlignment="1">
      <alignment horizontal="center" vertical="center"/>
    </xf>
    <xf numFmtId="168" fontId="43" fillId="37" borderId="15" xfId="0" applyNumberFormat="1" applyFont="1" applyFill="1" applyBorder="1" applyAlignment="1">
      <alignment horizontal="center" vertical="center"/>
    </xf>
    <xf numFmtId="168" fontId="43" fillId="37" borderId="16" xfId="0" applyNumberFormat="1" applyFont="1" applyFill="1" applyBorder="1" applyAlignment="1">
      <alignment horizontal="center" vertical="center"/>
    </xf>
    <xf numFmtId="0" fontId="40" fillId="37" borderId="26" xfId="0" quotePrefix="1" applyFont="1" applyFill="1" applyBorder="1" applyAlignment="1">
      <alignment horizontal="left" vertical="center"/>
    </xf>
    <xf numFmtId="0" fontId="40" fillId="37" borderId="26" xfId="0" applyFont="1" applyFill="1" applyBorder="1" applyAlignment="1">
      <alignment horizontal="left" vertical="center"/>
    </xf>
    <xf numFmtId="0" fontId="40" fillId="37" borderId="27" xfId="0" applyFont="1" applyFill="1" applyBorder="1" applyAlignment="1">
      <alignment horizontal="left" vertical="center"/>
    </xf>
    <xf numFmtId="0" fontId="38" fillId="37" borderId="68" xfId="0" applyFont="1" applyFill="1" applyBorder="1" applyAlignment="1">
      <alignment horizontal="left" vertical="center" wrapText="1"/>
    </xf>
    <xf numFmtId="0" fontId="38" fillId="37" borderId="67" xfId="0" applyFont="1" applyFill="1" applyBorder="1" applyAlignment="1">
      <alignment horizontal="left" vertical="center" wrapText="1"/>
    </xf>
    <xf numFmtId="0" fontId="38" fillId="37" borderId="69" xfId="0" applyFont="1" applyFill="1" applyBorder="1" applyAlignment="1">
      <alignment horizontal="left" vertical="center" wrapText="1"/>
    </xf>
    <xf numFmtId="0" fontId="40" fillId="37" borderId="1" xfId="0" quotePrefix="1" applyFont="1" applyFill="1" applyBorder="1" applyAlignment="1">
      <alignment horizontal="left" vertical="center"/>
    </xf>
    <xf numFmtId="0" fontId="40" fillId="37" borderId="68" xfId="0" applyFont="1" applyFill="1" applyBorder="1" applyAlignment="1">
      <alignment horizontal="left" vertical="center" wrapText="1"/>
    </xf>
    <xf numFmtId="0" fontId="40" fillId="37" borderId="67" xfId="0" applyFont="1" applyFill="1" applyBorder="1" applyAlignment="1">
      <alignment horizontal="left" vertical="center" wrapText="1"/>
    </xf>
    <xf numFmtId="0" fontId="40" fillId="37" borderId="69" xfId="0" applyFont="1" applyFill="1" applyBorder="1" applyAlignment="1">
      <alignment horizontal="left" vertical="center" wrapText="1"/>
    </xf>
    <xf numFmtId="0" fontId="39" fillId="37" borderId="1" xfId="0" applyFont="1" applyFill="1" applyBorder="1" applyAlignment="1">
      <alignment horizontal="left" vertical="center"/>
    </xf>
    <xf numFmtId="0" fontId="39" fillId="37" borderId="24" xfId="0" applyFont="1" applyFill="1" applyBorder="1" applyAlignment="1">
      <alignment horizontal="left" vertical="center"/>
    </xf>
    <xf numFmtId="0" fontId="39" fillId="37" borderId="26" xfId="0" quotePrefix="1" applyFont="1" applyFill="1" applyBorder="1" applyAlignment="1">
      <alignment horizontal="left" vertical="center"/>
    </xf>
    <xf numFmtId="0" fontId="39" fillId="37" borderId="26" xfId="0" applyFont="1" applyFill="1" applyBorder="1" applyAlignment="1">
      <alignment horizontal="left" vertical="center"/>
    </xf>
    <xf numFmtId="0" fontId="39" fillId="37" borderId="27" xfId="0" applyFont="1" applyFill="1" applyBorder="1" applyAlignment="1">
      <alignment horizontal="left" vertical="center"/>
    </xf>
    <xf numFmtId="0" fontId="39" fillId="37" borderId="17" xfId="0" applyFont="1" applyFill="1" applyBorder="1" applyAlignment="1">
      <alignment horizontal="left" vertical="center"/>
    </xf>
    <xf numFmtId="0" fontId="39" fillId="37" borderId="22" xfId="0" applyFont="1" applyFill="1" applyBorder="1" applyAlignment="1">
      <alignment horizontal="left" vertical="center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E9B7083-96B7-4DB4-BBFE-A1AF021E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B753FD0-C0E3-477F-ABDA-1F2A103A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83E8B03B-73A7-477A-A6D3-5DBC5743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CA6DB9E-307B-4C94-B434-1D22FF1D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F6F79370-C829-484F-B30F-3386C419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C56"/>
  <sheetViews>
    <sheetView showGridLines="0" tabSelected="1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18" style="3" customWidth="1" outlineLevel="1"/>
    <col min="13" max="13" width="17.140625" style="3" customWidth="1" outlineLevel="1"/>
    <col min="14" max="14" width="17.5703125" style="5" customWidth="1"/>
    <col min="15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1"/>
      <c r="C4" s="162" t="s">
        <v>185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7" t="s">
        <v>41</v>
      </c>
      <c r="D7" s="157" t="s">
        <v>41</v>
      </c>
      <c r="E7" s="157" t="s">
        <v>41</v>
      </c>
      <c r="F7" s="157" t="s">
        <v>41</v>
      </c>
      <c r="G7" s="158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7" t="s">
        <v>42</v>
      </c>
      <c r="D8" s="157" t="s">
        <v>43</v>
      </c>
      <c r="E8" s="157" t="s">
        <v>43</v>
      </c>
      <c r="F8" s="157" t="s">
        <v>43</v>
      </c>
      <c r="G8" s="158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7" t="s">
        <v>44</v>
      </c>
      <c r="D9" s="157" t="s">
        <v>44</v>
      </c>
      <c r="E9" s="157" t="s">
        <v>44</v>
      </c>
      <c r="F9" s="157" t="s">
        <v>44</v>
      </c>
      <c r="G9" s="158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4" t="s">
        <v>45</v>
      </c>
      <c r="D10" s="155"/>
      <c r="E10" s="155"/>
      <c r="F10" s="155"/>
      <c r="G10" s="156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46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47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48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0.75" customHeight="1" outlineLevel="1" x14ac:dyDescent="0.2">
      <c r="B15" s="1" t="s">
        <v>36</v>
      </c>
      <c r="C15" s="168" t="s">
        <v>184</v>
      </c>
      <c r="D15" s="169"/>
      <c r="E15" s="170"/>
      <c r="F15" s="2" t="s">
        <v>7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30" customHeight="1" x14ac:dyDescent="0.2">
      <c r="B16" s="166" t="s">
        <v>14</v>
      </c>
      <c r="C16" s="36" t="s">
        <v>186</v>
      </c>
      <c r="D16" s="36" t="s">
        <v>3</v>
      </c>
      <c r="E16" s="36" t="s">
        <v>4</v>
      </c>
      <c r="F16" s="36" t="s">
        <v>12</v>
      </c>
      <c r="G16" s="37" t="s">
        <v>187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4404790</v>
      </c>
      <c r="D17" s="51">
        <v>0</v>
      </c>
      <c r="E17" s="51">
        <v>0</v>
      </c>
      <c r="F17" s="39">
        <f>D17-E17</f>
        <v>0</v>
      </c>
      <c r="G17" s="45">
        <f>+C17+F17</f>
        <v>4404790</v>
      </c>
      <c r="H17" s="127">
        <f>+G17-N24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186</v>
      </c>
      <c r="M19" s="147" t="s">
        <v>188</v>
      </c>
      <c r="N19" s="147" t="s">
        <v>187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189</v>
      </c>
      <c r="AC19" s="18"/>
    </row>
    <row r="20" spans="2:29" ht="34.5" customHeight="1" x14ac:dyDescent="0.2">
      <c r="B20" s="116" t="s">
        <v>49</v>
      </c>
      <c r="C20" s="117" t="s">
        <v>181</v>
      </c>
      <c r="D20" s="86" t="s">
        <v>54</v>
      </c>
      <c r="E20" s="86" t="s">
        <v>55</v>
      </c>
      <c r="F20" s="87" t="s">
        <v>131</v>
      </c>
      <c r="G20" s="88" t="s">
        <v>132</v>
      </c>
      <c r="H20" s="89" t="s">
        <v>52</v>
      </c>
      <c r="I20" s="90" t="s">
        <v>190</v>
      </c>
      <c r="J20" s="91" t="s">
        <v>154</v>
      </c>
      <c r="K20" s="92" t="s">
        <v>155</v>
      </c>
      <c r="L20" s="125">
        <v>0</v>
      </c>
      <c r="M20" s="146">
        <v>0</v>
      </c>
      <c r="N20" s="132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/>
      <c r="Y20" s="97"/>
      <c r="Z20" s="97"/>
      <c r="AA20" s="98">
        <f>SUM(O20:Z20)</f>
        <v>0</v>
      </c>
      <c r="AB20" s="99">
        <f>+N20-AA20</f>
        <v>0</v>
      </c>
      <c r="AC20" s="3"/>
    </row>
    <row r="21" spans="2:29" ht="34.5" customHeight="1" x14ac:dyDescent="0.2">
      <c r="B21" s="116" t="s">
        <v>49</v>
      </c>
      <c r="C21" s="117" t="s">
        <v>180</v>
      </c>
      <c r="D21" s="86" t="s">
        <v>56</v>
      </c>
      <c r="E21" s="86" t="s">
        <v>57</v>
      </c>
      <c r="F21" s="87" t="s">
        <v>131</v>
      </c>
      <c r="G21" s="88" t="s">
        <v>133</v>
      </c>
      <c r="H21" s="89" t="s">
        <v>52</v>
      </c>
      <c r="I21" s="90" t="s">
        <v>153</v>
      </c>
      <c r="J21" s="91" t="s">
        <v>156</v>
      </c>
      <c r="K21" s="92" t="s">
        <v>157</v>
      </c>
      <c r="L21" s="125">
        <v>4404790</v>
      </c>
      <c r="M21" s="125">
        <v>0</v>
      </c>
      <c r="N21" s="94">
        <v>4404790</v>
      </c>
      <c r="O21" s="95">
        <v>0</v>
      </c>
      <c r="P21" s="96">
        <v>4105500</v>
      </c>
      <c r="Q21" s="96">
        <f>4404790-P21</f>
        <v>299290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/>
      <c r="Y21" s="96"/>
      <c r="Z21" s="97"/>
      <c r="AA21" s="98">
        <f>SUM(O21:Z21)</f>
        <v>4404790</v>
      </c>
      <c r="AB21" s="99">
        <f>+N21-AA21</f>
        <v>0</v>
      </c>
      <c r="AC21" s="3"/>
    </row>
    <row r="22" spans="2:29" ht="34.5" customHeight="1" x14ac:dyDescent="0.2">
      <c r="B22" s="116"/>
      <c r="C22" s="117"/>
      <c r="D22" s="86"/>
      <c r="E22" s="86"/>
      <c r="F22" s="87"/>
      <c r="G22" s="88"/>
      <c r="H22" s="89"/>
      <c r="I22" s="90"/>
      <c r="J22" s="91"/>
      <c r="K22" s="92"/>
      <c r="L22" s="125"/>
      <c r="M22" s="93"/>
      <c r="N22" s="94"/>
      <c r="O22" s="95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7"/>
      <c r="AA22" s="98"/>
      <c r="AB22" s="99"/>
      <c r="AC22" s="3"/>
    </row>
    <row r="23" spans="2:29" ht="34.5" customHeight="1" thickBot="1" x14ac:dyDescent="0.25">
      <c r="B23" s="118"/>
      <c r="C23" s="119"/>
      <c r="D23" s="100"/>
      <c r="E23" s="100"/>
      <c r="F23" s="101"/>
      <c r="G23" s="102"/>
      <c r="H23" s="103"/>
      <c r="I23" s="104"/>
      <c r="J23" s="105"/>
      <c r="K23" s="106"/>
      <c r="L23" s="126"/>
      <c r="M23" s="107"/>
      <c r="N23" s="108"/>
      <c r="O23" s="109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1"/>
      <c r="AA23" s="112"/>
      <c r="AB23" s="113"/>
      <c r="AC23" s="3"/>
    </row>
    <row r="24" spans="2:29" s="18" customFormat="1" ht="31.5" customHeight="1" thickBot="1" x14ac:dyDescent="0.25">
      <c r="B24" s="19" t="s">
        <v>35</v>
      </c>
      <c r="C24" s="48"/>
      <c r="D24" s="21"/>
      <c r="E24" s="20"/>
      <c r="F24" s="22"/>
      <c r="G24" s="59"/>
      <c r="H24" s="61"/>
      <c r="I24" s="59"/>
      <c r="J24" s="23"/>
      <c r="K24" s="56"/>
      <c r="L24" s="57">
        <f t="shared" ref="L24:AB24" si="0">SUBTOTAL(9,L20:L23)</f>
        <v>4404790</v>
      </c>
      <c r="M24" s="57">
        <f t="shared" si="0"/>
        <v>0</v>
      </c>
      <c r="N24" s="54">
        <f t="shared" si="0"/>
        <v>4404790</v>
      </c>
      <c r="O24" s="120">
        <f>SUBTOTAL(9,O21:O23)</f>
        <v>0</v>
      </c>
      <c r="P24" s="120">
        <f t="shared" si="0"/>
        <v>4105500</v>
      </c>
      <c r="Q24" s="120">
        <f t="shared" si="0"/>
        <v>299290</v>
      </c>
      <c r="R24" s="120">
        <f t="shared" si="0"/>
        <v>0</v>
      </c>
      <c r="S24" s="120">
        <f t="shared" si="0"/>
        <v>0</v>
      </c>
      <c r="T24" s="120">
        <f t="shared" si="0"/>
        <v>0</v>
      </c>
      <c r="U24" s="120">
        <f t="shared" si="0"/>
        <v>0</v>
      </c>
      <c r="V24" s="120">
        <f t="shared" si="0"/>
        <v>0</v>
      </c>
      <c r="W24" s="120">
        <f t="shared" si="0"/>
        <v>0</v>
      </c>
      <c r="X24" s="120">
        <f t="shared" si="0"/>
        <v>0</v>
      </c>
      <c r="Y24" s="120">
        <f t="shared" si="0"/>
        <v>0</v>
      </c>
      <c r="Z24" s="121">
        <f t="shared" si="0"/>
        <v>0</v>
      </c>
      <c r="AA24" s="122">
        <f t="shared" si="0"/>
        <v>4404790</v>
      </c>
      <c r="AB24" s="123">
        <f t="shared" si="0"/>
        <v>0</v>
      </c>
    </row>
    <row r="25" spans="2:29" s="26" customFormat="1" ht="11.25" x14ac:dyDescent="0.2">
      <c r="B25" s="27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4"/>
      <c r="O25" s="24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  <c r="AC25" s="50"/>
    </row>
    <row r="26" spans="2:29" s="26" customFormat="1" ht="11.25" hidden="1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>
        <v>402000000</v>
      </c>
      <c r="M26" s="25">
        <v>389411087</v>
      </c>
      <c r="N26" s="25">
        <v>384611087</v>
      </c>
      <c r="O26" s="25">
        <v>0</v>
      </c>
      <c r="P26" s="25">
        <v>0</v>
      </c>
      <c r="Q26" s="25">
        <v>27574500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27574500</v>
      </c>
      <c r="AB26" s="25">
        <v>357036587</v>
      </c>
      <c r="AC26" s="24"/>
    </row>
    <row r="27" spans="2:29" hidden="1" x14ac:dyDescent="0.2">
      <c r="B27" s="30"/>
      <c r="C27" s="31"/>
      <c r="D27" s="32"/>
      <c r="E27" s="33"/>
      <c r="L27" s="128">
        <f t="shared" ref="L27:P27" si="1">+L26-L24</f>
        <v>397595210</v>
      </c>
      <c r="M27" s="128">
        <f t="shared" si="1"/>
        <v>389411087</v>
      </c>
      <c r="N27" s="128">
        <f t="shared" si="1"/>
        <v>380206297</v>
      </c>
      <c r="O27" s="128">
        <f t="shared" si="1"/>
        <v>0</v>
      </c>
      <c r="P27" s="128">
        <f t="shared" si="1"/>
        <v>-4105500</v>
      </c>
      <c r="Q27" s="128">
        <f>+Q26-Q24</f>
        <v>27275210</v>
      </c>
      <c r="R27" s="128">
        <f t="shared" ref="R27:AB27" si="2">+R26-R24</f>
        <v>0</v>
      </c>
      <c r="S27" s="128">
        <f t="shared" si="2"/>
        <v>0</v>
      </c>
      <c r="T27" s="128">
        <f t="shared" si="2"/>
        <v>0</v>
      </c>
      <c r="U27" s="128">
        <f t="shared" si="2"/>
        <v>0</v>
      </c>
      <c r="V27" s="128">
        <f t="shared" si="2"/>
        <v>0</v>
      </c>
      <c r="W27" s="128">
        <f t="shared" si="2"/>
        <v>0</v>
      </c>
      <c r="X27" s="128">
        <f t="shared" si="2"/>
        <v>0</v>
      </c>
      <c r="Y27" s="128">
        <f t="shared" si="2"/>
        <v>0</v>
      </c>
      <c r="Z27" s="128">
        <f t="shared" si="2"/>
        <v>0</v>
      </c>
      <c r="AA27" s="128">
        <f t="shared" si="2"/>
        <v>23169710</v>
      </c>
      <c r="AB27" s="128">
        <f t="shared" si="2"/>
        <v>357036587</v>
      </c>
    </row>
    <row r="28" spans="2:29" x14ac:dyDescent="0.2">
      <c r="B28" s="30"/>
      <c r="C28" s="31"/>
      <c r="D28" s="32"/>
      <c r="N28" s="3"/>
      <c r="AA28" s="5"/>
      <c r="AB28" s="148"/>
    </row>
    <row r="29" spans="2:29" x14ac:dyDescent="0.2">
      <c r="C29" s="31"/>
      <c r="L29" s="5"/>
      <c r="M29" s="5"/>
      <c r="AA29" s="5"/>
      <c r="AB29" s="5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B35" s="30"/>
      <c r="D35" s="31"/>
    </row>
    <row r="36" spans="2:9" x14ac:dyDescent="0.2">
      <c r="B36" s="30"/>
      <c r="D36" s="31"/>
    </row>
    <row r="37" spans="2:9" x14ac:dyDescent="0.2">
      <c r="B37" s="29"/>
      <c r="C37" s="31"/>
      <c r="D37" s="31"/>
    </row>
    <row r="38" spans="2:9" x14ac:dyDescent="0.2">
      <c r="B38" s="30"/>
      <c r="C38" s="31"/>
      <c r="D38" s="31"/>
      <c r="G38" s="34"/>
      <c r="H38" s="34"/>
      <c r="I38" s="34"/>
    </row>
    <row r="39" spans="2:9" x14ac:dyDescent="0.2">
      <c r="B39" s="30"/>
    </row>
    <row r="40" spans="2:9" x14ac:dyDescent="0.2">
      <c r="C40" s="31"/>
      <c r="D40" s="31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3"/>
  <mergeCells count="14">
    <mergeCell ref="B16:B17"/>
    <mergeCell ref="C15:E15"/>
    <mergeCell ref="C13:G13"/>
    <mergeCell ref="C11:G11"/>
    <mergeCell ref="C12:G12"/>
    <mergeCell ref="C10:G10"/>
    <mergeCell ref="C7:G7"/>
    <mergeCell ref="C8:G8"/>
    <mergeCell ref="C9:G9"/>
    <mergeCell ref="B2:B4"/>
    <mergeCell ref="C2:G2"/>
    <mergeCell ref="C3:G3"/>
    <mergeCell ref="C4:G4"/>
    <mergeCell ref="C6:G6"/>
  </mergeCells>
  <phoneticPr fontId="37" type="noConversion"/>
  <conditionalFormatting sqref="L19:AA19">
    <cfRule type="cellIs" dxfId="23" priority="2" operator="lessThan">
      <formula>0</formula>
    </cfRule>
  </conditionalFormatting>
  <conditionalFormatting sqref="AB19:AB23">
    <cfRule type="cellIs" dxfId="22" priority="1" operator="lessThan">
      <formula>0</formula>
    </cfRule>
  </conditionalFormatting>
  <conditionalFormatting sqref="AC6:AC15">
    <cfRule type="cellIs" dxfId="21" priority="271" operator="lessThan">
      <formula>0</formula>
    </cfRule>
  </conditionalFormatting>
  <conditionalFormatting sqref="AC25 AC27:AC1048576">
    <cfRule type="cellIs" dxfId="20" priority="29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AC58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2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8.85546875" style="3" customWidth="1" outlineLevel="1"/>
    <col min="10" max="11" width="18.85546875" style="3" hidden="1" customWidth="1" outlineLevel="1"/>
    <col min="12" max="12" width="20.140625" style="3" customWidth="1" outlineLevel="1"/>
    <col min="13" max="13" width="19.28515625" style="3" customWidth="1" outlineLevel="1"/>
    <col min="14" max="14" width="19.7109375" style="5" bestFit="1" customWidth="1"/>
    <col min="15" max="15" width="14" style="5" customWidth="1"/>
    <col min="16" max="16" width="16.85546875" style="6" customWidth="1" outlineLevel="1"/>
    <col min="17" max="17" width="21.140625" style="6" customWidth="1" outlineLevel="1"/>
    <col min="18" max="18" width="16.5703125" style="6" customWidth="1" outlineLevel="1"/>
    <col min="19" max="19" width="17.5703125" style="6" customWidth="1" outlineLevel="1"/>
    <col min="20" max="20" width="16.85546875" style="6" customWidth="1" outlineLevel="1"/>
    <col min="21" max="22" width="18" style="6" customWidth="1" outlineLevel="1"/>
    <col min="23" max="23" width="17.28515625" style="6" customWidth="1" outlineLevel="1"/>
    <col min="24" max="26" width="14" style="6" customWidth="1" outlineLevel="1"/>
    <col min="27" max="27" width="19.57031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7.5" customHeight="1" thickBot="1" x14ac:dyDescent="0.25"/>
    <row r="2" spans="2:29" ht="24" customHeight="1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1"/>
      <c r="C4" s="162" t="s">
        <v>185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7" t="s">
        <v>41</v>
      </c>
      <c r="D7" s="157" t="s">
        <v>41</v>
      </c>
      <c r="E7" s="157" t="s">
        <v>41</v>
      </c>
      <c r="F7" s="157" t="s">
        <v>41</v>
      </c>
      <c r="G7" s="158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7" t="s">
        <v>58</v>
      </c>
      <c r="D8" s="157" t="s">
        <v>43</v>
      </c>
      <c r="E8" s="157" t="s">
        <v>43</v>
      </c>
      <c r="F8" s="157" t="s">
        <v>43</v>
      </c>
      <c r="G8" s="158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7" t="s">
        <v>44</v>
      </c>
      <c r="D9" s="157" t="s">
        <v>44</v>
      </c>
      <c r="E9" s="157" t="s">
        <v>44</v>
      </c>
      <c r="F9" s="157" t="s">
        <v>44</v>
      </c>
      <c r="G9" s="158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4" t="s">
        <v>59</v>
      </c>
      <c r="D10" s="155"/>
      <c r="E10" s="155"/>
      <c r="F10" s="155"/>
      <c r="G10" s="156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60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61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62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6" customHeight="1" outlineLevel="1" x14ac:dyDescent="0.2">
      <c r="B15" s="1" t="s">
        <v>36</v>
      </c>
      <c r="C15" s="168" t="s">
        <v>184</v>
      </c>
      <c r="D15" s="169"/>
      <c r="E15" s="170"/>
      <c r="F15" s="2" t="s">
        <v>7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33.75" customHeight="1" x14ac:dyDescent="0.2">
      <c r="B16" s="166" t="s">
        <v>14</v>
      </c>
      <c r="C16" s="36" t="s">
        <v>186</v>
      </c>
      <c r="D16" s="36" t="s">
        <v>3</v>
      </c>
      <c r="E16" s="36" t="s">
        <v>4</v>
      </c>
      <c r="F16" s="36" t="s">
        <v>12</v>
      </c>
      <c r="G16" s="37" t="s">
        <v>187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3801417736</v>
      </c>
      <c r="D17" s="51">
        <v>0</v>
      </c>
      <c r="E17" s="51">
        <v>63059738</v>
      </c>
      <c r="F17" s="39">
        <f>D17-E17</f>
        <v>-63059738</v>
      </c>
      <c r="G17" s="45">
        <f>+C17+F17</f>
        <v>3738357998</v>
      </c>
      <c r="H17" s="127">
        <f>+G17-N26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4.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186</v>
      </c>
      <c r="M19" s="147" t="s">
        <v>188</v>
      </c>
      <c r="N19" s="147" t="s">
        <v>187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189</v>
      </c>
      <c r="AC19" s="18"/>
    </row>
    <row r="20" spans="2:29" ht="34.5" customHeight="1" x14ac:dyDescent="0.2">
      <c r="B20" s="114" t="s">
        <v>130</v>
      </c>
      <c r="C20" s="115" t="s">
        <v>158</v>
      </c>
      <c r="D20" s="72" t="s">
        <v>63</v>
      </c>
      <c r="E20" s="72" t="s">
        <v>64</v>
      </c>
      <c r="F20" s="73" t="s">
        <v>134</v>
      </c>
      <c r="G20" s="74" t="s">
        <v>135</v>
      </c>
      <c r="H20" s="75" t="s">
        <v>65</v>
      </c>
      <c r="I20" s="76" t="s">
        <v>162</v>
      </c>
      <c r="J20" s="129" t="s">
        <v>163</v>
      </c>
      <c r="K20" s="78" t="s">
        <v>161</v>
      </c>
      <c r="L20" s="124">
        <v>442720978</v>
      </c>
      <c r="M20" s="124">
        <v>52193704</v>
      </c>
      <c r="N20" s="149">
        <f>+L20-M20</f>
        <v>390527274</v>
      </c>
      <c r="O20" s="81">
        <v>0</v>
      </c>
      <c r="P20" s="82">
        <v>13643700</v>
      </c>
      <c r="Q20" s="82">
        <f>163325262-P20</f>
        <v>149681562</v>
      </c>
      <c r="R20" s="82">
        <f>166004928-Q20-P20</f>
        <v>2679666</v>
      </c>
      <c r="S20" s="82">
        <f>240845709-R20-Q20-P20</f>
        <v>74840781</v>
      </c>
      <c r="T20" s="82">
        <v>0</v>
      </c>
      <c r="U20" s="82">
        <v>0</v>
      </c>
      <c r="V20" s="82">
        <f>240845709-S20-R20-Q20-P20</f>
        <v>0</v>
      </c>
      <c r="W20" s="82">
        <f>352763397-S20-R20-Q20-P20</f>
        <v>111917688</v>
      </c>
      <c r="X20" s="82"/>
      <c r="Y20" s="82"/>
      <c r="Z20" s="83"/>
      <c r="AA20" s="84">
        <f>SUM(O20:Z20)</f>
        <v>352763397</v>
      </c>
      <c r="AB20" s="85">
        <f>+N20-AA20</f>
        <v>37763877</v>
      </c>
      <c r="AC20" s="3"/>
    </row>
    <row r="21" spans="2:29" ht="34.5" customHeight="1" x14ac:dyDescent="0.2">
      <c r="B21" s="116" t="s">
        <v>67</v>
      </c>
      <c r="C21" s="117" t="s">
        <v>68</v>
      </c>
      <c r="D21" s="86" t="s">
        <v>69</v>
      </c>
      <c r="E21" s="86" t="s">
        <v>70</v>
      </c>
      <c r="F21" s="87" t="s">
        <v>134</v>
      </c>
      <c r="G21" s="88" t="s">
        <v>135</v>
      </c>
      <c r="H21" s="89" t="s">
        <v>65</v>
      </c>
      <c r="I21" s="90"/>
      <c r="J21" s="91"/>
      <c r="K21" s="92"/>
      <c r="L21" s="125">
        <v>0</v>
      </c>
      <c r="M21" s="125">
        <v>0</v>
      </c>
      <c r="N21" s="150">
        <f t="shared" ref="N21:N24" si="0">+L21-M21</f>
        <v>0</v>
      </c>
      <c r="O21" s="95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/>
      <c r="Y21" s="96"/>
      <c r="Z21" s="97"/>
      <c r="AA21" s="98">
        <f t="shared" ref="AA21:AA22" si="1">SUM(O21:Z21)</f>
        <v>0</v>
      </c>
      <c r="AB21" s="99">
        <f t="shared" ref="AB21:AB22" si="2">+N21-AA21</f>
        <v>0</v>
      </c>
      <c r="AC21" s="3"/>
    </row>
    <row r="22" spans="2:29" ht="34.5" customHeight="1" x14ac:dyDescent="0.2">
      <c r="B22" s="116" t="s">
        <v>66</v>
      </c>
      <c r="C22" s="117" t="s">
        <v>71</v>
      </c>
      <c r="D22" s="86" t="s">
        <v>72</v>
      </c>
      <c r="E22" s="86" t="s">
        <v>73</v>
      </c>
      <c r="F22" s="87" t="s">
        <v>134</v>
      </c>
      <c r="G22" s="88" t="s">
        <v>136</v>
      </c>
      <c r="H22" s="89" t="s">
        <v>65</v>
      </c>
      <c r="I22" s="90"/>
      <c r="J22" s="91"/>
      <c r="K22" s="92"/>
      <c r="L22" s="125">
        <v>0</v>
      </c>
      <c r="M22" s="125">
        <v>0</v>
      </c>
      <c r="N22" s="150">
        <f t="shared" si="0"/>
        <v>0</v>
      </c>
      <c r="O22" s="95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/>
      <c r="Y22" s="96"/>
      <c r="Z22" s="97"/>
      <c r="AA22" s="98">
        <f t="shared" si="1"/>
        <v>0</v>
      </c>
      <c r="AB22" s="99">
        <f t="shared" si="2"/>
        <v>0</v>
      </c>
      <c r="AC22" s="3"/>
    </row>
    <row r="23" spans="2:29" ht="34.5" customHeight="1" x14ac:dyDescent="0.2">
      <c r="B23" s="116" t="s">
        <v>66</v>
      </c>
      <c r="C23" s="117" t="s">
        <v>179</v>
      </c>
      <c r="D23" s="86" t="s">
        <v>63</v>
      </c>
      <c r="E23" s="86" t="s">
        <v>64</v>
      </c>
      <c r="F23" s="87" t="s">
        <v>134</v>
      </c>
      <c r="G23" s="88" t="s">
        <v>135</v>
      </c>
      <c r="H23" s="89" t="s">
        <v>65</v>
      </c>
      <c r="I23" s="90"/>
      <c r="J23" s="91"/>
      <c r="K23" s="92"/>
      <c r="L23" s="125">
        <v>3098886758</v>
      </c>
      <c r="M23" s="125">
        <v>226034</v>
      </c>
      <c r="N23" s="150">
        <f t="shared" si="0"/>
        <v>3098660724</v>
      </c>
      <c r="O23" s="95">
        <v>188800</v>
      </c>
      <c r="P23" s="95">
        <f>188800-O23</f>
        <v>0</v>
      </c>
      <c r="Q23" s="95">
        <f>1387222709-O23</f>
        <v>1387033909</v>
      </c>
      <c r="R23" s="95">
        <f>1399832574-Q23-O23</f>
        <v>12609865</v>
      </c>
      <c r="S23" s="95">
        <f>1430368391-R23-Q23-O23</f>
        <v>30535817</v>
      </c>
      <c r="T23" s="96">
        <f>1618345731-S23-R23-Q23-P23-O23</f>
        <v>187977340</v>
      </c>
      <c r="U23" s="96">
        <f>1861413599-T23-S23-R23-Q23-O23</f>
        <v>243067868</v>
      </c>
      <c r="V23" s="96">
        <f>2155542349-U23-T23-S23-R23-Q23-O23</f>
        <v>294128750</v>
      </c>
      <c r="W23" s="96">
        <f>2273474477-V23-U23-T23-S23-R23-Q23-O23</f>
        <v>117932128</v>
      </c>
      <c r="X23" s="96"/>
      <c r="Y23" s="96"/>
      <c r="Z23" s="97"/>
      <c r="AA23" s="98">
        <f t="shared" ref="AA23" si="3">SUM(O23:Z23)</f>
        <v>2273474477</v>
      </c>
      <c r="AB23" s="99">
        <f t="shared" ref="AB23:AB24" si="4">+N23-AA23</f>
        <v>825186247</v>
      </c>
      <c r="AC23" s="3"/>
    </row>
    <row r="24" spans="2:29" ht="34.5" customHeight="1" x14ac:dyDescent="0.2">
      <c r="B24" s="116" t="s">
        <v>66</v>
      </c>
      <c r="C24" s="133" t="s">
        <v>191</v>
      </c>
      <c r="D24" s="134" t="s">
        <v>63</v>
      </c>
      <c r="E24" s="134" t="s">
        <v>64</v>
      </c>
      <c r="F24" s="135" t="s">
        <v>134</v>
      </c>
      <c r="G24" s="136" t="s">
        <v>135</v>
      </c>
      <c r="H24" s="137" t="s">
        <v>65</v>
      </c>
      <c r="I24" s="138"/>
      <c r="J24" s="139"/>
      <c r="K24" s="140"/>
      <c r="L24" s="141">
        <v>259810000</v>
      </c>
      <c r="M24" s="141">
        <v>10640000</v>
      </c>
      <c r="N24" s="151">
        <f t="shared" si="0"/>
        <v>249170000</v>
      </c>
      <c r="O24" s="95">
        <v>0</v>
      </c>
      <c r="P24" s="95">
        <v>74800000</v>
      </c>
      <c r="Q24" s="95">
        <f>171386667-P24</f>
        <v>96586667</v>
      </c>
      <c r="R24" s="95">
        <v>0</v>
      </c>
      <c r="S24" s="95">
        <f>249170000-R24-Q24-P24</f>
        <v>77783333</v>
      </c>
      <c r="T24" s="96">
        <v>0</v>
      </c>
      <c r="U24" s="96">
        <v>0</v>
      </c>
      <c r="V24" s="142">
        <v>0</v>
      </c>
      <c r="W24" s="142">
        <v>0</v>
      </c>
      <c r="X24" s="142"/>
      <c r="Y24" s="142"/>
      <c r="Z24" s="143"/>
      <c r="AA24" s="98">
        <f>SUM(O24:Z24)</f>
        <v>249170000</v>
      </c>
      <c r="AB24" s="99">
        <f t="shared" si="4"/>
        <v>0</v>
      </c>
      <c r="AC24" s="3"/>
    </row>
    <row r="25" spans="2:29" ht="34.5" customHeight="1" thickBot="1" x14ac:dyDescent="0.25">
      <c r="B25" s="118"/>
      <c r="C25" s="119"/>
      <c r="D25" s="100"/>
      <c r="E25" s="100"/>
      <c r="F25" s="101"/>
      <c r="G25" s="102"/>
      <c r="H25" s="103"/>
      <c r="I25" s="104"/>
      <c r="J25" s="105"/>
      <c r="K25" s="106"/>
      <c r="L25" s="126"/>
      <c r="M25" s="107"/>
      <c r="N25" s="108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1"/>
      <c r="AA25" s="112"/>
      <c r="AB25" s="113"/>
      <c r="AC25" s="3"/>
    </row>
    <row r="26" spans="2:29" s="18" customFormat="1" ht="31.5" customHeight="1" thickBot="1" x14ac:dyDescent="0.25">
      <c r="B26" s="19" t="s">
        <v>35</v>
      </c>
      <c r="C26" s="48"/>
      <c r="D26" s="21"/>
      <c r="E26" s="20"/>
      <c r="F26" s="22"/>
      <c r="G26" s="59"/>
      <c r="H26" s="61"/>
      <c r="I26" s="59"/>
      <c r="J26" s="23"/>
      <c r="K26" s="56"/>
      <c r="L26" s="57">
        <f t="shared" ref="L26:AA26" si="5">SUBTOTAL(9,L20:L25)</f>
        <v>3801417736</v>
      </c>
      <c r="M26" s="57">
        <f t="shared" si="5"/>
        <v>63059738</v>
      </c>
      <c r="N26" s="54">
        <f t="shared" si="5"/>
        <v>3738357998</v>
      </c>
      <c r="O26" s="120">
        <f t="shared" si="5"/>
        <v>188800</v>
      </c>
      <c r="P26" s="120">
        <f t="shared" si="5"/>
        <v>88443700</v>
      </c>
      <c r="Q26" s="120">
        <f t="shared" si="5"/>
        <v>1633302138</v>
      </c>
      <c r="R26" s="120">
        <f t="shared" si="5"/>
        <v>15289531</v>
      </c>
      <c r="S26" s="120">
        <f t="shared" si="5"/>
        <v>183159931</v>
      </c>
      <c r="T26" s="120">
        <f t="shared" si="5"/>
        <v>187977340</v>
      </c>
      <c r="U26" s="120">
        <f t="shared" si="5"/>
        <v>243067868</v>
      </c>
      <c r="V26" s="120">
        <f t="shared" si="5"/>
        <v>294128750</v>
      </c>
      <c r="W26" s="120">
        <f t="shared" si="5"/>
        <v>229849816</v>
      </c>
      <c r="X26" s="120">
        <f t="shared" si="5"/>
        <v>0</v>
      </c>
      <c r="Y26" s="120">
        <f t="shared" si="5"/>
        <v>0</v>
      </c>
      <c r="Z26" s="121">
        <f t="shared" si="5"/>
        <v>0</v>
      </c>
      <c r="AA26" s="122">
        <f t="shared" si="5"/>
        <v>2875407874</v>
      </c>
      <c r="AB26" s="123">
        <f>SUBTOTAL(9,AB20:AB25)</f>
        <v>862950124</v>
      </c>
    </row>
    <row r="27" spans="2:29" s="26" customFormat="1" ht="11.25" x14ac:dyDescent="0.2">
      <c r="B27" s="27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4"/>
      <c r="O27" s="24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50"/>
      <c r="AC27" s="50"/>
    </row>
    <row r="28" spans="2:29" s="26" customFormat="1" ht="11.25" hidden="1" x14ac:dyDescent="0.2">
      <c r="B28" s="27"/>
      <c r="C28" s="24"/>
      <c r="D28" s="25"/>
      <c r="E28" s="25"/>
      <c r="F28" s="25"/>
      <c r="G28" s="25"/>
      <c r="H28" s="25"/>
      <c r="I28" s="25"/>
      <c r="J28" s="25"/>
      <c r="K28" s="25"/>
      <c r="L28" s="25">
        <v>4891295000</v>
      </c>
      <c r="M28" s="25">
        <v>4029702516</v>
      </c>
      <c r="N28" s="24">
        <v>3940851043</v>
      </c>
      <c r="O28" s="24"/>
      <c r="P28" s="24">
        <f>5236540-42400</f>
        <v>5194140</v>
      </c>
      <c r="Q28" s="24">
        <f>282805718+42400</f>
        <v>282848118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288042258</v>
      </c>
      <c r="AB28" s="24">
        <v>3652808785</v>
      </c>
      <c r="AC28" s="24"/>
    </row>
    <row r="29" spans="2:29" hidden="1" x14ac:dyDescent="0.2">
      <c r="B29" s="30"/>
      <c r="C29" s="31"/>
      <c r="D29" s="32"/>
      <c r="E29" s="33"/>
      <c r="L29" s="128">
        <f>+L28-L26</f>
        <v>1089877264</v>
      </c>
      <c r="M29" s="128">
        <f>+M28-M26</f>
        <v>3966642778</v>
      </c>
      <c r="N29" s="128">
        <f>+N28-N26</f>
        <v>202493045</v>
      </c>
      <c r="O29" s="128">
        <f t="shared" ref="O29:AB29" si="6">+O28-O26</f>
        <v>-188800</v>
      </c>
      <c r="P29" s="128">
        <f t="shared" si="6"/>
        <v>-83249560</v>
      </c>
      <c r="Q29" s="128">
        <f t="shared" si="6"/>
        <v>-1350454020</v>
      </c>
      <c r="R29" s="128">
        <f t="shared" si="6"/>
        <v>-15289531</v>
      </c>
      <c r="S29" s="128">
        <f t="shared" si="6"/>
        <v>-183159931</v>
      </c>
      <c r="T29" s="128">
        <f t="shared" si="6"/>
        <v>-187977340</v>
      </c>
      <c r="U29" s="128">
        <f t="shared" si="6"/>
        <v>-243067868</v>
      </c>
      <c r="V29" s="128">
        <f t="shared" si="6"/>
        <v>-294128750</v>
      </c>
      <c r="W29" s="128">
        <f t="shared" si="6"/>
        <v>-229849816</v>
      </c>
      <c r="X29" s="128">
        <f t="shared" si="6"/>
        <v>0</v>
      </c>
      <c r="Y29" s="128">
        <f t="shared" si="6"/>
        <v>0</v>
      </c>
      <c r="Z29" s="128">
        <f t="shared" si="6"/>
        <v>0</v>
      </c>
      <c r="AA29" s="128">
        <f t="shared" si="6"/>
        <v>-2587365616</v>
      </c>
      <c r="AB29" s="128">
        <f t="shared" si="6"/>
        <v>2789858661</v>
      </c>
    </row>
    <row r="30" spans="2:29" x14ac:dyDescent="0.2">
      <c r="B30" s="30"/>
      <c r="C30" s="31"/>
      <c r="D30" s="32"/>
      <c r="M30" s="5"/>
      <c r="Q30" s="148"/>
      <c r="AB30" s="148"/>
    </row>
    <row r="31" spans="2:29" x14ac:dyDescent="0.2">
      <c r="C31" s="31"/>
      <c r="M31" s="5"/>
      <c r="Q31" s="148"/>
      <c r="S31" s="148"/>
      <c r="AA31" s="148"/>
      <c r="AB31" s="148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C35" s="31"/>
    </row>
    <row r="36" spans="2:9" x14ac:dyDescent="0.2">
      <c r="C36" s="31"/>
    </row>
    <row r="37" spans="2:9" x14ac:dyDescent="0.2">
      <c r="B37" s="30"/>
      <c r="D37" s="31"/>
    </row>
    <row r="38" spans="2:9" x14ac:dyDescent="0.2">
      <c r="B38" s="30"/>
      <c r="D38" s="31"/>
    </row>
    <row r="39" spans="2:9" x14ac:dyDescent="0.2">
      <c r="B39" s="29"/>
      <c r="C39" s="31"/>
      <c r="D39" s="31"/>
    </row>
    <row r="40" spans="2:9" x14ac:dyDescent="0.2">
      <c r="B40" s="30"/>
      <c r="C40" s="31"/>
      <c r="D40" s="31"/>
      <c r="G40" s="34"/>
      <c r="H40" s="34"/>
      <c r="I40" s="34"/>
    </row>
    <row r="41" spans="2:9" x14ac:dyDescent="0.2">
      <c r="B41" s="30"/>
    </row>
    <row r="42" spans="2:9" x14ac:dyDescent="0.2">
      <c r="C42" s="31"/>
      <c r="D42" s="31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</row>
    <row r="47" spans="2:9" x14ac:dyDescent="0.2">
      <c r="B47" s="30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  <row r="57" spans="2:3" x14ac:dyDescent="0.2">
      <c r="B57" s="30"/>
      <c r="C57" s="31"/>
    </row>
    <row r="58" spans="2:3" x14ac:dyDescent="0.2">
      <c r="B58" s="30"/>
      <c r="C58" s="31"/>
    </row>
  </sheetData>
  <autoFilter ref="B19:AC25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19" priority="2" operator="lessThan">
      <formula>0</formula>
    </cfRule>
  </conditionalFormatting>
  <conditionalFormatting sqref="AB19:AB25">
    <cfRule type="cellIs" dxfId="18" priority="1" operator="lessThan">
      <formula>0</formula>
    </cfRule>
  </conditionalFormatting>
  <conditionalFormatting sqref="AC6:AC15">
    <cfRule type="cellIs" dxfId="17" priority="13" operator="lessThan">
      <formula>0</formula>
    </cfRule>
  </conditionalFormatting>
  <conditionalFormatting sqref="AC27 AC29:AC1048576">
    <cfRule type="cellIs" dxfId="16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AC56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9.710937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17.5703125" style="3" customWidth="1" outlineLevel="1"/>
    <col min="13" max="13" width="16.5703125" style="3" customWidth="1" outlineLevel="1"/>
    <col min="14" max="14" width="19.7109375" style="5" bestFit="1" customWidth="1"/>
    <col min="15" max="15" width="12.85546875" style="5" customWidth="1"/>
    <col min="16" max="16" width="12.85546875" style="6" customWidth="1" outlineLevel="1"/>
    <col min="17" max="17" width="17.85546875" style="6" customWidth="1" outlineLevel="1"/>
    <col min="18" max="18" width="16" style="6" customWidth="1" outlineLevel="1"/>
    <col min="19" max="19" width="19.42578125" style="6" customWidth="1" outlineLevel="1"/>
    <col min="20" max="26" width="14.42578125" style="6" customWidth="1" outlineLevel="1"/>
    <col min="27" max="27" width="19" style="6" customWidth="1" outlineLevel="1"/>
    <col min="28" max="28" width="19" style="28" customWidth="1"/>
    <col min="29" max="29" width="22.140625" style="6" customWidth="1"/>
    <col min="30" max="16384" width="11.42578125" style="3"/>
  </cols>
  <sheetData>
    <row r="1" spans="2:29" ht="7.5" customHeight="1" thickBot="1" x14ac:dyDescent="0.25">
      <c r="Z1" s="6" t="s">
        <v>182</v>
      </c>
    </row>
    <row r="2" spans="2:29" ht="20.25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0.25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0.25" thickBot="1" x14ac:dyDescent="0.25">
      <c r="B4" s="161"/>
      <c r="C4" s="162" t="s">
        <v>185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7" t="s">
        <v>41</v>
      </c>
      <c r="D7" s="157" t="s">
        <v>41</v>
      </c>
      <c r="E7" s="157" t="s">
        <v>41</v>
      </c>
      <c r="F7" s="157" t="s">
        <v>41</v>
      </c>
      <c r="G7" s="158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7" t="s">
        <v>58</v>
      </c>
      <c r="D8" s="157" t="s">
        <v>43</v>
      </c>
      <c r="E8" s="157" t="s">
        <v>43</v>
      </c>
      <c r="F8" s="157" t="s">
        <v>43</v>
      </c>
      <c r="G8" s="158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7" t="s">
        <v>44</v>
      </c>
      <c r="D9" s="157" t="s">
        <v>44</v>
      </c>
      <c r="E9" s="157" t="s">
        <v>44</v>
      </c>
      <c r="F9" s="157" t="s">
        <v>44</v>
      </c>
      <c r="G9" s="158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7" t="s">
        <v>59</v>
      </c>
      <c r="D10" s="157" t="s">
        <v>45</v>
      </c>
      <c r="E10" s="157" t="s">
        <v>45</v>
      </c>
      <c r="F10" s="157" t="s">
        <v>45</v>
      </c>
      <c r="G10" s="158" t="s">
        <v>45</v>
      </c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74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75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76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1.5" customHeight="1" outlineLevel="1" x14ac:dyDescent="0.2">
      <c r="B15" s="1" t="s">
        <v>36</v>
      </c>
      <c r="C15" s="168" t="s">
        <v>184</v>
      </c>
      <c r="D15" s="169"/>
      <c r="E15" s="170"/>
      <c r="F15" s="2" t="s">
        <v>7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6" t="s">
        <v>14</v>
      </c>
      <c r="C16" s="36" t="s">
        <v>186</v>
      </c>
      <c r="D16" s="36" t="s">
        <v>3</v>
      </c>
      <c r="E16" s="36" t="s">
        <v>4</v>
      </c>
      <c r="F16" s="36" t="s">
        <v>12</v>
      </c>
      <c r="G16" s="37" t="s">
        <v>187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265077749</v>
      </c>
      <c r="D17" s="51"/>
      <c r="E17" s="51">
        <v>3158969</v>
      </c>
      <c r="F17" s="39">
        <f>D17-E17</f>
        <v>-3158969</v>
      </c>
      <c r="G17" s="45">
        <f>+C17+F17</f>
        <v>261918780</v>
      </c>
      <c r="H17" s="127"/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0" customHeight="1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186</v>
      </c>
      <c r="M19" s="147" t="s">
        <v>188</v>
      </c>
      <c r="N19" s="147" t="s">
        <v>187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189</v>
      </c>
      <c r="AC19" s="18"/>
    </row>
    <row r="20" spans="2:29" ht="34.5" customHeight="1" x14ac:dyDescent="0.2">
      <c r="B20" s="114" t="s">
        <v>77</v>
      </c>
      <c r="C20" s="115" t="s">
        <v>78</v>
      </c>
      <c r="D20" s="72" t="s">
        <v>79</v>
      </c>
      <c r="E20" s="72" t="s">
        <v>80</v>
      </c>
      <c r="F20" s="73" t="s">
        <v>139</v>
      </c>
      <c r="G20" s="74" t="s">
        <v>138</v>
      </c>
      <c r="H20" s="75" t="s">
        <v>65</v>
      </c>
      <c r="I20" s="90" t="s">
        <v>168</v>
      </c>
      <c r="J20" s="130" t="s">
        <v>167</v>
      </c>
      <c r="K20" s="131" t="s">
        <v>169</v>
      </c>
      <c r="L20" s="124">
        <v>260640970</v>
      </c>
      <c r="M20" s="79">
        <v>7235533</v>
      </c>
      <c r="N20" s="80">
        <f>+L20-M20</f>
        <v>253405437</v>
      </c>
      <c r="O20" s="81">
        <v>0</v>
      </c>
      <c r="P20" s="81">
        <v>64353413</v>
      </c>
      <c r="Q20" s="82">
        <f>200707676-P20</f>
        <v>136354263</v>
      </c>
      <c r="R20" s="82">
        <f>237111775-Q20-P20</f>
        <v>36404099</v>
      </c>
      <c r="S20" s="82">
        <f>248189313-R20-Q20-P20</f>
        <v>11077538</v>
      </c>
      <c r="T20" s="82">
        <v>0</v>
      </c>
      <c r="U20" s="82">
        <v>0</v>
      </c>
      <c r="V20" s="82">
        <v>0</v>
      </c>
      <c r="W20" s="82">
        <f>251741268-S20-R20-Q20-P20</f>
        <v>3551955</v>
      </c>
      <c r="X20" s="82"/>
      <c r="Y20" s="82"/>
      <c r="Z20" s="83"/>
      <c r="AA20" s="84">
        <f>SUM(O20:Z20)</f>
        <v>251741268</v>
      </c>
      <c r="AB20" s="85">
        <f>+N20-AA20</f>
        <v>1664169</v>
      </c>
      <c r="AC20" s="3"/>
    </row>
    <row r="21" spans="2:29" ht="34.5" customHeight="1" x14ac:dyDescent="0.2">
      <c r="B21" s="116" t="s">
        <v>81</v>
      </c>
      <c r="C21" s="117" t="s">
        <v>82</v>
      </c>
      <c r="D21" s="86" t="s">
        <v>83</v>
      </c>
      <c r="E21" s="86" t="s">
        <v>84</v>
      </c>
      <c r="F21" s="87" t="s">
        <v>140</v>
      </c>
      <c r="G21" s="88" t="s">
        <v>141</v>
      </c>
      <c r="H21" s="89" t="s">
        <v>65</v>
      </c>
      <c r="I21" s="90" t="s">
        <v>170</v>
      </c>
      <c r="J21" s="130" t="s">
        <v>171</v>
      </c>
      <c r="K21" s="131" t="s">
        <v>172</v>
      </c>
      <c r="L21" s="125">
        <v>3745398</v>
      </c>
      <c r="M21" s="93">
        <v>1</v>
      </c>
      <c r="N21" s="94">
        <f t="shared" ref="N21:N23" si="0">+L21-M21</f>
        <v>3745397</v>
      </c>
      <c r="O21" s="95">
        <v>0</v>
      </c>
      <c r="P21" s="96">
        <v>3745397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/>
      <c r="Y21" s="96"/>
      <c r="Z21" s="97"/>
      <c r="AA21" s="98">
        <f t="shared" ref="AA21:AA23" si="1">SUM(O21:Z21)</f>
        <v>3745397</v>
      </c>
      <c r="AB21" s="99">
        <f t="shared" ref="AB21:AB23" si="2">+N21-AA21</f>
        <v>0</v>
      </c>
      <c r="AC21" s="3"/>
    </row>
    <row r="22" spans="2:29" ht="34.5" customHeight="1" x14ac:dyDescent="0.2">
      <c r="B22" s="116" t="s">
        <v>85</v>
      </c>
      <c r="C22" s="117" t="s">
        <v>86</v>
      </c>
      <c r="D22" s="86" t="s">
        <v>50</v>
      </c>
      <c r="E22" s="86" t="s">
        <v>51</v>
      </c>
      <c r="F22" s="87" t="s">
        <v>137</v>
      </c>
      <c r="G22" s="88" t="s">
        <v>142</v>
      </c>
      <c r="H22" s="89" t="s">
        <v>65</v>
      </c>
      <c r="I22" s="90" t="s">
        <v>164</v>
      </c>
      <c r="J22" s="130" t="s">
        <v>165</v>
      </c>
      <c r="K22" s="131" t="s">
        <v>166</v>
      </c>
      <c r="L22" s="125">
        <v>691381</v>
      </c>
      <c r="M22" s="93">
        <v>660781</v>
      </c>
      <c r="N22" s="94">
        <f t="shared" si="0"/>
        <v>30600</v>
      </c>
      <c r="O22" s="95">
        <v>0</v>
      </c>
      <c r="P22" s="95">
        <v>0</v>
      </c>
      <c r="Q22" s="96">
        <v>20990</v>
      </c>
      <c r="R22" s="96">
        <v>0</v>
      </c>
      <c r="S22" s="96">
        <v>0</v>
      </c>
      <c r="T22" s="96">
        <f>30600-Q22</f>
        <v>9610</v>
      </c>
      <c r="U22" s="96">
        <v>0</v>
      </c>
      <c r="V22" s="96">
        <v>0</v>
      </c>
      <c r="W22" s="96">
        <v>0</v>
      </c>
      <c r="X22" s="96"/>
      <c r="Y22" s="96"/>
      <c r="Z22" s="97"/>
      <c r="AA22" s="98">
        <f t="shared" si="1"/>
        <v>30600</v>
      </c>
      <c r="AB22" s="99">
        <f t="shared" si="2"/>
        <v>0</v>
      </c>
      <c r="AC22" s="3"/>
    </row>
    <row r="23" spans="2:29" ht="34.5" customHeight="1" x14ac:dyDescent="0.2">
      <c r="B23" s="116" t="s">
        <v>67</v>
      </c>
      <c r="C23" s="117" t="s">
        <v>87</v>
      </c>
      <c r="D23" s="86" t="s">
        <v>88</v>
      </c>
      <c r="E23" s="86" t="s">
        <v>89</v>
      </c>
      <c r="F23" s="87" t="s">
        <v>137</v>
      </c>
      <c r="G23" s="88" t="s">
        <v>143</v>
      </c>
      <c r="H23" s="89" t="s">
        <v>65</v>
      </c>
      <c r="I23" s="90"/>
      <c r="J23" s="91"/>
      <c r="K23" s="92"/>
      <c r="L23" s="125">
        <v>0</v>
      </c>
      <c r="M23" s="93">
        <v>0</v>
      </c>
      <c r="N23" s="94">
        <f t="shared" si="0"/>
        <v>0</v>
      </c>
      <c r="O23" s="95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/>
      <c r="Y23" s="96"/>
      <c r="Z23" s="97"/>
      <c r="AA23" s="98">
        <f t="shared" si="1"/>
        <v>0</v>
      </c>
      <c r="AB23" s="99">
        <f t="shared" si="2"/>
        <v>0</v>
      </c>
      <c r="AC23" s="3"/>
    </row>
    <row r="24" spans="2:29" ht="34.5" customHeight="1" thickBot="1" x14ac:dyDescent="0.25">
      <c r="B24" s="118"/>
      <c r="C24" s="119"/>
      <c r="D24" s="100"/>
      <c r="E24" s="100"/>
      <c r="F24" s="101"/>
      <c r="G24" s="102"/>
      <c r="H24" s="103"/>
      <c r="I24" s="104"/>
      <c r="J24" s="105"/>
      <c r="K24" s="106"/>
      <c r="L24" s="126"/>
      <c r="M24" s="107"/>
      <c r="N24" s="108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1"/>
      <c r="AA24" s="112"/>
      <c r="AB24" s="113"/>
      <c r="AC24" s="3"/>
    </row>
    <row r="25" spans="2:29" s="18" customFormat="1" ht="31.5" customHeight="1" thickBot="1" x14ac:dyDescent="0.25">
      <c r="B25" s="19" t="s">
        <v>35</v>
      </c>
      <c r="C25" s="48"/>
      <c r="D25" s="21"/>
      <c r="E25" s="20"/>
      <c r="F25" s="22"/>
      <c r="G25" s="59"/>
      <c r="H25" s="61"/>
      <c r="I25" s="59"/>
      <c r="J25" s="23"/>
      <c r="K25" s="56"/>
      <c r="L25" s="57">
        <f t="shared" ref="L25:AA25" si="3">SUBTOTAL(9,L20:L24)</f>
        <v>265077749</v>
      </c>
      <c r="M25" s="57">
        <f t="shared" si="3"/>
        <v>7896315</v>
      </c>
      <c r="N25" s="54">
        <f t="shared" si="3"/>
        <v>257181434</v>
      </c>
      <c r="O25" s="120">
        <f t="shared" si="3"/>
        <v>0</v>
      </c>
      <c r="P25" s="120">
        <f t="shared" si="3"/>
        <v>68098810</v>
      </c>
      <c r="Q25" s="120">
        <f t="shared" si="3"/>
        <v>136375253</v>
      </c>
      <c r="R25" s="120">
        <f t="shared" si="3"/>
        <v>36404099</v>
      </c>
      <c r="S25" s="120">
        <f t="shared" si="3"/>
        <v>11077538</v>
      </c>
      <c r="T25" s="120">
        <f t="shared" si="3"/>
        <v>9610</v>
      </c>
      <c r="U25" s="120">
        <f t="shared" si="3"/>
        <v>0</v>
      </c>
      <c r="V25" s="120">
        <f t="shared" si="3"/>
        <v>0</v>
      </c>
      <c r="W25" s="120">
        <f t="shared" si="3"/>
        <v>3551955</v>
      </c>
      <c r="X25" s="120">
        <f t="shared" si="3"/>
        <v>0</v>
      </c>
      <c r="Y25" s="120">
        <f t="shared" si="3"/>
        <v>0</v>
      </c>
      <c r="Z25" s="121">
        <f t="shared" si="3"/>
        <v>0</v>
      </c>
      <c r="AA25" s="122">
        <f t="shared" si="3"/>
        <v>255517265</v>
      </c>
      <c r="AB25" s="123">
        <f>SUBTOTAL(9,AB20:AB24)</f>
        <v>1664169</v>
      </c>
    </row>
    <row r="26" spans="2:29" s="26" customFormat="1" ht="11.25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4"/>
      <c r="O26" s="24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0"/>
      <c r="AC26" s="50"/>
    </row>
    <row r="27" spans="2:29" hidden="1" x14ac:dyDescent="0.2">
      <c r="B27" s="30"/>
      <c r="C27" s="31"/>
      <c r="D27" s="32"/>
      <c r="E27" s="33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2:29" hidden="1" x14ac:dyDescent="0.2">
      <c r="B28" s="30"/>
      <c r="C28" s="31"/>
      <c r="D28" s="32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</row>
    <row r="29" spans="2:29" x14ac:dyDescent="0.2">
      <c r="C29" s="31"/>
      <c r="M29" s="5"/>
      <c r="AA29" s="5"/>
    </row>
    <row r="30" spans="2:29" x14ac:dyDescent="0.2">
      <c r="C30" s="31"/>
      <c r="L30" s="5"/>
      <c r="M30" s="5"/>
      <c r="Q30" s="5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B35" s="30"/>
      <c r="D35" s="31"/>
    </row>
    <row r="36" spans="2:9" x14ac:dyDescent="0.2">
      <c r="B36" s="30"/>
      <c r="D36" s="31"/>
    </row>
    <row r="37" spans="2:9" x14ac:dyDescent="0.2">
      <c r="B37" s="29"/>
      <c r="C37" s="31"/>
      <c r="D37" s="31"/>
    </row>
    <row r="38" spans="2:9" x14ac:dyDescent="0.2">
      <c r="B38" s="30"/>
      <c r="C38" s="31"/>
      <c r="D38" s="31"/>
      <c r="G38" s="34"/>
      <c r="H38" s="34"/>
      <c r="I38" s="34"/>
    </row>
    <row r="39" spans="2:9" x14ac:dyDescent="0.2">
      <c r="B39" s="30"/>
      <c r="E39" s="145"/>
    </row>
    <row r="40" spans="2:9" x14ac:dyDescent="0.2">
      <c r="C40" s="31"/>
      <c r="D40" s="31"/>
    </row>
    <row r="41" spans="2:9" x14ac:dyDescent="0.2">
      <c r="B41" s="30"/>
      <c r="E41" s="128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15" priority="2" operator="lessThan">
      <formula>0</formula>
    </cfRule>
  </conditionalFormatting>
  <conditionalFormatting sqref="AB19:AB24">
    <cfRule type="cellIs" dxfId="14" priority="1" operator="lessThan">
      <formula>0</formula>
    </cfRule>
  </conditionalFormatting>
  <conditionalFormatting sqref="AC6:AC15">
    <cfRule type="cellIs" dxfId="13" priority="13" operator="lessThan">
      <formula>0</formula>
    </cfRule>
  </conditionalFormatting>
  <conditionalFormatting sqref="AC26:AC1048576">
    <cfRule type="cellIs" dxfId="12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AC55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6.4257812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18.7109375" style="3" customWidth="1" outlineLevel="1"/>
    <col min="13" max="13" width="16.85546875" style="3" customWidth="1" outlineLevel="1"/>
    <col min="14" max="14" width="18.85546875" style="5" customWidth="1"/>
    <col min="15" max="15" width="15" style="5" customWidth="1"/>
    <col min="16" max="16" width="15" style="6" customWidth="1" outlineLevel="1"/>
    <col min="17" max="17" width="16.85546875" style="6" customWidth="1" outlineLevel="1"/>
    <col min="18" max="18" width="18.7109375" style="6" customWidth="1" outlineLevel="1"/>
    <col min="19" max="19" width="16.85546875" style="6" customWidth="1" outlineLevel="1"/>
    <col min="20" max="20" width="15.42578125" style="6" customWidth="1" outlineLevel="1"/>
    <col min="21" max="22" width="13.7109375" style="6" customWidth="1" outlineLevel="1"/>
    <col min="23" max="23" width="16.28515625" style="6" customWidth="1" outlineLevel="1"/>
    <col min="24" max="26" width="13.7109375" style="6" customWidth="1" outlineLevel="1"/>
    <col min="27" max="27" width="17.7109375" style="6" customWidth="1" outlineLevel="1"/>
    <col min="28" max="28" width="18.710937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1"/>
      <c r="C4" s="162" t="s">
        <v>185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4" t="s">
        <v>90</v>
      </c>
      <c r="D7" s="155"/>
      <c r="E7" s="155"/>
      <c r="F7" s="155"/>
      <c r="G7" s="156"/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4" t="s">
        <v>91</v>
      </c>
      <c r="D8" s="155"/>
      <c r="E8" s="155"/>
      <c r="F8" s="155"/>
      <c r="G8" s="156"/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4" t="s">
        <v>92</v>
      </c>
      <c r="D9" s="155"/>
      <c r="E9" s="155"/>
      <c r="F9" s="155"/>
      <c r="G9" s="156"/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78" t="s">
        <v>93</v>
      </c>
      <c r="D10" s="179"/>
      <c r="E10" s="179"/>
      <c r="F10" s="179"/>
      <c r="G10" s="180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192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94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95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3.75" customHeight="1" outlineLevel="1" x14ac:dyDescent="0.2">
      <c r="B15" s="1" t="s">
        <v>36</v>
      </c>
      <c r="C15" s="168" t="s">
        <v>184</v>
      </c>
      <c r="D15" s="169"/>
      <c r="E15" s="170"/>
      <c r="F15" s="2" t="s">
        <v>7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30" customHeight="1" x14ac:dyDescent="0.2">
      <c r="B16" s="166" t="s">
        <v>14</v>
      </c>
      <c r="C16" s="36" t="s">
        <v>186</v>
      </c>
      <c r="D16" s="36" t="s">
        <v>3</v>
      </c>
      <c r="E16" s="36" t="s">
        <v>4</v>
      </c>
      <c r="F16" s="36" t="s">
        <v>12</v>
      </c>
      <c r="G16" s="37" t="s">
        <v>187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1060940387</v>
      </c>
      <c r="D17" s="51">
        <v>0</v>
      </c>
      <c r="E17" s="51">
        <v>1009</v>
      </c>
      <c r="F17" s="39">
        <f>D17-E17</f>
        <v>-1009</v>
      </c>
      <c r="G17" s="45">
        <f>+C17+F17</f>
        <v>1060939378</v>
      </c>
      <c r="H17" s="127">
        <f>+G17-N24</f>
        <v>1</v>
      </c>
      <c r="I17" s="127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186</v>
      </c>
      <c r="M19" s="147" t="s">
        <v>188</v>
      </c>
      <c r="N19" s="147" t="s">
        <v>187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189</v>
      </c>
      <c r="AC19" s="18"/>
    </row>
    <row r="20" spans="2:29" ht="34.5" customHeight="1" x14ac:dyDescent="0.2">
      <c r="B20" s="114" t="s">
        <v>96</v>
      </c>
      <c r="C20" s="115" t="s">
        <v>97</v>
      </c>
      <c r="D20" s="72" t="s">
        <v>98</v>
      </c>
      <c r="E20" s="72" t="s">
        <v>99</v>
      </c>
      <c r="F20" s="73" t="s">
        <v>144</v>
      </c>
      <c r="G20" s="74" t="s">
        <v>146</v>
      </c>
      <c r="H20" s="75" t="s">
        <v>65</v>
      </c>
      <c r="I20" s="90" t="s">
        <v>174</v>
      </c>
      <c r="J20" s="130" t="s">
        <v>173</v>
      </c>
      <c r="K20" s="131" t="s">
        <v>175</v>
      </c>
      <c r="L20" s="124">
        <v>1050780396</v>
      </c>
      <c r="M20" s="146">
        <v>1009</v>
      </c>
      <c r="N20" s="132">
        <v>1050779387</v>
      </c>
      <c r="O20" s="81">
        <v>0</v>
      </c>
      <c r="P20" s="82">
        <v>0</v>
      </c>
      <c r="Q20" s="82">
        <v>380548695</v>
      </c>
      <c r="R20" s="82">
        <f>382487977-Q20</f>
        <v>1939282</v>
      </c>
      <c r="S20" s="82">
        <f>382761872-R20-Q20</f>
        <v>273895</v>
      </c>
      <c r="T20" s="82">
        <f>466888213-S20-R20-Q20</f>
        <v>84126341</v>
      </c>
      <c r="U20" s="82">
        <v>0</v>
      </c>
      <c r="V20" s="82">
        <f>466888213-T20-S20-R20-Q20</f>
        <v>0</v>
      </c>
      <c r="W20" s="82">
        <f>605474386-T20-S20-R20-Q20</f>
        <v>138586173</v>
      </c>
      <c r="X20" s="82"/>
      <c r="Y20" s="82"/>
      <c r="Z20" s="83"/>
      <c r="AA20" s="84">
        <f>SUM(P20:Z20)</f>
        <v>605474386</v>
      </c>
      <c r="AB20" s="85">
        <f>+N20-AA20</f>
        <v>445305001</v>
      </c>
      <c r="AC20" s="3"/>
    </row>
    <row r="21" spans="2:29" ht="34.5" customHeight="1" x14ac:dyDescent="0.2">
      <c r="B21" s="116" t="s">
        <v>100</v>
      </c>
      <c r="C21" s="117" t="s">
        <v>101</v>
      </c>
      <c r="D21" s="86" t="s">
        <v>69</v>
      </c>
      <c r="E21" s="86" t="s">
        <v>70</v>
      </c>
      <c r="F21" s="87" t="s">
        <v>147</v>
      </c>
      <c r="G21" s="88" t="s">
        <v>148</v>
      </c>
      <c r="H21" s="89" t="s">
        <v>65</v>
      </c>
      <c r="I21" s="90"/>
      <c r="J21" s="91"/>
      <c r="K21" s="92"/>
      <c r="L21" s="125">
        <v>4670668</v>
      </c>
      <c r="M21" s="125">
        <v>1</v>
      </c>
      <c r="N21" s="94">
        <f t="shared" ref="N21:N23" si="0">+L21-M21</f>
        <v>4670667</v>
      </c>
      <c r="O21" s="95">
        <v>0</v>
      </c>
      <c r="P21" s="96">
        <v>1750000</v>
      </c>
      <c r="Q21" s="96">
        <v>0</v>
      </c>
      <c r="R21" s="96">
        <v>0</v>
      </c>
      <c r="S21" s="96">
        <v>0</v>
      </c>
      <c r="T21" s="96">
        <f>3940500-P21</f>
        <v>2190500</v>
      </c>
      <c r="U21" s="96">
        <f>4670667-T21-P21</f>
        <v>730167</v>
      </c>
      <c r="V21" s="96">
        <v>0</v>
      </c>
      <c r="W21" s="96">
        <v>0</v>
      </c>
      <c r="X21" s="96"/>
      <c r="Y21" s="96"/>
      <c r="Z21" s="97"/>
      <c r="AA21" s="98">
        <f t="shared" ref="AA21:AA23" si="1">SUM(P21:Z21)</f>
        <v>4670667</v>
      </c>
      <c r="AB21" s="99">
        <f t="shared" ref="AB21:AB23" si="2">+N21-AA21</f>
        <v>0</v>
      </c>
      <c r="AC21" s="3"/>
    </row>
    <row r="22" spans="2:29" ht="34.5" customHeight="1" x14ac:dyDescent="0.2">
      <c r="B22" s="116" t="s">
        <v>102</v>
      </c>
      <c r="C22" s="117" t="s">
        <v>103</v>
      </c>
      <c r="D22" s="86" t="s">
        <v>50</v>
      </c>
      <c r="E22" s="86" t="s">
        <v>51</v>
      </c>
      <c r="F22" s="87" t="s">
        <v>137</v>
      </c>
      <c r="G22" s="88" t="s">
        <v>143</v>
      </c>
      <c r="H22" s="89" t="s">
        <v>65</v>
      </c>
      <c r="I22" s="90" t="s">
        <v>177</v>
      </c>
      <c r="J22" s="130" t="s">
        <v>176</v>
      </c>
      <c r="K22" s="131" t="s">
        <v>178</v>
      </c>
      <c r="L22" s="125">
        <v>1739323</v>
      </c>
      <c r="M22" s="125">
        <v>0</v>
      </c>
      <c r="N22" s="94">
        <f t="shared" si="0"/>
        <v>1739323</v>
      </c>
      <c r="O22" s="95">
        <v>0</v>
      </c>
      <c r="P22" s="96">
        <v>0</v>
      </c>
      <c r="Q22" s="96">
        <v>1739323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/>
      <c r="Y22" s="96"/>
      <c r="Z22" s="97"/>
      <c r="AA22" s="98">
        <f t="shared" si="1"/>
        <v>1739323</v>
      </c>
      <c r="AB22" s="99">
        <f t="shared" si="2"/>
        <v>0</v>
      </c>
      <c r="AC22" s="3"/>
    </row>
    <row r="23" spans="2:29" ht="34.5" customHeight="1" thickBot="1" x14ac:dyDescent="0.25">
      <c r="B23" s="116" t="s">
        <v>104</v>
      </c>
      <c r="C23" s="117" t="s">
        <v>105</v>
      </c>
      <c r="D23" s="86" t="s">
        <v>106</v>
      </c>
      <c r="E23" s="86" t="s">
        <v>55</v>
      </c>
      <c r="F23" s="87" t="s">
        <v>144</v>
      </c>
      <c r="G23" s="88" t="s">
        <v>145</v>
      </c>
      <c r="H23" s="89" t="s">
        <v>65</v>
      </c>
      <c r="I23" s="90"/>
      <c r="J23" s="91"/>
      <c r="K23" s="92"/>
      <c r="L23" s="125">
        <v>3750000</v>
      </c>
      <c r="M23" s="125">
        <v>0</v>
      </c>
      <c r="N23" s="95">
        <f t="shared" si="0"/>
        <v>3750000</v>
      </c>
      <c r="O23" s="95">
        <v>0</v>
      </c>
      <c r="P23" s="96">
        <v>3750000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/>
      <c r="Y23" s="96"/>
      <c r="Z23" s="97"/>
      <c r="AA23" s="98">
        <f t="shared" si="1"/>
        <v>3750000</v>
      </c>
      <c r="AB23" s="99">
        <f t="shared" si="2"/>
        <v>0</v>
      </c>
      <c r="AC23" s="3"/>
    </row>
    <row r="24" spans="2:29" s="18" customFormat="1" ht="31.5" customHeight="1" thickBot="1" x14ac:dyDescent="0.25">
      <c r="B24" s="19" t="s">
        <v>35</v>
      </c>
      <c r="C24" s="48"/>
      <c r="D24" s="21"/>
      <c r="E24" s="20"/>
      <c r="F24" s="22"/>
      <c r="G24" s="59"/>
      <c r="H24" s="61"/>
      <c r="I24" s="59"/>
      <c r="J24" s="23"/>
      <c r="K24" s="56"/>
      <c r="L24" s="57">
        <f t="shared" ref="L24:AB24" si="3">SUBTOTAL(9,L20:L23)</f>
        <v>1060940387</v>
      </c>
      <c r="M24" s="57">
        <f t="shared" si="3"/>
        <v>1010</v>
      </c>
      <c r="N24" s="54">
        <f t="shared" si="3"/>
        <v>1060939377</v>
      </c>
      <c r="O24" s="120">
        <f t="shared" si="3"/>
        <v>0</v>
      </c>
      <c r="P24" s="120">
        <f t="shared" si="3"/>
        <v>5500000</v>
      </c>
      <c r="Q24" s="120">
        <f t="shared" si="3"/>
        <v>382288018</v>
      </c>
      <c r="R24" s="120">
        <f t="shared" si="3"/>
        <v>1939282</v>
      </c>
      <c r="S24" s="120">
        <f t="shared" si="3"/>
        <v>273895</v>
      </c>
      <c r="T24" s="120">
        <f t="shared" si="3"/>
        <v>86316841</v>
      </c>
      <c r="U24" s="120">
        <f t="shared" si="3"/>
        <v>730167</v>
      </c>
      <c r="V24" s="120">
        <f t="shared" si="3"/>
        <v>0</v>
      </c>
      <c r="W24" s="120">
        <f t="shared" si="3"/>
        <v>138586173</v>
      </c>
      <c r="X24" s="120">
        <f t="shared" si="3"/>
        <v>0</v>
      </c>
      <c r="Y24" s="120">
        <f t="shared" si="3"/>
        <v>0</v>
      </c>
      <c r="Z24" s="121">
        <f t="shared" si="3"/>
        <v>0</v>
      </c>
      <c r="AA24" s="122">
        <f t="shared" si="3"/>
        <v>615634376</v>
      </c>
      <c r="AB24" s="123">
        <f t="shared" si="3"/>
        <v>445305001</v>
      </c>
    </row>
    <row r="25" spans="2:29" s="26" customFormat="1" ht="11.25" x14ac:dyDescent="0.2">
      <c r="B25" s="27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4"/>
      <c r="O25" s="24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  <c r="AC25" s="50"/>
    </row>
    <row r="26" spans="2:29" s="24" customFormat="1" ht="11.25" hidden="1" x14ac:dyDescent="0.2"/>
    <row r="27" spans="2:29" s="128" customFormat="1" hidden="1" x14ac:dyDescent="0.2"/>
    <row r="28" spans="2:29" x14ac:dyDescent="0.2">
      <c r="C28" s="31"/>
      <c r="N28" s="3"/>
      <c r="AA28" s="5"/>
    </row>
    <row r="29" spans="2:29" x14ac:dyDescent="0.2">
      <c r="C29" s="31"/>
      <c r="L29" s="5"/>
      <c r="M29" s="5"/>
      <c r="Q29" s="5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B34" s="30"/>
      <c r="D34" s="31"/>
    </row>
    <row r="35" spans="2:9" x14ac:dyDescent="0.2">
      <c r="B35" s="30"/>
      <c r="D35" s="31"/>
    </row>
    <row r="36" spans="2:9" x14ac:dyDescent="0.2">
      <c r="B36" s="29"/>
      <c r="C36" s="31"/>
      <c r="D36" s="31"/>
    </row>
    <row r="37" spans="2:9" x14ac:dyDescent="0.2">
      <c r="B37" s="30"/>
      <c r="C37" s="31"/>
      <c r="D37" s="31"/>
      <c r="G37" s="34"/>
      <c r="H37" s="34"/>
      <c r="I37" s="34"/>
    </row>
    <row r="38" spans="2:9" x14ac:dyDescent="0.2">
      <c r="B38" s="30"/>
      <c r="E38" s="144"/>
    </row>
    <row r="39" spans="2:9" x14ac:dyDescent="0.2">
      <c r="C39" s="31"/>
      <c r="D39" s="31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</sheetData>
  <autoFilter ref="B19:AC23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11" priority="2" operator="lessThan">
      <formula>0</formula>
    </cfRule>
  </conditionalFormatting>
  <conditionalFormatting sqref="AB19:AB23">
    <cfRule type="cellIs" dxfId="10" priority="1" operator="lessThan">
      <formula>0</formula>
    </cfRule>
  </conditionalFormatting>
  <conditionalFormatting sqref="AC6:AC15">
    <cfRule type="cellIs" dxfId="9" priority="13" operator="lessThan">
      <formula>0</formula>
    </cfRule>
  </conditionalFormatting>
  <conditionalFormatting sqref="AC25:AC1048576">
    <cfRule type="cellIs" dxfId="8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AC56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8.14062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20.7109375" style="3" customWidth="1" outlineLevel="1"/>
    <col min="13" max="13" width="17.28515625" style="3" customWidth="1" outlineLevel="1"/>
    <col min="14" max="15" width="19.7109375" style="5" bestFit="1" customWidth="1"/>
    <col min="16" max="26" width="14.7109375" style="6" customWidth="1" outlineLevel="1"/>
    <col min="27" max="27" width="17.1406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0.25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0.25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0.25" thickBot="1" x14ac:dyDescent="0.25">
      <c r="B4" s="161"/>
      <c r="C4" s="162" t="s">
        <v>185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4" t="s">
        <v>107</v>
      </c>
      <c r="D7" s="155" t="s">
        <v>41</v>
      </c>
      <c r="E7" s="155" t="s">
        <v>41</v>
      </c>
      <c r="F7" s="155" t="s">
        <v>41</v>
      </c>
      <c r="G7" s="156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4" t="s">
        <v>108</v>
      </c>
      <c r="D8" s="155" t="s">
        <v>43</v>
      </c>
      <c r="E8" s="155" t="s">
        <v>43</v>
      </c>
      <c r="F8" s="155" t="s">
        <v>43</v>
      </c>
      <c r="G8" s="156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4" t="s">
        <v>109</v>
      </c>
      <c r="D9" s="155" t="s">
        <v>44</v>
      </c>
      <c r="E9" s="155" t="s">
        <v>44</v>
      </c>
      <c r="F9" s="155" t="s">
        <v>44</v>
      </c>
      <c r="G9" s="156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4" t="s">
        <v>110</v>
      </c>
      <c r="D10" s="155"/>
      <c r="E10" s="155"/>
      <c r="F10" s="155"/>
      <c r="G10" s="156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183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111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112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9" customHeight="1" outlineLevel="1" x14ac:dyDescent="0.2">
      <c r="B15" s="1" t="s">
        <v>36</v>
      </c>
      <c r="C15" s="168" t="s">
        <v>184</v>
      </c>
      <c r="D15" s="169"/>
      <c r="E15" s="170"/>
      <c r="F15" s="2" t="s">
        <v>7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6" t="s">
        <v>14</v>
      </c>
      <c r="C16" s="36" t="s">
        <v>186</v>
      </c>
      <c r="D16" s="36" t="s">
        <v>3</v>
      </c>
      <c r="E16" s="36" t="s">
        <v>4</v>
      </c>
      <c r="F16" s="36" t="s">
        <v>12</v>
      </c>
      <c r="G16" s="37" t="s">
        <v>187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10171508</v>
      </c>
      <c r="D17" s="51">
        <v>0</v>
      </c>
      <c r="E17" s="51"/>
      <c r="F17" s="39">
        <f>D17-E17</f>
        <v>0</v>
      </c>
      <c r="G17" s="45">
        <f>+C17+F17</f>
        <v>10171508</v>
      </c>
      <c r="H17" s="127">
        <f>+G17-L25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6" customHeight="1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186</v>
      </c>
      <c r="M19" s="147" t="s">
        <v>188</v>
      </c>
      <c r="N19" s="147" t="s">
        <v>187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189</v>
      </c>
      <c r="AC19" s="18"/>
    </row>
    <row r="20" spans="2:29" ht="34.5" customHeight="1" x14ac:dyDescent="0.2">
      <c r="B20" s="114" t="s">
        <v>113</v>
      </c>
      <c r="C20" s="115" t="s">
        <v>114</v>
      </c>
      <c r="D20" s="72" t="s">
        <v>63</v>
      </c>
      <c r="E20" s="72" t="s">
        <v>64</v>
      </c>
      <c r="F20" s="73" t="s">
        <v>144</v>
      </c>
      <c r="G20" s="74" t="s">
        <v>146</v>
      </c>
      <c r="H20" s="75" t="s">
        <v>65</v>
      </c>
      <c r="I20" s="76" t="s">
        <v>53</v>
      </c>
      <c r="J20" s="77" t="s">
        <v>53</v>
      </c>
      <c r="K20" s="78" t="s">
        <v>53</v>
      </c>
      <c r="L20" s="124">
        <v>10171508</v>
      </c>
      <c r="M20" s="124">
        <v>0</v>
      </c>
      <c r="N20" s="80">
        <f>+L20-M20</f>
        <v>10171508</v>
      </c>
      <c r="O20" s="81">
        <v>0</v>
      </c>
      <c r="P20" s="82">
        <v>3390503</v>
      </c>
      <c r="Q20" s="82">
        <v>6781005</v>
      </c>
      <c r="R20" s="82">
        <v>0</v>
      </c>
      <c r="S20" s="82">
        <v>0</v>
      </c>
      <c r="T20" s="96">
        <v>0</v>
      </c>
      <c r="U20" s="96">
        <v>0</v>
      </c>
      <c r="V20" s="96">
        <v>0</v>
      </c>
      <c r="W20" s="96">
        <v>0</v>
      </c>
      <c r="X20" s="82"/>
      <c r="Y20" s="82"/>
      <c r="Z20" s="83"/>
      <c r="AA20" s="84">
        <f>SUM(O20:Z20)</f>
        <v>10171508</v>
      </c>
      <c r="AB20" s="85">
        <f>+N20-AA20</f>
        <v>0</v>
      </c>
      <c r="AC20" s="3"/>
    </row>
    <row r="21" spans="2:29" ht="34.5" customHeight="1" x14ac:dyDescent="0.2">
      <c r="B21" s="116" t="s">
        <v>113</v>
      </c>
      <c r="C21" s="117" t="s">
        <v>115</v>
      </c>
      <c r="D21" s="86" t="s">
        <v>106</v>
      </c>
      <c r="E21" s="86" t="s">
        <v>55</v>
      </c>
      <c r="F21" s="87" t="s">
        <v>144</v>
      </c>
      <c r="G21" s="88" t="s">
        <v>146</v>
      </c>
      <c r="H21" s="89" t="s">
        <v>65</v>
      </c>
      <c r="I21" s="90" t="s">
        <v>53</v>
      </c>
      <c r="J21" s="91" t="s">
        <v>53</v>
      </c>
      <c r="K21" s="92" t="s">
        <v>53</v>
      </c>
      <c r="L21" s="125">
        <v>0</v>
      </c>
      <c r="M21" s="125">
        <v>0</v>
      </c>
      <c r="N21" s="94">
        <f>+L21-M21</f>
        <v>0</v>
      </c>
      <c r="O21" s="95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/>
      <c r="Y21" s="96"/>
      <c r="Z21" s="97"/>
      <c r="AA21" s="98">
        <f>SUM(O21:Z21)</f>
        <v>0</v>
      </c>
      <c r="AB21" s="99">
        <f>+N21-AA21</f>
        <v>0</v>
      </c>
      <c r="AC21" s="3"/>
    </row>
    <row r="22" spans="2:29" ht="18" customHeight="1" x14ac:dyDescent="0.2">
      <c r="B22" s="116"/>
      <c r="C22" s="117"/>
      <c r="D22" s="86"/>
      <c r="E22" s="86"/>
      <c r="F22" s="87"/>
      <c r="G22" s="88"/>
      <c r="H22" s="89"/>
      <c r="I22" s="90"/>
      <c r="J22" s="91"/>
      <c r="K22" s="92"/>
      <c r="L22" s="125"/>
      <c r="M22" s="93"/>
      <c r="N22" s="94"/>
      <c r="O22" s="95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7"/>
      <c r="AA22" s="98"/>
      <c r="AB22" s="99"/>
      <c r="AC22" s="3"/>
    </row>
    <row r="23" spans="2:29" ht="18" customHeight="1" x14ac:dyDescent="0.2">
      <c r="B23" s="116"/>
      <c r="C23" s="117"/>
      <c r="D23" s="86"/>
      <c r="E23" s="86"/>
      <c r="F23" s="87"/>
      <c r="G23" s="88"/>
      <c r="H23" s="89"/>
      <c r="I23" s="90"/>
      <c r="J23" s="91"/>
      <c r="K23" s="92"/>
      <c r="L23" s="125"/>
      <c r="M23" s="93"/>
      <c r="N23" s="94"/>
      <c r="O23" s="95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7"/>
      <c r="AA23" s="98"/>
      <c r="AB23" s="99"/>
      <c r="AC23" s="3"/>
    </row>
    <row r="24" spans="2:29" ht="18" customHeight="1" thickBot="1" x14ac:dyDescent="0.25">
      <c r="B24" s="118"/>
      <c r="C24" s="119"/>
      <c r="D24" s="100"/>
      <c r="E24" s="100"/>
      <c r="F24" s="101"/>
      <c r="G24" s="102"/>
      <c r="H24" s="103"/>
      <c r="I24" s="104"/>
      <c r="J24" s="105"/>
      <c r="K24" s="106"/>
      <c r="L24" s="126"/>
      <c r="M24" s="107"/>
      <c r="N24" s="108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1"/>
      <c r="AA24" s="112"/>
      <c r="AB24" s="113"/>
      <c r="AC24" s="3"/>
    </row>
    <row r="25" spans="2:29" s="18" customFormat="1" ht="31.5" customHeight="1" thickBot="1" x14ac:dyDescent="0.25">
      <c r="B25" s="19" t="s">
        <v>35</v>
      </c>
      <c r="C25" s="48"/>
      <c r="D25" s="21"/>
      <c r="E25" s="20"/>
      <c r="F25" s="22"/>
      <c r="G25" s="59"/>
      <c r="H25" s="61"/>
      <c r="I25" s="59"/>
      <c r="J25" s="23"/>
      <c r="K25" s="56"/>
      <c r="L25" s="57">
        <f t="shared" ref="L25:AA25" si="0">SUBTOTAL(9,L20:L24)</f>
        <v>10171508</v>
      </c>
      <c r="M25" s="57">
        <f t="shared" si="0"/>
        <v>0</v>
      </c>
      <c r="N25" s="54">
        <f t="shared" si="0"/>
        <v>10171508</v>
      </c>
      <c r="O25" s="120">
        <f t="shared" si="0"/>
        <v>0</v>
      </c>
      <c r="P25" s="120">
        <f t="shared" si="0"/>
        <v>3390503</v>
      </c>
      <c r="Q25" s="120">
        <f t="shared" si="0"/>
        <v>6781005</v>
      </c>
      <c r="R25" s="120">
        <f t="shared" si="0"/>
        <v>0</v>
      </c>
      <c r="S25" s="120">
        <f t="shared" si="0"/>
        <v>0</v>
      </c>
      <c r="T25" s="120">
        <f t="shared" si="0"/>
        <v>0</v>
      </c>
      <c r="U25" s="120">
        <f t="shared" si="0"/>
        <v>0</v>
      </c>
      <c r="V25" s="120">
        <f t="shared" si="0"/>
        <v>0</v>
      </c>
      <c r="W25" s="120">
        <f t="shared" si="0"/>
        <v>0</v>
      </c>
      <c r="X25" s="120">
        <f t="shared" si="0"/>
        <v>0</v>
      </c>
      <c r="Y25" s="120">
        <f t="shared" si="0"/>
        <v>0</v>
      </c>
      <c r="Z25" s="121">
        <f t="shared" si="0"/>
        <v>0</v>
      </c>
      <c r="AA25" s="122">
        <f t="shared" si="0"/>
        <v>10171508</v>
      </c>
      <c r="AB25" s="123">
        <f>SUBTOTAL(9,AB20:AB24)</f>
        <v>0</v>
      </c>
    </row>
    <row r="26" spans="2:29" s="26" customFormat="1" ht="11.25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4"/>
      <c r="O26" s="24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0"/>
      <c r="AC26" s="50"/>
    </row>
    <row r="27" spans="2:29" s="24" customFormat="1" ht="11.25" hidden="1" x14ac:dyDescent="0.2"/>
    <row r="28" spans="2:29" s="128" customFormat="1" hidden="1" x14ac:dyDescent="0.2"/>
    <row r="29" spans="2:29" x14ac:dyDescent="0.2">
      <c r="C29" s="31"/>
      <c r="M29" s="5"/>
      <c r="AA29" s="5"/>
    </row>
    <row r="30" spans="2:29" x14ac:dyDescent="0.2">
      <c r="C30" s="31"/>
      <c r="L30" s="5"/>
      <c r="M30" s="5"/>
      <c r="P30" s="5"/>
      <c r="Q30" s="5"/>
    </row>
    <row r="31" spans="2:29" x14ac:dyDescent="0.2">
      <c r="C31" s="31"/>
    </row>
    <row r="32" spans="2:29" x14ac:dyDescent="0.2">
      <c r="C32" s="31"/>
    </row>
    <row r="33" spans="2:12" x14ac:dyDescent="0.2">
      <c r="C33" s="31"/>
      <c r="L33" s="145"/>
    </row>
    <row r="34" spans="2:12" x14ac:dyDescent="0.2">
      <c r="C34" s="31"/>
    </row>
    <row r="35" spans="2:12" x14ac:dyDescent="0.2">
      <c r="B35" s="30"/>
      <c r="D35" s="31"/>
    </row>
    <row r="36" spans="2:12" x14ac:dyDescent="0.2">
      <c r="B36" s="30"/>
      <c r="D36" s="31"/>
    </row>
    <row r="37" spans="2:12" x14ac:dyDescent="0.2">
      <c r="B37" s="29"/>
      <c r="C37" s="31"/>
      <c r="D37" s="31"/>
    </row>
    <row r="38" spans="2:12" x14ac:dyDescent="0.2">
      <c r="B38" s="30"/>
      <c r="C38" s="31"/>
      <c r="D38" s="31"/>
      <c r="G38" s="34"/>
      <c r="H38" s="34"/>
      <c r="I38" s="34"/>
    </row>
    <row r="39" spans="2:12" x14ac:dyDescent="0.2">
      <c r="B39" s="30"/>
    </row>
    <row r="40" spans="2:12" x14ac:dyDescent="0.2">
      <c r="C40" s="31"/>
      <c r="D40" s="31"/>
    </row>
    <row r="41" spans="2:12" x14ac:dyDescent="0.2">
      <c r="B41" s="30"/>
    </row>
    <row r="42" spans="2:12" x14ac:dyDescent="0.2">
      <c r="B42" s="30"/>
    </row>
    <row r="43" spans="2:12" x14ac:dyDescent="0.2">
      <c r="B43" s="30"/>
    </row>
    <row r="44" spans="2:12" x14ac:dyDescent="0.2">
      <c r="B44" s="30"/>
    </row>
    <row r="45" spans="2:12" x14ac:dyDescent="0.2">
      <c r="B45" s="30"/>
    </row>
    <row r="46" spans="2:12" x14ac:dyDescent="0.2">
      <c r="B46" s="30"/>
      <c r="C46" s="31"/>
    </row>
    <row r="47" spans="2:12" x14ac:dyDescent="0.2">
      <c r="B47" s="30"/>
      <c r="C47" s="31"/>
    </row>
    <row r="48" spans="2:12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7" priority="2" operator="lessThan">
      <formula>0</formula>
    </cfRule>
  </conditionalFormatting>
  <conditionalFormatting sqref="AB19:AB24">
    <cfRule type="cellIs" dxfId="6" priority="1" operator="lessThan">
      <formula>0</formula>
    </cfRule>
  </conditionalFormatting>
  <conditionalFormatting sqref="AC6:AC15">
    <cfRule type="cellIs" dxfId="5" priority="13" operator="lessThan">
      <formula>0</formula>
    </cfRule>
  </conditionalFormatting>
  <conditionalFormatting sqref="AC26:AC1048576">
    <cfRule type="cellIs" dxfId="4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AC56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8554687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23.28515625" style="3" bestFit="1" customWidth="1" outlineLevel="1"/>
    <col min="13" max="13" width="15.42578125" style="3" customWidth="1" outlineLevel="1"/>
    <col min="14" max="14" width="19.7109375" style="5" bestFit="1" customWidth="1"/>
    <col min="15" max="15" width="17.140625" style="5" customWidth="1"/>
    <col min="16" max="16" width="17.140625" style="6" customWidth="1" outlineLevel="1"/>
    <col min="17" max="17" width="16.42578125" style="6" customWidth="1" outlineLevel="1"/>
    <col min="18" max="18" width="17.140625" style="6" customWidth="1" outlineLevel="1"/>
    <col min="19" max="20" width="17.5703125" style="6" customWidth="1" outlineLevel="1"/>
    <col min="21" max="23" width="17.140625" style="6" customWidth="1" outlineLevel="1"/>
    <col min="24" max="26" width="14.7109375" style="6" customWidth="1" outlineLevel="1"/>
    <col min="27" max="27" width="17.5703125" style="6" customWidth="1" outlineLevel="1"/>
    <col min="28" max="28" width="17.57031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0.25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0.25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0.25" thickBot="1" x14ac:dyDescent="0.25">
      <c r="B4" s="161"/>
      <c r="C4" s="162" t="s">
        <v>185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86" t="s">
        <v>40</v>
      </c>
      <c r="D6" s="186"/>
      <c r="E6" s="186"/>
      <c r="F6" s="186"/>
      <c r="G6" s="187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81" t="s">
        <v>124</v>
      </c>
      <c r="D7" s="181" t="s">
        <v>41</v>
      </c>
      <c r="E7" s="181" t="s">
        <v>41</v>
      </c>
      <c r="F7" s="181" t="s">
        <v>41</v>
      </c>
      <c r="G7" s="182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81" t="s">
        <v>125</v>
      </c>
      <c r="D8" s="181" t="s">
        <v>43</v>
      </c>
      <c r="E8" s="181" t="s">
        <v>43</v>
      </c>
      <c r="F8" s="181" t="s">
        <v>43</v>
      </c>
      <c r="G8" s="182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81" t="s">
        <v>126</v>
      </c>
      <c r="D9" s="181" t="s">
        <v>44</v>
      </c>
      <c r="E9" s="181" t="s">
        <v>44</v>
      </c>
      <c r="F9" s="181" t="s">
        <v>44</v>
      </c>
      <c r="G9" s="182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81" t="s">
        <v>127</v>
      </c>
      <c r="D10" s="181" t="s">
        <v>45</v>
      </c>
      <c r="E10" s="181" t="s">
        <v>45</v>
      </c>
      <c r="F10" s="181" t="s">
        <v>45</v>
      </c>
      <c r="G10" s="182" t="s">
        <v>45</v>
      </c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193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81" t="s">
        <v>128</v>
      </c>
      <c r="D12" s="181" t="s">
        <v>47</v>
      </c>
      <c r="E12" s="181" t="s">
        <v>47</v>
      </c>
      <c r="F12" s="181" t="s">
        <v>47</v>
      </c>
      <c r="G12" s="182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83" t="s">
        <v>129</v>
      </c>
      <c r="D13" s="184">
        <v>2020110010174</v>
      </c>
      <c r="E13" s="184">
        <v>2020110010174</v>
      </c>
      <c r="F13" s="184">
        <v>2020110010174</v>
      </c>
      <c r="G13" s="185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3.75" customHeight="1" outlineLevel="1" x14ac:dyDescent="0.2">
      <c r="B15" s="1" t="s">
        <v>36</v>
      </c>
      <c r="C15" s="168" t="s">
        <v>184</v>
      </c>
      <c r="D15" s="169"/>
      <c r="E15" s="170"/>
      <c r="F15" s="2" t="s">
        <v>7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6" t="s">
        <v>14</v>
      </c>
      <c r="C16" s="36" t="s">
        <v>186</v>
      </c>
      <c r="D16" s="36" t="s">
        <v>3</v>
      </c>
      <c r="E16" s="36" t="s">
        <v>4</v>
      </c>
      <c r="F16" s="36" t="s">
        <v>12</v>
      </c>
      <c r="G16" s="37" t="s">
        <v>187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398895690</v>
      </c>
      <c r="D17" s="51"/>
      <c r="E17" s="51">
        <v>12297674</v>
      </c>
      <c r="F17" s="39">
        <f>D17-E17</f>
        <v>-12297674</v>
      </c>
      <c r="G17" s="45">
        <f>+C17+F17</f>
        <v>386598016</v>
      </c>
      <c r="H17" s="127">
        <f>+G17-N25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186</v>
      </c>
      <c r="M19" s="147" t="s">
        <v>188</v>
      </c>
      <c r="N19" s="147" t="s">
        <v>187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189</v>
      </c>
      <c r="AC19" s="18"/>
    </row>
    <row r="20" spans="2:29" ht="34.5" customHeight="1" x14ac:dyDescent="0.2">
      <c r="B20" s="114" t="s">
        <v>116</v>
      </c>
      <c r="C20" s="115" t="s">
        <v>117</v>
      </c>
      <c r="D20" s="72" t="s">
        <v>118</v>
      </c>
      <c r="E20" s="72" t="s">
        <v>118</v>
      </c>
      <c r="F20" s="73" t="s">
        <v>149</v>
      </c>
      <c r="G20" s="74" t="s">
        <v>151</v>
      </c>
      <c r="H20" s="75" t="s">
        <v>119</v>
      </c>
      <c r="I20" s="76" t="s">
        <v>159</v>
      </c>
      <c r="J20" s="77" t="s">
        <v>160</v>
      </c>
      <c r="K20" s="78" t="s">
        <v>161</v>
      </c>
      <c r="L20" s="124">
        <v>101219927</v>
      </c>
      <c r="M20" s="79">
        <v>11958668</v>
      </c>
      <c r="N20" s="152">
        <f>+L20-M20</f>
        <v>89261259</v>
      </c>
      <c r="O20" s="82">
        <v>0</v>
      </c>
      <c r="P20" s="82">
        <v>55060052</v>
      </c>
      <c r="Q20" s="82">
        <f>82284593-P20</f>
        <v>27224541</v>
      </c>
      <c r="R20" s="82">
        <v>0</v>
      </c>
      <c r="S20" s="82">
        <f>83801259-R20-Q20-P20</f>
        <v>1516666</v>
      </c>
      <c r="T20" s="82">
        <f>89261259-S20-Q20-P20</f>
        <v>5460000</v>
      </c>
      <c r="U20" s="82">
        <v>0</v>
      </c>
      <c r="V20" s="82">
        <v>0</v>
      </c>
      <c r="W20" s="82">
        <v>0</v>
      </c>
      <c r="X20" s="82"/>
      <c r="Y20" s="82"/>
      <c r="Z20" s="83"/>
      <c r="AA20" s="84">
        <f>SUM(O20:Z20)</f>
        <v>89261259</v>
      </c>
      <c r="AB20" s="85">
        <f>+N20-AA20</f>
        <v>0</v>
      </c>
      <c r="AC20" s="3"/>
    </row>
    <row r="21" spans="2:29" ht="34.5" customHeight="1" x14ac:dyDescent="0.2">
      <c r="B21" s="116" t="s">
        <v>116</v>
      </c>
      <c r="C21" s="117" t="s">
        <v>122</v>
      </c>
      <c r="D21" s="86" t="s">
        <v>123</v>
      </c>
      <c r="E21" s="86" t="s">
        <v>123</v>
      </c>
      <c r="F21" s="87" t="s">
        <v>150</v>
      </c>
      <c r="G21" s="88" t="s">
        <v>152</v>
      </c>
      <c r="H21" s="89" t="s">
        <v>119</v>
      </c>
      <c r="I21" s="90"/>
      <c r="J21" s="91"/>
      <c r="K21" s="92"/>
      <c r="L21" s="125">
        <v>294190674</v>
      </c>
      <c r="M21" s="93">
        <v>339006</v>
      </c>
      <c r="N21" s="153">
        <f t="shared" ref="N21:N22" si="0">+L21-M21</f>
        <v>293851668</v>
      </c>
      <c r="O21" s="96">
        <v>0</v>
      </c>
      <c r="P21" s="96">
        <v>1740819</v>
      </c>
      <c r="Q21" s="96">
        <f>193194596-P21</f>
        <v>191453777</v>
      </c>
      <c r="R21" s="96">
        <f>272060045-Q21-P21</f>
        <v>78865449</v>
      </c>
      <c r="S21" s="96">
        <f>290813809-R21-Q21-P21</f>
        <v>18753764</v>
      </c>
      <c r="T21" s="96">
        <f>293851668-S21-R21-Q21-P21</f>
        <v>3037859</v>
      </c>
      <c r="U21" s="96">
        <v>0</v>
      </c>
      <c r="V21" s="96">
        <v>0</v>
      </c>
      <c r="W21" s="96">
        <v>0</v>
      </c>
      <c r="X21" s="96"/>
      <c r="Y21" s="96"/>
      <c r="Z21" s="97"/>
      <c r="AA21" s="98">
        <f t="shared" ref="AA21:AA22" si="1">SUM(O21:Z21)</f>
        <v>293851668</v>
      </c>
      <c r="AB21" s="99">
        <f t="shared" ref="AB21:AB22" si="2">+N21-AA21</f>
        <v>0</v>
      </c>
      <c r="AC21" s="3"/>
    </row>
    <row r="22" spans="2:29" ht="34.5" customHeight="1" x14ac:dyDescent="0.2">
      <c r="B22" s="116" t="s">
        <v>120</v>
      </c>
      <c r="C22" s="117" t="s">
        <v>121</v>
      </c>
      <c r="D22" s="86" t="s">
        <v>69</v>
      </c>
      <c r="E22" s="86" t="s">
        <v>70</v>
      </c>
      <c r="F22" s="87" t="s">
        <v>149</v>
      </c>
      <c r="G22" s="88" t="s">
        <v>151</v>
      </c>
      <c r="H22" s="89" t="s">
        <v>119</v>
      </c>
      <c r="I22" s="90"/>
      <c r="J22" s="91"/>
      <c r="K22" s="92"/>
      <c r="L22" s="125">
        <v>3485089</v>
      </c>
      <c r="M22" s="93">
        <v>0</v>
      </c>
      <c r="N22" s="153">
        <f t="shared" si="0"/>
        <v>3485089</v>
      </c>
      <c r="O22" s="96">
        <v>0</v>
      </c>
      <c r="P22" s="96">
        <v>0</v>
      </c>
      <c r="Q22" s="96">
        <v>669376</v>
      </c>
      <c r="R22" s="96">
        <v>0</v>
      </c>
      <c r="S22" s="96">
        <f>3047000-R22-Q22</f>
        <v>2377624</v>
      </c>
      <c r="T22" s="96">
        <v>0</v>
      </c>
      <c r="U22" s="96">
        <v>0</v>
      </c>
      <c r="V22" s="96">
        <v>0</v>
      </c>
      <c r="W22" s="96">
        <f>3276629-S22-Q22</f>
        <v>229629</v>
      </c>
      <c r="X22" s="96"/>
      <c r="Y22" s="96"/>
      <c r="Z22" s="97"/>
      <c r="AA22" s="98">
        <f t="shared" si="1"/>
        <v>3276629</v>
      </c>
      <c r="AB22" s="99">
        <f t="shared" si="2"/>
        <v>208460</v>
      </c>
      <c r="AC22" s="3"/>
    </row>
    <row r="23" spans="2:29" ht="34.5" customHeight="1" x14ac:dyDescent="0.2">
      <c r="B23" s="116"/>
      <c r="C23" s="117"/>
      <c r="D23" s="86"/>
      <c r="E23" s="86"/>
      <c r="F23" s="87"/>
      <c r="G23" s="88"/>
      <c r="H23" s="89"/>
      <c r="I23" s="90"/>
      <c r="J23" s="91"/>
      <c r="K23" s="92"/>
      <c r="L23" s="125"/>
      <c r="M23" s="93"/>
      <c r="N23" s="94"/>
      <c r="O23" s="95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7"/>
      <c r="AA23" s="98"/>
      <c r="AB23" s="99"/>
      <c r="AC23" s="3"/>
    </row>
    <row r="24" spans="2:29" ht="34.5" customHeight="1" thickBot="1" x14ac:dyDescent="0.25">
      <c r="B24" s="118"/>
      <c r="C24" s="119"/>
      <c r="D24" s="100"/>
      <c r="E24" s="100"/>
      <c r="F24" s="101"/>
      <c r="G24" s="102"/>
      <c r="H24" s="103"/>
      <c r="I24" s="104"/>
      <c r="J24" s="105"/>
      <c r="K24" s="106"/>
      <c r="L24" s="126"/>
      <c r="M24" s="107"/>
      <c r="N24" s="108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1"/>
      <c r="AA24" s="112"/>
      <c r="AB24" s="113"/>
      <c r="AC24" s="3"/>
    </row>
    <row r="25" spans="2:29" s="18" customFormat="1" ht="31.5" customHeight="1" thickBot="1" x14ac:dyDescent="0.25">
      <c r="B25" s="19" t="s">
        <v>35</v>
      </c>
      <c r="C25" s="48"/>
      <c r="D25" s="21"/>
      <c r="E25" s="20"/>
      <c r="F25" s="22"/>
      <c r="G25" s="59"/>
      <c r="H25" s="61"/>
      <c r="I25" s="59"/>
      <c r="J25" s="23"/>
      <c r="K25" s="56"/>
      <c r="L25" s="57">
        <f t="shared" ref="L25:AA25" si="3">SUBTOTAL(9,L20:L24)</f>
        <v>398895690</v>
      </c>
      <c r="M25" s="57">
        <f t="shared" si="3"/>
        <v>12297674</v>
      </c>
      <c r="N25" s="54">
        <f t="shared" si="3"/>
        <v>386598016</v>
      </c>
      <c r="O25" s="120">
        <f t="shared" si="3"/>
        <v>0</v>
      </c>
      <c r="P25" s="120">
        <f t="shared" si="3"/>
        <v>56800871</v>
      </c>
      <c r="Q25" s="120">
        <f t="shared" si="3"/>
        <v>219347694</v>
      </c>
      <c r="R25" s="120">
        <f t="shared" si="3"/>
        <v>78865449</v>
      </c>
      <c r="S25" s="120">
        <f t="shared" si="3"/>
        <v>22648054</v>
      </c>
      <c r="T25" s="120">
        <f t="shared" si="3"/>
        <v>8497859</v>
      </c>
      <c r="U25" s="120">
        <f t="shared" si="3"/>
        <v>0</v>
      </c>
      <c r="V25" s="120">
        <f t="shared" si="3"/>
        <v>0</v>
      </c>
      <c r="W25" s="120">
        <f t="shared" si="3"/>
        <v>229629</v>
      </c>
      <c r="X25" s="120">
        <f t="shared" si="3"/>
        <v>0</v>
      </c>
      <c r="Y25" s="120">
        <f t="shared" si="3"/>
        <v>0</v>
      </c>
      <c r="Z25" s="121">
        <f t="shared" si="3"/>
        <v>0</v>
      </c>
      <c r="AA25" s="122">
        <f t="shared" si="3"/>
        <v>386389556</v>
      </c>
      <c r="AB25" s="123">
        <f>SUBTOTAL(9,AB20:AB24)</f>
        <v>208460</v>
      </c>
    </row>
    <row r="26" spans="2:29" s="26" customFormat="1" ht="11.25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4"/>
      <c r="O26" s="24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0"/>
      <c r="AC26" s="50"/>
    </row>
    <row r="27" spans="2:29" s="24" customFormat="1" ht="11.25" hidden="1" x14ac:dyDescent="0.2"/>
    <row r="28" spans="2:29" s="128" customFormat="1" hidden="1" x14ac:dyDescent="0.2"/>
    <row r="29" spans="2:29" x14ac:dyDescent="0.2">
      <c r="C29" s="31"/>
      <c r="M29" s="5"/>
      <c r="Q29" s="148"/>
      <c r="AA29" s="5"/>
      <c r="AB29" s="148"/>
    </row>
    <row r="30" spans="2:29" x14ac:dyDescent="0.2">
      <c r="C30" s="31"/>
      <c r="L30" s="5"/>
      <c r="M30" s="5"/>
      <c r="Q30" s="148"/>
      <c r="AA30" s="148"/>
      <c r="AB30" s="148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B35" s="30"/>
      <c r="D35" s="31"/>
    </row>
    <row r="36" spans="2:9" x14ac:dyDescent="0.2">
      <c r="B36" s="30"/>
      <c r="D36" s="31"/>
    </row>
    <row r="37" spans="2:9" x14ac:dyDescent="0.2">
      <c r="B37" s="29"/>
      <c r="C37" s="31"/>
      <c r="D37" s="31"/>
    </row>
    <row r="38" spans="2:9" x14ac:dyDescent="0.2">
      <c r="B38" s="30"/>
      <c r="C38" s="31"/>
      <c r="D38" s="31"/>
      <c r="G38" s="34"/>
      <c r="H38" s="34"/>
      <c r="I38" s="34"/>
    </row>
    <row r="39" spans="2:9" x14ac:dyDescent="0.2">
      <c r="B39" s="30"/>
    </row>
    <row r="40" spans="2:9" x14ac:dyDescent="0.2">
      <c r="C40" s="31"/>
      <c r="D40" s="31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3" priority="2" operator="lessThan">
      <formula>0</formula>
    </cfRule>
  </conditionalFormatting>
  <conditionalFormatting sqref="AB19:AB24">
    <cfRule type="cellIs" dxfId="2" priority="1" operator="lessThan">
      <formula>0</formula>
    </cfRule>
  </conditionalFormatting>
  <conditionalFormatting sqref="AC6:AC15">
    <cfRule type="cellIs" dxfId="1" priority="15" operator="lessThan">
      <formula>0</formula>
    </cfRule>
  </conditionalFormatting>
  <conditionalFormatting sqref="AC26:AC1048576">
    <cfRule type="cellIs" dxfId="0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7601 (VIG)</vt:lpstr>
      <vt:lpstr>7611 (VIG)</vt:lpstr>
      <vt:lpstr>7639 (VIG)</vt:lpstr>
      <vt:lpstr>7649 (VIG)</vt:lpstr>
      <vt:lpstr>7612 (VIG)</vt:lpstr>
      <vt:lpstr>7597 (VIG)</vt:lpstr>
      <vt:lpstr>'7597 (VIG)'!Área_de_impresión</vt:lpstr>
      <vt:lpstr>'7601 (VIG)'!Área_de_impresión</vt:lpstr>
      <vt:lpstr>'7611 (VIG)'!Área_de_impresión</vt:lpstr>
      <vt:lpstr>'7612 (VIG)'!Área_de_impresión</vt:lpstr>
      <vt:lpstr>'7639 (VIG)'!Área_de_impresión</vt:lpstr>
      <vt:lpstr>'7649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2025-01-08T19:45:28Z</dcterms:modified>
</cp:coreProperties>
</file>